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45204</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45204</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43882-2020</t>
        </is>
      </c>
      <c r="B4" s="1" t="n">
        <v>44078</v>
      </c>
      <c r="C4" s="1" t="n">
        <v>45204</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 "A 43882-2020")</f>
        <v/>
      </c>
      <c r="T4">
        <f>HYPERLINK("https://klasma.github.io/Logging_STORUMAN/kartor/A 43882-2020.png", "A 43882-2020")</f>
        <v/>
      </c>
      <c r="V4">
        <f>HYPERLINK("https://klasma.github.io/Logging_STORUMAN/klagomål/A 43882-2020.docx", "A 43882-2020")</f>
        <v/>
      </c>
      <c r="W4">
        <f>HYPERLINK("https://klasma.github.io/Logging_STORUMAN/klagomålsmail/A 43882-2020.docx", "A 43882-2020")</f>
        <v/>
      </c>
      <c r="X4">
        <f>HYPERLINK("https://klasma.github.io/Logging_STORUMAN/tillsyn/A 43882-2020.docx", "A 43882-2020")</f>
        <v/>
      </c>
      <c r="Y4">
        <f>HYPERLINK("https://klasma.github.io/Logging_STORUMAN/tillsynsmail/A 43882-2020.docx", "A 43882-2020")</f>
        <v/>
      </c>
    </row>
    <row r="5" ht="15" customHeight="1">
      <c r="A5" t="inlineStr">
        <is>
          <t>A 29408-2022</t>
        </is>
      </c>
      <c r="B5" s="1" t="n">
        <v>44753</v>
      </c>
      <c r="C5" s="1" t="n">
        <v>45204</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 "A 29408-2022")</f>
        <v/>
      </c>
      <c r="T5">
        <f>HYPERLINK("https://klasma.github.io/Logging_VILHELMINA/kartor/A 29408-2022.png", "A 29408-2022")</f>
        <v/>
      </c>
      <c r="U5">
        <f>HYPERLINK("https://klasma.github.io/Logging_VILHELMINA/knärot/A 29408-2022.png", "A 29408-2022")</f>
        <v/>
      </c>
      <c r="V5">
        <f>HYPERLINK("https://klasma.github.io/Logging_VILHELMINA/klagomål/A 29408-2022.docx", "A 29408-2022")</f>
        <v/>
      </c>
      <c r="W5">
        <f>HYPERLINK("https://klasma.github.io/Logging_VILHELMINA/klagomålsmail/A 29408-2022.docx", "A 29408-2022")</f>
        <v/>
      </c>
      <c r="X5">
        <f>HYPERLINK("https://klasma.github.io/Logging_VILHELMINA/tillsyn/A 29408-2022.docx", "A 29408-2022")</f>
        <v/>
      </c>
      <c r="Y5">
        <f>HYPERLINK("https://klasma.github.io/Logging_VILHELMINA/tillsynsmail/A 29408-2022.docx", "A 29408-2022")</f>
        <v/>
      </c>
    </row>
    <row r="6" ht="15" customHeight="1">
      <c r="A6" t="inlineStr">
        <is>
          <t>A 52678-2020</t>
        </is>
      </c>
      <c r="B6" s="1" t="n">
        <v>44118</v>
      </c>
      <c r="C6" s="1" t="n">
        <v>45204</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 "A 52678-2020")</f>
        <v/>
      </c>
      <c r="T6">
        <f>HYPERLINK("https://klasma.github.io/Logging_VILHELMINA/kartor/A 52678-2020.png", "A 52678-2020")</f>
        <v/>
      </c>
      <c r="V6">
        <f>HYPERLINK("https://klasma.github.io/Logging_VILHELMINA/klagomål/A 52678-2020.docx", "A 52678-2020")</f>
        <v/>
      </c>
      <c r="W6">
        <f>HYPERLINK("https://klasma.github.io/Logging_VILHELMINA/klagomålsmail/A 52678-2020.docx", "A 52678-2020")</f>
        <v/>
      </c>
      <c r="X6">
        <f>HYPERLINK("https://klasma.github.io/Logging_VILHELMINA/tillsyn/A 52678-2020.docx", "A 52678-2020")</f>
        <v/>
      </c>
      <c r="Y6">
        <f>HYPERLINK("https://klasma.github.io/Logging_VILHELMINA/tillsynsmail/A 52678-2020.docx", "A 52678-2020")</f>
        <v/>
      </c>
    </row>
    <row r="7" ht="15" customHeight="1">
      <c r="A7" t="inlineStr">
        <is>
          <t>A 60433-2021</t>
        </is>
      </c>
      <c r="B7" s="1" t="n">
        <v>44494</v>
      </c>
      <c r="C7" s="1" t="n">
        <v>45204</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 "A 60433-2021")</f>
        <v/>
      </c>
      <c r="T7">
        <f>HYPERLINK("https://klasma.github.io/Logging_VILHELMINA/kartor/A 60433-2021.png", "A 60433-2021")</f>
        <v/>
      </c>
      <c r="V7">
        <f>HYPERLINK("https://klasma.github.io/Logging_VILHELMINA/klagomål/A 60433-2021.docx", "A 60433-2021")</f>
        <v/>
      </c>
      <c r="W7">
        <f>HYPERLINK("https://klasma.github.io/Logging_VILHELMINA/klagomålsmail/A 60433-2021.docx", "A 60433-2021")</f>
        <v/>
      </c>
      <c r="X7">
        <f>HYPERLINK("https://klasma.github.io/Logging_VILHELMINA/tillsyn/A 60433-2021.docx", "A 60433-2021")</f>
        <v/>
      </c>
      <c r="Y7">
        <f>HYPERLINK("https://klasma.github.io/Logging_VILHELMINA/tillsynsmail/A 60433-2021.docx", "A 60433-2021")</f>
        <v/>
      </c>
    </row>
    <row r="8" ht="15" customHeight="1">
      <c r="A8" t="inlineStr">
        <is>
          <t>A 39272-2021</t>
        </is>
      </c>
      <c r="B8" s="1" t="n">
        <v>44412</v>
      </c>
      <c r="C8" s="1" t="n">
        <v>45204</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 "A 39272-2021")</f>
        <v/>
      </c>
      <c r="T8">
        <f>HYPERLINK("https://klasma.github.io/Logging_VILHELMINA/kartor/A 39272-2021.png", "A 39272-2021")</f>
        <v/>
      </c>
      <c r="V8">
        <f>HYPERLINK("https://klasma.github.io/Logging_VILHELMINA/klagomål/A 39272-2021.docx", "A 39272-2021")</f>
        <v/>
      </c>
      <c r="W8">
        <f>HYPERLINK("https://klasma.github.io/Logging_VILHELMINA/klagomålsmail/A 39272-2021.docx", "A 39272-2021")</f>
        <v/>
      </c>
      <c r="X8">
        <f>HYPERLINK("https://klasma.github.io/Logging_VILHELMINA/tillsyn/A 39272-2021.docx", "A 39272-2021")</f>
        <v/>
      </c>
      <c r="Y8">
        <f>HYPERLINK("https://klasma.github.io/Logging_VILHELMINA/tillsynsmail/A 39272-2021.docx", "A 39272-2021")</f>
        <v/>
      </c>
    </row>
    <row r="9" ht="15" customHeight="1">
      <c r="A9" t="inlineStr">
        <is>
          <t>A 13322-2022</t>
        </is>
      </c>
      <c r="B9" s="1" t="n">
        <v>44644</v>
      </c>
      <c r="C9" s="1" t="n">
        <v>45204</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 "A 13322-2022")</f>
        <v/>
      </c>
      <c r="T9">
        <f>HYPERLINK("https://klasma.github.io/Logging_VILHELMINA/kartor/A 13322-2022.png", "A 13322-2022")</f>
        <v/>
      </c>
      <c r="V9">
        <f>HYPERLINK("https://klasma.github.io/Logging_VILHELMINA/klagomål/A 13322-2022.docx", "A 13322-2022")</f>
        <v/>
      </c>
      <c r="W9">
        <f>HYPERLINK("https://klasma.github.io/Logging_VILHELMINA/klagomålsmail/A 13322-2022.docx", "A 13322-2022")</f>
        <v/>
      </c>
      <c r="X9">
        <f>HYPERLINK("https://klasma.github.io/Logging_VILHELMINA/tillsyn/A 13322-2022.docx", "A 13322-2022")</f>
        <v/>
      </c>
      <c r="Y9">
        <f>HYPERLINK("https://klasma.github.io/Logging_VILHELMINA/tillsynsmail/A 13322-2022.docx", "A 13322-2022")</f>
        <v/>
      </c>
    </row>
    <row r="10" ht="15" customHeight="1">
      <c r="A10" t="inlineStr">
        <is>
          <t>A 19470-2022</t>
        </is>
      </c>
      <c r="B10" s="1" t="n">
        <v>44693</v>
      </c>
      <c r="C10" s="1" t="n">
        <v>45204</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 "A 19470-2022")</f>
        <v/>
      </c>
      <c r="T10">
        <f>HYPERLINK("https://klasma.github.io/Logging_SORSELE/kartor/A 19470-2022.png", "A 19470-2022")</f>
        <v/>
      </c>
      <c r="V10">
        <f>HYPERLINK("https://klasma.github.io/Logging_SORSELE/klagomål/A 19470-2022.docx", "A 19470-2022")</f>
        <v/>
      </c>
      <c r="W10">
        <f>HYPERLINK("https://klasma.github.io/Logging_SORSELE/klagomålsmail/A 19470-2022.docx", "A 19470-2022")</f>
        <v/>
      </c>
      <c r="X10">
        <f>HYPERLINK("https://klasma.github.io/Logging_SORSELE/tillsyn/A 19470-2022.docx", "A 19470-2022")</f>
        <v/>
      </c>
      <c r="Y10">
        <f>HYPERLINK("https://klasma.github.io/Logging_SORSELE/tillsynsmail/A 19470-2022.docx", "A 19470-2022")</f>
        <v/>
      </c>
    </row>
    <row r="11" ht="15" customHeight="1">
      <c r="A11" t="inlineStr">
        <is>
          <t>A 45751-2022</t>
        </is>
      </c>
      <c r="B11" s="1" t="n">
        <v>44838</v>
      </c>
      <c r="C11" s="1" t="n">
        <v>45204</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 "A 45751-2022")</f>
        <v/>
      </c>
      <c r="T11">
        <f>HYPERLINK("https://klasma.github.io/Logging_VILHELMINA/kartor/A 45751-2022.png", "A 45751-2022")</f>
        <v/>
      </c>
      <c r="V11">
        <f>HYPERLINK("https://klasma.github.io/Logging_VILHELMINA/klagomål/A 45751-2022.docx", "A 45751-2022")</f>
        <v/>
      </c>
      <c r="W11">
        <f>HYPERLINK("https://klasma.github.io/Logging_VILHELMINA/klagomålsmail/A 45751-2022.docx", "A 45751-2022")</f>
        <v/>
      </c>
      <c r="X11">
        <f>HYPERLINK("https://klasma.github.io/Logging_VILHELMINA/tillsyn/A 45751-2022.docx", "A 45751-2022")</f>
        <v/>
      </c>
      <c r="Y11">
        <f>HYPERLINK("https://klasma.github.io/Logging_VILHELMINA/tillsynsmail/A 45751-2022.docx", "A 45751-2022")</f>
        <v/>
      </c>
    </row>
    <row r="12" ht="15" customHeight="1">
      <c r="A12" t="inlineStr">
        <is>
          <t>A 41836-2020</t>
        </is>
      </c>
      <c r="B12" s="1" t="n">
        <v>44074</v>
      </c>
      <c r="C12" s="1" t="n">
        <v>45204</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 "A 41836-2020")</f>
        <v/>
      </c>
      <c r="T12">
        <f>HYPERLINK("https://klasma.github.io/Logging_VILHELMINA/kartor/A 41836-2020.png", "A 41836-2020")</f>
        <v/>
      </c>
      <c r="V12">
        <f>HYPERLINK("https://klasma.github.io/Logging_VILHELMINA/klagomål/A 41836-2020.docx", "A 41836-2020")</f>
        <v/>
      </c>
      <c r="W12">
        <f>HYPERLINK("https://klasma.github.io/Logging_VILHELMINA/klagomålsmail/A 41836-2020.docx", "A 41836-2020")</f>
        <v/>
      </c>
      <c r="X12">
        <f>HYPERLINK("https://klasma.github.io/Logging_VILHELMINA/tillsyn/A 41836-2020.docx", "A 41836-2020")</f>
        <v/>
      </c>
      <c r="Y12">
        <f>HYPERLINK("https://klasma.github.io/Logging_VILHELMINA/tillsynsmail/A 41836-2020.docx", "A 41836-2020")</f>
        <v/>
      </c>
    </row>
    <row r="13" ht="15" customHeight="1">
      <c r="A13" t="inlineStr">
        <is>
          <t>A 24114-2021</t>
        </is>
      </c>
      <c r="B13" s="1" t="n">
        <v>44336</v>
      </c>
      <c r="C13" s="1" t="n">
        <v>45204</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 "A 24114-2021")</f>
        <v/>
      </c>
      <c r="T13">
        <f>HYPERLINK("https://klasma.github.io/Logging_BJURHOLM/kartor/A 24114-2021.png", "A 24114-2021")</f>
        <v/>
      </c>
      <c r="U13">
        <f>HYPERLINK("https://klasma.github.io/Logging_BJURHOLM/knärot/A 24114-2021.png", "A 24114-2021")</f>
        <v/>
      </c>
      <c r="V13">
        <f>HYPERLINK("https://klasma.github.io/Logging_BJURHOLM/klagomål/A 24114-2021.docx", "A 24114-2021")</f>
        <v/>
      </c>
      <c r="W13">
        <f>HYPERLINK("https://klasma.github.io/Logging_BJURHOLM/klagomålsmail/A 24114-2021.docx", "A 24114-2021")</f>
        <v/>
      </c>
      <c r="X13">
        <f>HYPERLINK("https://klasma.github.io/Logging_BJURHOLM/tillsyn/A 24114-2021.docx", "A 24114-2021")</f>
        <v/>
      </c>
      <c r="Y13">
        <f>HYPERLINK("https://klasma.github.io/Logging_BJURHOLM/tillsynsmail/A 24114-2021.docx", "A 24114-2021")</f>
        <v/>
      </c>
    </row>
    <row r="14" ht="15" customHeight="1">
      <c r="A14" t="inlineStr">
        <is>
          <t>A 27113-2021</t>
        </is>
      </c>
      <c r="B14" s="1" t="n">
        <v>44350</v>
      </c>
      <c r="C14" s="1" t="n">
        <v>45204</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 "A 27113-2021")</f>
        <v/>
      </c>
      <c r="T14">
        <f>HYPERLINK("https://klasma.github.io/Logging_VILHELMINA/kartor/A 27113-2021.png", "A 27113-2021")</f>
        <v/>
      </c>
      <c r="V14">
        <f>HYPERLINK("https://klasma.github.io/Logging_VILHELMINA/klagomål/A 27113-2021.docx", "A 27113-2021")</f>
        <v/>
      </c>
      <c r="W14">
        <f>HYPERLINK("https://klasma.github.io/Logging_VILHELMINA/klagomålsmail/A 27113-2021.docx", "A 27113-2021")</f>
        <v/>
      </c>
      <c r="X14">
        <f>HYPERLINK("https://klasma.github.io/Logging_VILHELMINA/tillsyn/A 27113-2021.docx", "A 27113-2021")</f>
        <v/>
      </c>
      <c r="Y14">
        <f>HYPERLINK("https://klasma.github.io/Logging_VILHELMINA/tillsynsmail/A 27113-2021.docx", "A 27113-2021")</f>
        <v/>
      </c>
    </row>
    <row r="15" ht="15" customHeight="1">
      <c r="A15" t="inlineStr">
        <is>
          <t>A 34086-2023</t>
        </is>
      </c>
      <c r="B15" s="1" t="n">
        <v>45125</v>
      </c>
      <c r="C15" s="1" t="n">
        <v>45204</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 "A 34086-2023")</f>
        <v/>
      </c>
      <c r="T15">
        <f>HYPERLINK("https://klasma.github.io/Logging_VILHELMINA/kartor/A 34086-2023.png", "A 34086-2023")</f>
        <v/>
      </c>
      <c r="V15">
        <f>HYPERLINK("https://klasma.github.io/Logging_VILHELMINA/klagomål/A 34086-2023.docx", "A 34086-2023")</f>
        <v/>
      </c>
      <c r="W15">
        <f>HYPERLINK("https://klasma.github.io/Logging_VILHELMINA/klagomålsmail/A 34086-2023.docx", "A 34086-2023")</f>
        <v/>
      </c>
      <c r="X15">
        <f>HYPERLINK("https://klasma.github.io/Logging_VILHELMINA/tillsyn/A 34086-2023.docx", "A 34086-2023")</f>
        <v/>
      </c>
      <c r="Y15">
        <f>HYPERLINK("https://klasma.github.io/Logging_VILHELMINA/tillsynsmail/A 34086-2023.docx", "A 34086-2023")</f>
        <v/>
      </c>
    </row>
    <row r="16" ht="15" customHeight="1">
      <c r="A16" t="inlineStr">
        <is>
          <t>A 43891-2020</t>
        </is>
      </c>
      <c r="B16" s="1" t="n">
        <v>44078</v>
      </c>
      <c r="C16" s="1" t="n">
        <v>45204</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 "A 43891-2020")</f>
        <v/>
      </c>
      <c r="T16">
        <f>HYPERLINK("https://klasma.github.io/Logging_STORUMAN/kartor/A 43891-2020.png", "A 43891-2020")</f>
        <v/>
      </c>
      <c r="V16">
        <f>HYPERLINK("https://klasma.github.io/Logging_STORUMAN/klagomål/A 43891-2020.docx", "A 43891-2020")</f>
        <v/>
      </c>
      <c r="W16">
        <f>HYPERLINK("https://klasma.github.io/Logging_STORUMAN/klagomålsmail/A 43891-2020.docx", "A 43891-2020")</f>
        <v/>
      </c>
      <c r="X16">
        <f>HYPERLINK("https://klasma.github.io/Logging_STORUMAN/tillsyn/A 43891-2020.docx", "A 43891-2020")</f>
        <v/>
      </c>
      <c r="Y16">
        <f>HYPERLINK("https://klasma.github.io/Logging_STORUMAN/tillsynsmail/A 43891-2020.docx", "A 43891-2020")</f>
        <v/>
      </c>
    </row>
    <row r="17" ht="15" customHeight="1">
      <c r="A17" t="inlineStr">
        <is>
          <t>A 60375-2021</t>
        </is>
      </c>
      <c r="B17" s="1" t="n">
        <v>44494</v>
      </c>
      <c r="C17" s="1" t="n">
        <v>45204</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 "A 60375-2021")</f>
        <v/>
      </c>
      <c r="T17">
        <f>HYPERLINK("https://klasma.github.io/Logging_VILHELMINA/kartor/A 60375-2021.png", "A 60375-2021")</f>
        <v/>
      </c>
      <c r="V17">
        <f>HYPERLINK("https://klasma.github.io/Logging_VILHELMINA/klagomål/A 60375-2021.docx", "A 60375-2021")</f>
        <v/>
      </c>
      <c r="W17">
        <f>HYPERLINK("https://klasma.github.io/Logging_VILHELMINA/klagomålsmail/A 60375-2021.docx", "A 60375-2021")</f>
        <v/>
      </c>
      <c r="X17">
        <f>HYPERLINK("https://klasma.github.io/Logging_VILHELMINA/tillsyn/A 60375-2021.docx", "A 60375-2021")</f>
        <v/>
      </c>
      <c r="Y17">
        <f>HYPERLINK("https://klasma.github.io/Logging_VILHELMINA/tillsynsmail/A 60375-2021.docx", "A 60375-2021")</f>
        <v/>
      </c>
    </row>
    <row r="18" ht="15" customHeight="1">
      <c r="A18" t="inlineStr">
        <is>
          <t>A 40297-2022</t>
        </is>
      </c>
      <c r="B18" s="1" t="n">
        <v>44821</v>
      </c>
      <c r="C18" s="1" t="n">
        <v>45204</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 "A 40297-2022")</f>
        <v/>
      </c>
      <c r="T18">
        <f>HYPERLINK("https://klasma.github.io/Logging_UMEA/kartor/A 40297-2022.png", "A 40297-2022")</f>
        <v/>
      </c>
      <c r="V18">
        <f>HYPERLINK("https://klasma.github.io/Logging_UMEA/klagomål/A 40297-2022.docx", "A 40297-2022")</f>
        <v/>
      </c>
      <c r="W18">
        <f>HYPERLINK("https://klasma.github.io/Logging_UMEA/klagomålsmail/A 40297-2022.docx", "A 40297-2022")</f>
        <v/>
      </c>
      <c r="X18">
        <f>HYPERLINK("https://klasma.github.io/Logging_UMEA/tillsyn/A 40297-2022.docx", "A 40297-2022")</f>
        <v/>
      </c>
      <c r="Y18">
        <f>HYPERLINK("https://klasma.github.io/Logging_UMEA/tillsynsmail/A 40297-2022.docx", "A 40297-2022")</f>
        <v/>
      </c>
    </row>
    <row r="19" ht="15" customHeight="1">
      <c r="A19" t="inlineStr">
        <is>
          <t>A 25917-2023</t>
        </is>
      </c>
      <c r="B19" s="1" t="n">
        <v>45085</v>
      </c>
      <c r="C19" s="1" t="n">
        <v>45204</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 "A 25917-2023")</f>
        <v/>
      </c>
      <c r="T19">
        <f>HYPERLINK("https://klasma.github.io/Logging_SORSELE/kartor/A 25917-2023.png", "A 25917-2023")</f>
        <v/>
      </c>
      <c r="V19">
        <f>HYPERLINK("https://klasma.github.io/Logging_SORSELE/klagomål/A 25917-2023.docx", "A 25917-2023")</f>
        <v/>
      </c>
      <c r="W19">
        <f>HYPERLINK("https://klasma.github.io/Logging_SORSELE/klagomålsmail/A 25917-2023.docx", "A 25917-2023")</f>
        <v/>
      </c>
      <c r="X19">
        <f>HYPERLINK("https://klasma.github.io/Logging_SORSELE/tillsyn/A 25917-2023.docx", "A 25917-2023")</f>
        <v/>
      </c>
      <c r="Y19">
        <f>HYPERLINK("https://klasma.github.io/Logging_SORSELE/tillsynsmail/A 25917-2023.docx", "A 25917-2023")</f>
        <v/>
      </c>
    </row>
    <row r="20" ht="15" customHeight="1">
      <c r="A20" t="inlineStr">
        <is>
          <t>A 28450-2023</t>
        </is>
      </c>
      <c r="B20" s="1" t="n">
        <v>45103</v>
      </c>
      <c r="C20" s="1" t="n">
        <v>45204</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 "A 28450-2023")</f>
        <v/>
      </c>
      <c r="T20">
        <f>HYPERLINK("https://klasma.github.io/Logging_SKELLEFTEA/kartor/A 28450-2023.png", "A 28450-2023")</f>
        <v/>
      </c>
      <c r="U20">
        <f>HYPERLINK("https://klasma.github.io/Logging_SKELLEFTEA/knärot/A 28450-2023.png", "A 28450-2023")</f>
        <v/>
      </c>
      <c r="V20">
        <f>HYPERLINK("https://klasma.github.io/Logging_SKELLEFTEA/klagomål/A 28450-2023.docx", "A 28450-2023")</f>
        <v/>
      </c>
      <c r="W20">
        <f>HYPERLINK("https://klasma.github.io/Logging_SKELLEFTEA/klagomålsmail/A 28450-2023.docx", "A 28450-2023")</f>
        <v/>
      </c>
      <c r="X20">
        <f>HYPERLINK("https://klasma.github.io/Logging_SKELLEFTEA/tillsyn/A 28450-2023.docx", "A 28450-2023")</f>
        <v/>
      </c>
      <c r="Y20">
        <f>HYPERLINK("https://klasma.github.io/Logging_SKELLEFTEA/tillsynsmail/A 28450-2023.docx", "A 28450-2023")</f>
        <v/>
      </c>
    </row>
    <row r="21" ht="15" customHeight="1">
      <c r="A21" t="inlineStr">
        <is>
          <t>A 51906-2019</t>
        </is>
      </c>
      <c r="B21" s="1" t="n">
        <v>43741</v>
      </c>
      <c r="C21" s="1" t="n">
        <v>45204</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HYPERLINK("https://klasma.github.io/Logging_VILHELMINA/artfynd/A 51906-2019.xlsx", "A 51906-2019")</f>
        <v/>
      </c>
      <c r="T21">
        <f>HYPERLINK("https://klasma.github.io/Logging_VILHELMINA/kartor/A 51906-2019.png", "A 51906-2019")</f>
        <v/>
      </c>
      <c r="V21">
        <f>HYPERLINK("https://klasma.github.io/Logging_VILHELMINA/klagomål/A 51906-2019.docx", "A 51906-2019")</f>
        <v/>
      </c>
      <c r="W21">
        <f>HYPERLINK("https://klasma.github.io/Logging_VILHELMINA/klagomålsmail/A 51906-2019.docx", "A 51906-2019")</f>
        <v/>
      </c>
      <c r="X21">
        <f>HYPERLINK("https://klasma.github.io/Logging_VILHELMINA/tillsyn/A 51906-2019.docx", "A 51906-2019")</f>
        <v/>
      </c>
      <c r="Y21">
        <f>HYPERLINK("https://klasma.github.io/Logging_VILHELMINA/tillsynsmail/A 51906-2019.docx", "A 51906-2019")</f>
        <v/>
      </c>
    </row>
    <row r="22" ht="15" customHeight="1">
      <c r="A22" t="inlineStr">
        <is>
          <t>A 11974-2021</t>
        </is>
      </c>
      <c r="B22" s="1" t="n">
        <v>44266</v>
      </c>
      <c r="C22" s="1" t="n">
        <v>45204</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HYPERLINK("https://klasma.github.io/Logging_VILHELMINA/artfynd/A 11974-2021.xlsx", "A 11974-2021")</f>
        <v/>
      </c>
      <c r="T22">
        <f>HYPERLINK("https://klasma.github.io/Logging_VILHELMINA/kartor/A 11974-2021.png", "A 11974-2021")</f>
        <v/>
      </c>
      <c r="V22">
        <f>HYPERLINK("https://klasma.github.io/Logging_VILHELMINA/klagomål/A 11974-2021.docx", "A 11974-2021")</f>
        <v/>
      </c>
      <c r="W22">
        <f>HYPERLINK("https://klasma.github.io/Logging_VILHELMINA/klagomålsmail/A 11974-2021.docx", "A 11974-2021")</f>
        <v/>
      </c>
      <c r="X22">
        <f>HYPERLINK("https://klasma.github.io/Logging_VILHELMINA/tillsyn/A 11974-2021.docx", "A 11974-2021")</f>
        <v/>
      </c>
      <c r="Y22">
        <f>HYPERLINK("https://klasma.github.io/Logging_VILHELMINA/tillsynsmail/A 11974-2021.docx", "A 11974-2021")</f>
        <v/>
      </c>
    </row>
    <row r="23" ht="15" customHeight="1">
      <c r="A23" t="inlineStr">
        <is>
          <t>A 13462-2022</t>
        </is>
      </c>
      <c r="B23" s="1" t="n">
        <v>44645</v>
      </c>
      <c r="C23" s="1" t="n">
        <v>45204</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HYPERLINK("https://klasma.github.io/Logging_VILHELMINA/artfynd/A 13462-2022.xlsx", "A 13462-2022")</f>
        <v/>
      </c>
      <c r="T23">
        <f>HYPERLINK("https://klasma.github.io/Logging_VILHELMINA/kartor/A 13462-2022.png", "A 13462-2022")</f>
        <v/>
      </c>
      <c r="V23">
        <f>HYPERLINK("https://klasma.github.io/Logging_VILHELMINA/klagomål/A 13462-2022.docx", "A 13462-2022")</f>
        <v/>
      </c>
      <c r="W23">
        <f>HYPERLINK("https://klasma.github.io/Logging_VILHELMINA/klagomålsmail/A 13462-2022.docx", "A 13462-2022")</f>
        <v/>
      </c>
      <c r="X23">
        <f>HYPERLINK("https://klasma.github.io/Logging_VILHELMINA/tillsyn/A 13462-2022.docx", "A 13462-2022")</f>
        <v/>
      </c>
      <c r="Y23">
        <f>HYPERLINK("https://klasma.github.io/Logging_VILHELMINA/tillsynsmail/A 13462-2022.docx", "A 13462-2022")</f>
        <v/>
      </c>
    </row>
    <row r="24" ht="15" customHeight="1">
      <c r="A24" t="inlineStr">
        <is>
          <t>A 54734-2022</t>
        </is>
      </c>
      <c r="B24" s="1" t="n">
        <v>44881</v>
      </c>
      <c r="C24" s="1" t="n">
        <v>45204</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HYPERLINK("https://klasma.github.io/Logging_VILHELMINA/artfynd/A 54734-2022.xlsx", "A 54734-2022")</f>
        <v/>
      </c>
      <c r="T24">
        <f>HYPERLINK("https://klasma.github.io/Logging_VILHELMINA/kartor/A 54734-2022.png", "A 54734-2022")</f>
        <v/>
      </c>
      <c r="V24">
        <f>HYPERLINK("https://klasma.github.io/Logging_VILHELMINA/klagomål/A 54734-2022.docx", "A 54734-2022")</f>
        <v/>
      </c>
      <c r="W24">
        <f>HYPERLINK("https://klasma.github.io/Logging_VILHELMINA/klagomålsmail/A 54734-2022.docx", "A 54734-2022")</f>
        <v/>
      </c>
      <c r="X24">
        <f>HYPERLINK("https://klasma.github.io/Logging_VILHELMINA/tillsyn/A 54734-2022.docx", "A 54734-2022")</f>
        <v/>
      </c>
      <c r="Y24">
        <f>HYPERLINK("https://klasma.github.io/Logging_VILHELMINA/tillsynsmail/A 54734-2022.docx", "A 54734-2022")</f>
        <v/>
      </c>
    </row>
    <row r="25" ht="15" customHeight="1">
      <c r="A25" t="inlineStr">
        <is>
          <t>A 50028-2019</t>
        </is>
      </c>
      <c r="B25" s="1" t="n">
        <v>43731</v>
      </c>
      <c r="C25" s="1" t="n">
        <v>45204</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HYPERLINK("https://klasma.github.io/Logging_VILHELMINA/artfynd/A 50028-2019.xlsx", "A 50028-2019")</f>
        <v/>
      </c>
      <c r="T25">
        <f>HYPERLINK("https://klasma.github.io/Logging_VILHELMINA/kartor/A 50028-2019.png", "A 50028-2019")</f>
        <v/>
      </c>
      <c r="V25">
        <f>HYPERLINK("https://klasma.github.io/Logging_VILHELMINA/klagomål/A 50028-2019.docx", "A 50028-2019")</f>
        <v/>
      </c>
      <c r="W25">
        <f>HYPERLINK("https://klasma.github.io/Logging_VILHELMINA/klagomålsmail/A 50028-2019.docx", "A 50028-2019")</f>
        <v/>
      </c>
      <c r="X25">
        <f>HYPERLINK("https://klasma.github.io/Logging_VILHELMINA/tillsyn/A 50028-2019.docx", "A 50028-2019")</f>
        <v/>
      </c>
      <c r="Y25">
        <f>HYPERLINK("https://klasma.github.io/Logging_VILHELMINA/tillsynsmail/A 50028-2019.docx", "A 50028-2019")</f>
        <v/>
      </c>
    </row>
    <row r="26" ht="15" customHeight="1">
      <c r="A26" t="inlineStr">
        <is>
          <t>A 24409-2021</t>
        </is>
      </c>
      <c r="B26" s="1" t="n">
        <v>44337</v>
      </c>
      <c r="C26" s="1" t="n">
        <v>45204</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HYPERLINK("https://klasma.github.io/Logging_SORSELE/artfynd/A 24409-2021.xlsx", "A 24409-2021")</f>
        <v/>
      </c>
      <c r="T26">
        <f>HYPERLINK("https://klasma.github.io/Logging_SORSELE/kartor/A 24409-2021.png", "A 24409-2021")</f>
        <v/>
      </c>
      <c r="V26">
        <f>HYPERLINK("https://klasma.github.io/Logging_SORSELE/klagomål/A 24409-2021.docx", "A 24409-2021")</f>
        <v/>
      </c>
      <c r="W26">
        <f>HYPERLINK("https://klasma.github.io/Logging_SORSELE/klagomålsmail/A 24409-2021.docx", "A 24409-2021")</f>
        <v/>
      </c>
      <c r="X26">
        <f>HYPERLINK("https://klasma.github.io/Logging_SORSELE/tillsyn/A 24409-2021.docx", "A 24409-2021")</f>
        <v/>
      </c>
      <c r="Y26">
        <f>HYPERLINK("https://klasma.github.io/Logging_SORSELE/tillsynsmail/A 24409-2021.docx", "A 24409-2021")</f>
        <v/>
      </c>
    </row>
    <row r="27" ht="15" customHeight="1">
      <c r="A27" t="inlineStr">
        <is>
          <t>A 45726-2018</t>
        </is>
      </c>
      <c r="B27" s="1" t="n">
        <v>43362</v>
      </c>
      <c r="C27" s="1" t="n">
        <v>45204</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HYPERLINK("https://klasma.github.io/Logging_LYCKSELE/artfynd/A 45726-2018.xlsx", "A 45726-2018")</f>
        <v/>
      </c>
      <c r="T27">
        <f>HYPERLINK("https://klasma.github.io/Logging_LYCKSELE/kartor/A 45726-2018.png", "A 45726-2018")</f>
        <v/>
      </c>
      <c r="U27">
        <f>HYPERLINK("https://klasma.github.io/Logging_LYCKSELE/knärot/A 45726-2018.png", "A 45726-2018")</f>
        <v/>
      </c>
      <c r="V27">
        <f>HYPERLINK("https://klasma.github.io/Logging_LYCKSELE/klagomål/A 45726-2018.docx", "A 45726-2018")</f>
        <v/>
      </c>
      <c r="W27">
        <f>HYPERLINK("https://klasma.github.io/Logging_LYCKSELE/klagomålsmail/A 45726-2018.docx", "A 45726-2018")</f>
        <v/>
      </c>
      <c r="X27">
        <f>HYPERLINK("https://klasma.github.io/Logging_LYCKSELE/tillsyn/A 45726-2018.docx", "A 45726-2018")</f>
        <v/>
      </c>
      <c r="Y27">
        <f>HYPERLINK("https://klasma.github.io/Logging_LYCKSELE/tillsynsmail/A 45726-2018.docx", "A 45726-2018")</f>
        <v/>
      </c>
    </row>
    <row r="28" ht="15" customHeight="1">
      <c r="A28" t="inlineStr">
        <is>
          <t>A 20995-2019</t>
        </is>
      </c>
      <c r="B28" s="1" t="n">
        <v>43578</v>
      </c>
      <c r="C28" s="1" t="n">
        <v>45204</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HYPERLINK("https://klasma.github.io/Logging_NORDMALING/artfynd/A 20995-2019.xlsx", "A 20995-2019")</f>
        <v/>
      </c>
      <c r="T28">
        <f>HYPERLINK("https://klasma.github.io/Logging_NORDMALING/kartor/A 20995-2019.png", "A 20995-2019")</f>
        <v/>
      </c>
      <c r="U28">
        <f>HYPERLINK("https://klasma.github.io/Logging_NORDMALING/knärot/A 20995-2019.png", "A 20995-2019")</f>
        <v/>
      </c>
      <c r="V28">
        <f>HYPERLINK("https://klasma.github.io/Logging_NORDMALING/klagomål/A 20995-2019.docx", "A 20995-2019")</f>
        <v/>
      </c>
      <c r="W28">
        <f>HYPERLINK("https://klasma.github.io/Logging_NORDMALING/klagomålsmail/A 20995-2019.docx", "A 20995-2019")</f>
        <v/>
      </c>
      <c r="X28">
        <f>HYPERLINK("https://klasma.github.io/Logging_NORDMALING/tillsyn/A 20995-2019.docx", "A 20995-2019")</f>
        <v/>
      </c>
      <c r="Y28">
        <f>HYPERLINK("https://klasma.github.io/Logging_NORDMALING/tillsynsmail/A 20995-2019.docx", "A 20995-2019")</f>
        <v/>
      </c>
    </row>
    <row r="29" ht="15" customHeight="1">
      <c r="A29" t="inlineStr">
        <is>
          <t>A 48539-2020</t>
        </is>
      </c>
      <c r="B29" s="1" t="n">
        <v>44078</v>
      </c>
      <c r="C29" s="1" t="n">
        <v>45204</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 "A 48539-2020")</f>
        <v/>
      </c>
      <c r="T29">
        <f>HYPERLINK("https://klasma.github.io/Logging_SORSELE/kartor/A 48539-2020.png", "A 48539-2020")</f>
        <v/>
      </c>
      <c r="V29">
        <f>HYPERLINK("https://klasma.github.io/Logging_SORSELE/klagomål/A 48539-2020.docx", "A 48539-2020")</f>
        <v/>
      </c>
      <c r="W29">
        <f>HYPERLINK("https://klasma.github.io/Logging_SORSELE/klagomålsmail/A 48539-2020.docx", "A 48539-2020")</f>
        <v/>
      </c>
      <c r="X29">
        <f>HYPERLINK("https://klasma.github.io/Logging_SORSELE/tillsyn/A 48539-2020.docx", "A 48539-2020")</f>
        <v/>
      </c>
      <c r="Y29">
        <f>HYPERLINK("https://klasma.github.io/Logging_SORSELE/tillsynsmail/A 48539-2020.docx", "A 48539-2020")</f>
        <v/>
      </c>
    </row>
    <row r="30" ht="15" customHeight="1">
      <c r="A30" t="inlineStr">
        <is>
          <t>A 11282-2021</t>
        </is>
      </c>
      <c r="B30" s="1" t="n">
        <v>44263</v>
      </c>
      <c r="C30" s="1" t="n">
        <v>45204</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 "A 11282-2021")</f>
        <v/>
      </c>
      <c r="T30">
        <f>HYPERLINK("https://klasma.github.io/Logging_VILHELMINA/kartor/A 11282-2021.png", "A 11282-2021")</f>
        <v/>
      </c>
      <c r="V30">
        <f>HYPERLINK("https://klasma.github.io/Logging_VILHELMINA/klagomål/A 11282-2021.docx", "A 11282-2021")</f>
        <v/>
      </c>
      <c r="W30">
        <f>HYPERLINK("https://klasma.github.io/Logging_VILHELMINA/klagomålsmail/A 11282-2021.docx", "A 11282-2021")</f>
        <v/>
      </c>
      <c r="X30">
        <f>HYPERLINK("https://klasma.github.io/Logging_VILHELMINA/tillsyn/A 11282-2021.docx", "A 11282-2021")</f>
        <v/>
      </c>
      <c r="Y30">
        <f>HYPERLINK("https://klasma.github.io/Logging_VILHELMINA/tillsynsmail/A 11282-2021.docx", "A 11282-2021")</f>
        <v/>
      </c>
    </row>
    <row r="31" ht="15" customHeight="1">
      <c r="A31" t="inlineStr">
        <is>
          <t>A 39168-2021</t>
        </is>
      </c>
      <c r="B31" s="1" t="n">
        <v>44412</v>
      </c>
      <c r="C31" s="1" t="n">
        <v>45204</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 "A 39168-2021")</f>
        <v/>
      </c>
      <c r="T31">
        <f>HYPERLINK("https://klasma.github.io/Logging_VILHELMINA/kartor/A 39168-2021.png", "A 39168-2021")</f>
        <v/>
      </c>
      <c r="V31">
        <f>HYPERLINK("https://klasma.github.io/Logging_VILHELMINA/klagomål/A 39168-2021.docx", "A 39168-2021")</f>
        <v/>
      </c>
      <c r="W31">
        <f>HYPERLINK("https://klasma.github.io/Logging_VILHELMINA/klagomålsmail/A 39168-2021.docx", "A 39168-2021")</f>
        <v/>
      </c>
      <c r="X31">
        <f>HYPERLINK("https://klasma.github.io/Logging_VILHELMINA/tillsyn/A 39168-2021.docx", "A 39168-2021")</f>
        <v/>
      </c>
      <c r="Y31">
        <f>HYPERLINK("https://klasma.github.io/Logging_VILHELMINA/tillsynsmail/A 39168-2021.docx", "A 39168-2021")</f>
        <v/>
      </c>
    </row>
    <row r="32" ht="15" customHeight="1">
      <c r="A32" t="inlineStr">
        <is>
          <t>A 19721-2023</t>
        </is>
      </c>
      <c r="B32" s="1" t="n">
        <v>45050</v>
      </c>
      <c r="C32" s="1" t="n">
        <v>45204</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 "A 19721-2023")</f>
        <v/>
      </c>
      <c r="T32">
        <f>HYPERLINK("https://klasma.github.io/Logging_VILHELMINA/kartor/A 19721-2023.png", "A 19721-2023")</f>
        <v/>
      </c>
      <c r="V32">
        <f>HYPERLINK("https://klasma.github.io/Logging_VILHELMINA/klagomål/A 19721-2023.docx", "A 19721-2023")</f>
        <v/>
      </c>
      <c r="W32">
        <f>HYPERLINK("https://klasma.github.io/Logging_VILHELMINA/klagomålsmail/A 19721-2023.docx", "A 19721-2023")</f>
        <v/>
      </c>
      <c r="X32">
        <f>HYPERLINK("https://klasma.github.io/Logging_VILHELMINA/tillsyn/A 19721-2023.docx", "A 19721-2023")</f>
        <v/>
      </c>
      <c r="Y32">
        <f>HYPERLINK("https://klasma.github.io/Logging_VILHELMINA/tillsynsmail/A 19721-2023.docx", "A 19721-2023")</f>
        <v/>
      </c>
    </row>
    <row r="33" ht="15" customHeight="1">
      <c r="A33" t="inlineStr">
        <is>
          <t>A 33668-2023</t>
        </is>
      </c>
      <c r="B33" s="1" t="n">
        <v>45119</v>
      </c>
      <c r="C33" s="1" t="n">
        <v>45204</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HYPERLINK("https://klasma.github.io/Logging_VILHELMINA/artfynd/A 33668-2023.xlsx", "A 33668-2023")</f>
        <v/>
      </c>
      <c r="T33">
        <f>HYPERLINK("https://klasma.github.io/Logging_VILHELMINA/kartor/A 33668-2023.png", "A 33668-2023")</f>
        <v/>
      </c>
      <c r="V33">
        <f>HYPERLINK("https://klasma.github.io/Logging_VILHELMINA/klagomål/A 33668-2023.docx", "A 33668-2023")</f>
        <v/>
      </c>
      <c r="W33">
        <f>HYPERLINK("https://klasma.github.io/Logging_VILHELMINA/klagomålsmail/A 33668-2023.docx", "A 33668-2023")</f>
        <v/>
      </c>
      <c r="X33">
        <f>HYPERLINK("https://klasma.github.io/Logging_VILHELMINA/tillsyn/A 33668-2023.docx", "A 33668-2023")</f>
        <v/>
      </c>
      <c r="Y33">
        <f>HYPERLINK("https://klasma.github.io/Logging_VILHELMINA/tillsynsmail/A 33668-2023.docx", "A 33668-2023")</f>
        <v/>
      </c>
    </row>
    <row r="34" ht="15" customHeight="1">
      <c r="A34" t="inlineStr">
        <is>
          <t>A 43980-2020</t>
        </is>
      </c>
      <c r="B34" s="1" t="n">
        <v>44078</v>
      </c>
      <c r="C34" s="1" t="n">
        <v>45204</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HYPERLINK("https://klasma.github.io/Logging_SORSELE/artfynd/A 43980-2020.xlsx", "A 43980-2020")</f>
        <v/>
      </c>
      <c r="T34">
        <f>HYPERLINK("https://klasma.github.io/Logging_SORSELE/kartor/A 43980-2020.png", "A 43980-2020")</f>
        <v/>
      </c>
      <c r="V34">
        <f>HYPERLINK("https://klasma.github.io/Logging_SORSELE/klagomål/A 43980-2020.docx", "A 43980-2020")</f>
        <v/>
      </c>
      <c r="W34">
        <f>HYPERLINK("https://klasma.github.io/Logging_SORSELE/klagomålsmail/A 43980-2020.docx", "A 43980-2020")</f>
        <v/>
      </c>
      <c r="X34">
        <f>HYPERLINK("https://klasma.github.io/Logging_SORSELE/tillsyn/A 43980-2020.docx", "A 43980-2020")</f>
        <v/>
      </c>
      <c r="Y34">
        <f>HYPERLINK("https://klasma.github.io/Logging_SORSELE/tillsynsmail/A 43980-2020.docx", "A 43980-2020")</f>
        <v/>
      </c>
    </row>
    <row r="35" ht="15" customHeight="1">
      <c r="A35" t="inlineStr">
        <is>
          <t>A 63229-2020</t>
        </is>
      </c>
      <c r="B35" s="1" t="n">
        <v>44163</v>
      </c>
      <c r="C35" s="1" t="n">
        <v>45204</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HYPERLINK("https://klasma.github.io/Logging_ROBERTSFORS/artfynd/A 63229-2020.xlsx", "A 63229-2020")</f>
        <v/>
      </c>
      <c r="T35">
        <f>HYPERLINK("https://klasma.github.io/Logging_ROBERTSFORS/kartor/A 63229-2020.png", "A 63229-2020")</f>
        <v/>
      </c>
      <c r="V35">
        <f>HYPERLINK("https://klasma.github.io/Logging_ROBERTSFORS/klagomål/A 63229-2020.docx", "A 63229-2020")</f>
        <v/>
      </c>
      <c r="W35">
        <f>HYPERLINK("https://klasma.github.io/Logging_ROBERTSFORS/klagomålsmail/A 63229-2020.docx", "A 63229-2020")</f>
        <v/>
      </c>
      <c r="X35">
        <f>HYPERLINK("https://klasma.github.io/Logging_ROBERTSFORS/tillsyn/A 63229-2020.docx", "A 63229-2020")</f>
        <v/>
      </c>
      <c r="Y35">
        <f>HYPERLINK("https://klasma.github.io/Logging_ROBERTSFORS/tillsynsmail/A 63229-2020.docx", "A 63229-2020")</f>
        <v/>
      </c>
    </row>
    <row r="36" ht="15" customHeight="1">
      <c r="A36" t="inlineStr">
        <is>
          <t>A 59219-2022</t>
        </is>
      </c>
      <c r="B36" s="1" t="n">
        <v>44904</v>
      </c>
      <c r="C36" s="1" t="n">
        <v>45204</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HYPERLINK("https://klasma.github.io/Logging_STORUMAN/artfynd/A 59219-2022.xlsx", "A 59219-2022")</f>
        <v/>
      </c>
      <c r="T36">
        <f>HYPERLINK("https://klasma.github.io/Logging_STORUMAN/kartor/A 59219-2022.png", "A 59219-2022")</f>
        <v/>
      </c>
      <c r="V36">
        <f>HYPERLINK("https://klasma.github.io/Logging_STORUMAN/klagomål/A 59219-2022.docx", "A 59219-2022")</f>
        <v/>
      </c>
      <c r="W36">
        <f>HYPERLINK("https://klasma.github.io/Logging_STORUMAN/klagomålsmail/A 59219-2022.docx", "A 59219-2022")</f>
        <v/>
      </c>
      <c r="X36">
        <f>HYPERLINK("https://klasma.github.io/Logging_STORUMAN/tillsyn/A 59219-2022.docx", "A 59219-2022")</f>
        <v/>
      </c>
      <c r="Y36">
        <f>HYPERLINK("https://klasma.github.io/Logging_STORUMAN/tillsynsmail/A 59219-2022.docx", "A 59219-2022")</f>
        <v/>
      </c>
    </row>
    <row r="37" ht="15" customHeight="1">
      <c r="A37" t="inlineStr">
        <is>
          <t>A 6982-2023</t>
        </is>
      </c>
      <c r="B37" s="1" t="n">
        <v>44964</v>
      </c>
      <c r="C37" s="1" t="n">
        <v>45204</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HYPERLINK("https://klasma.github.io/Logging_VILHELMINA/artfynd/A 6982-2023.xlsx", "A 6982-2023")</f>
        <v/>
      </c>
      <c r="T37">
        <f>HYPERLINK("https://klasma.github.io/Logging_VILHELMINA/kartor/A 6982-2023.png", "A 6982-2023")</f>
        <v/>
      </c>
      <c r="V37">
        <f>HYPERLINK("https://klasma.github.io/Logging_VILHELMINA/klagomål/A 6982-2023.docx", "A 6982-2023")</f>
        <v/>
      </c>
      <c r="W37">
        <f>HYPERLINK("https://klasma.github.io/Logging_VILHELMINA/klagomålsmail/A 6982-2023.docx", "A 6982-2023")</f>
        <v/>
      </c>
      <c r="X37">
        <f>HYPERLINK("https://klasma.github.io/Logging_VILHELMINA/tillsyn/A 6982-2023.docx", "A 6982-2023")</f>
        <v/>
      </c>
      <c r="Y37">
        <f>HYPERLINK("https://klasma.github.io/Logging_VILHELMINA/tillsynsmail/A 6982-2023.docx", "A 6982-2023")</f>
        <v/>
      </c>
    </row>
    <row r="38" ht="15" customHeight="1">
      <c r="A38" t="inlineStr">
        <is>
          <t>A 43848-2019</t>
        </is>
      </c>
      <c r="B38" s="1" t="n">
        <v>43707</v>
      </c>
      <c r="C38" s="1" t="n">
        <v>45204</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HYPERLINK("https://klasma.github.io/Logging_SKELLEFTEA/artfynd/A 43848-2019.xlsx", "A 43848-2019")</f>
        <v/>
      </c>
      <c r="T38">
        <f>HYPERLINK("https://klasma.github.io/Logging_SKELLEFTEA/kartor/A 43848-2019.png", "A 43848-2019")</f>
        <v/>
      </c>
      <c r="V38">
        <f>HYPERLINK("https://klasma.github.io/Logging_SKELLEFTEA/klagomål/A 43848-2019.docx", "A 43848-2019")</f>
        <v/>
      </c>
      <c r="W38">
        <f>HYPERLINK("https://klasma.github.io/Logging_SKELLEFTEA/klagomålsmail/A 43848-2019.docx", "A 43848-2019")</f>
        <v/>
      </c>
      <c r="X38">
        <f>HYPERLINK("https://klasma.github.io/Logging_SKELLEFTEA/tillsyn/A 43848-2019.docx", "A 43848-2019")</f>
        <v/>
      </c>
      <c r="Y38">
        <f>HYPERLINK("https://klasma.github.io/Logging_SKELLEFTEA/tillsynsmail/A 43848-2019.docx", "A 43848-2019")</f>
        <v/>
      </c>
    </row>
    <row r="39" ht="15" customHeight="1">
      <c r="A39" t="inlineStr">
        <is>
          <t>A 45415-2020</t>
        </is>
      </c>
      <c r="B39" s="1" t="n">
        <v>44088</v>
      </c>
      <c r="C39" s="1" t="n">
        <v>45204</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HYPERLINK("https://klasma.github.io/Logging_SORSELE/artfynd/A 45415-2020.xlsx", "A 45415-2020")</f>
        <v/>
      </c>
      <c r="T39">
        <f>HYPERLINK("https://klasma.github.io/Logging_SORSELE/kartor/A 45415-2020.png", "A 45415-2020")</f>
        <v/>
      </c>
      <c r="V39">
        <f>HYPERLINK("https://klasma.github.io/Logging_SORSELE/klagomål/A 45415-2020.docx", "A 45415-2020")</f>
        <v/>
      </c>
      <c r="W39">
        <f>HYPERLINK("https://klasma.github.io/Logging_SORSELE/klagomålsmail/A 45415-2020.docx", "A 45415-2020")</f>
        <v/>
      </c>
      <c r="X39">
        <f>HYPERLINK("https://klasma.github.io/Logging_SORSELE/tillsyn/A 45415-2020.docx", "A 45415-2020")</f>
        <v/>
      </c>
      <c r="Y39">
        <f>HYPERLINK("https://klasma.github.io/Logging_SORSELE/tillsynsmail/A 45415-2020.docx", "A 45415-2020")</f>
        <v/>
      </c>
    </row>
    <row r="40" ht="15" customHeight="1">
      <c r="A40" t="inlineStr">
        <is>
          <t>A 3379-2022</t>
        </is>
      </c>
      <c r="B40" s="1" t="n">
        <v>44585</v>
      </c>
      <c r="C40" s="1" t="n">
        <v>45204</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HYPERLINK("https://klasma.github.io/Logging_STORUMAN/artfynd/A 3379-2022.xlsx", "A 3379-2022")</f>
        <v/>
      </c>
      <c r="T40">
        <f>HYPERLINK("https://klasma.github.io/Logging_STORUMAN/kartor/A 3379-2022.png", "A 3379-2022")</f>
        <v/>
      </c>
      <c r="V40">
        <f>HYPERLINK("https://klasma.github.io/Logging_STORUMAN/klagomål/A 3379-2022.docx", "A 3379-2022")</f>
        <v/>
      </c>
      <c r="W40">
        <f>HYPERLINK("https://klasma.github.io/Logging_STORUMAN/klagomålsmail/A 3379-2022.docx", "A 3379-2022")</f>
        <v/>
      </c>
      <c r="X40">
        <f>HYPERLINK("https://klasma.github.io/Logging_STORUMAN/tillsyn/A 3379-2022.docx", "A 3379-2022")</f>
        <v/>
      </c>
      <c r="Y40">
        <f>HYPERLINK("https://klasma.github.io/Logging_STORUMAN/tillsynsmail/A 3379-2022.docx", "A 3379-2022")</f>
        <v/>
      </c>
    </row>
    <row r="41" ht="15" customHeight="1">
      <c r="A41" t="inlineStr">
        <is>
          <t>A 50909-2022</t>
        </is>
      </c>
      <c r="B41" s="1" t="n">
        <v>44865</v>
      </c>
      <c r="C41" s="1" t="n">
        <v>45204</v>
      </c>
      <c r="D41" t="inlineStr">
        <is>
          <t>VÄSTERBOTTENS LÄN</t>
        </is>
      </c>
      <c r="E41" t="inlineStr">
        <is>
          <t>SORSELE</t>
        </is>
      </c>
      <c r="G41" t="n">
        <v>14.6</v>
      </c>
      <c r="H41" t="n">
        <v>1</v>
      </c>
      <c r="I41" t="n">
        <v>3</v>
      </c>
      <c r="J41" t="n">
        <v>13</v>
      </c>
      <c r="K41" t="n">
        <v>2</v>
      </c>
      <c r="L41" t="n">
        <v>0</v>
      </c>
      <c r="M41" t="n">
        <v>0</v>
      </c>
      <c r="N41" t="n">
        <v>0</v>
      </c>
      <c r="O41" t="n">
        <v>15</v>
      </c>
      <c r="P41" t="n">
        <v>2</v>
      </c>
      <c r="Q41" t="n">
        <v>18</v>
      </c>
      <c r="R41" s="2" t="inlineStr">
        <is>
          <t>Grantickeporing
Rynkskinn
Gammelgransskål
Garnlav
Granticka
Gränsticka
Harticka
Knottrig blåslav
Lunglav
Rosenticka
Rödbrun blekspik
Tretåig hackspett
Ullticka
Vitgrynig nållav
Vitskaftad svartspik
Gulnål
Stuplav
Trådticka</t>
        </is>
      </c>
      <c r="S41">
        <f>HYPERLINK("https://klasma.github.io/Logging_SORSELE/artfynd/A 50909-2022.xlsx", "A 50909-2022")</f>
        <v/>
      </c>
      <c r="T41">
        <f>HYPERLINK("https://klasma.github.io/Logging_SORSELE/kartor/A 50909-2022.png", "A 50909-2022")</f>
        <v/>
      </c>
      <c r="V41">
        <f>HYPERLINK("https://klasma.github.io/Logging_SORSELE/klagomål/A 50909-2022.docx", "A 50909-2022")</f>
        <v/>
      </c>
      <c r="W41">
        <f>HYPERLINK("https://klasma.github.io/Logging_SORSELE/klagomålsmail/A 50909-2022.docx", "A 50909-2022")</f>
        <v/>
      </c>
      <c r="X41">
        <f>HYPERLINK("https://klasma.github.io/Logging_SORSELE/tillsyn/A 50909-2022.docx", "A 50909-2022")</f>
        <v/>
      </c>
      <c r="Y41">
        <f>HYPERLINK("https://klasma.github.io/Logging_SORSELE/tillsynsmail/A 50909-2022.docx", "A 50909-2022")</f>
        <v/>
      </c>
    </row>
    <row r="42" ht="15" customHeight="1">
      <c r="A42" t="inlineStr">
        <is>
          <t>A 3150-2023</t>
        </is>
      </c>
      <c r="B42" s="1" t="n">
        <v>44945</v>
      </c>
      <c r="C42" s="1" t="n">
        <v>45204</v>
      </c>
      <c r="D42" t="inlineStr">
        <is>
          <t>VÄSTERBOTTENS LÄN</t>
        </is>
      </c>
      <c r="E42" t="inlineStr">
        <is>
          <t>VILHELMINA</t>
        </is>
      </c>
      <c r="F42" t="inlineStr">
        <is>
          <t>Allmännings- och besparingsskogar</t>
        </is>
      </c>
      <c r="G42" t="n">
        <v>24.2</v>
      </c>
      <c r="H42" t="n">
        <v>3</v>
      </c>
      <c r="I42" t="n">
        <v>7</v>
      </c>
      <c r="J42" t="n">
        <v>9</v>
      </c>
      <c r="K42" t="n">
        <v>2</v>
      </c>
      <c r="L42" t="n">
        <v>0</v>
      </c>
      <c r="M42" t="n">
        <v>0</v>
      </c>
      <c r="N42" t="n">
        <v>0</v>
      </c>
      <c r="O42" t="n">
        <v>11</v>
      </c>
      <c r="P42" t="n">
        <v>2</v>
      </c>
      <c r="Q42" t="n">
        <v>18</v>
      </c>
      <c r="R42" s="2" t="inlineStr">
        <is>
          <t>Rödskaftad svartspik
Tallbit
Garnlav
Granticka
Knottrig blåslav
Lunglav
Skrovellav
Talltita
Tretåig hackspett
Vitgrynig nållav
Vitskaftad svartspik
Barkkornlav
Bårdlav
Korallblylav
Luddlav
Rävticka
Skinnlav
Stuplav</t>
        </is>
      </c>
      <c r="S42">
        <f>HYPERLINK("https://klasma.github.io/Logging_VILHELMINA/artfynd/A 3150-2023.xlsx", "A 3150-2023")</f>
        <v/>
      </c>
      <c r="T42">
        <f>HYPERLINK("https://klasma.github.io/Logging_VILHELMINA/kartor/A 3150-2023.png", "A 3150-2023")</f>
        <v/>
      </c>
      <c r="V42">
        <f>HYPERLINK("https://klasma.github.io/Logging_VILHELMINA/klagomål/A 3150-2023.docx", "A 3150-2023")</f>
        <v/>
      </c>
      <c r="W42">
        <f>HYPERLINK("https://klasma.github.io/Logging_VILHELMINA/klagomålsmail/A 3150-2023.docx", "A 3150-2023")</f>
        <v/>
      </c>
      <c r="X42">
        <f>HYPERLINK("https://klasma.github.io/Logging_VILHELMINA/tillsyn/A 3150-2023.docx", "A 3150-2023")</f>
        <v/>
      </c>
      <c r="Y42">
        <f>HYPERLINK("https://klasma.github.io/Logging_VILHELMINA/tillsynsmail/A 3150-2023.docx", "A 3150-2023")</f>
        <v/>
      </c>
    </row>
    <row r="43" ht="15" customHeight="1">
      <c r="A43" t="inlineStr">
        <is>
          <t>A 17055-2023</t>
        </is>
      </c>
      <c r="B43" s="1" t="n">
        <v>45030</v>
      </c>
      <c r="C43" s="1" t="n">
        <v>45204</v>
      </c>
      <c r="D43" t="inlineStr">
        <is>
          <t>VÄSTERBOTTENS LÄN</t>
        </is>
      </c>
      <c r="E43" t="inlineStr">
        <is>
          <t>VILHELMINA</t>
        </is>
      </c>
      <c r="F43" t="inlineStr">
        <is>
          <t>Allmännings- och besparingsskogar</t>
        </is>
      </c>
      <c r="G43" t="n">
        <v>17.1</v>
      </c>
      <c r="H43" t="n">
        <v>2</v>
      </c>
      <c r="I43" t="n">
        <v>2</v>
      </c>
      <c r="J43" t="n">
        <v>13</v>
      </c>
      <c r="K43" t="n">
        <v>3</v>
      </c>
      <c r="L43" t="n">
        <v>0</v>
      </c>
      <c r="M43" t="n">
        <v>0</v>
      </c>
      <c r="N43" t="n">
        <v>0</v>
      </c>
      <c r="O43" t="n">
        <v>16</v>
      </c>
      <c r="P43" t="n">
        <v>3</v>
      </c>
      <c r="Q43" t="n">
        <v>18</v>
      </c>
      <c r="R43" s="2" t="inlineStr">
        <is>
          <t>Blackticka
Grantickeporing
Tajgaskinn
Doftskinn
Gammelgransskål
Garnlav
Granticka
Gränsticka
Harticka
Järpe
Knottrig blåslav
Rosenticka
Stjärntagging
Tretåig hackspett
Ullticka
Vitgrynig nållav
Stuplav
Vedticka</t>
        </is>
      </c>
      <c r="S43">
        <f>HYPERLINK("https://klasma.github.io/Logging_VILHELMINA/artfynd/A 17055-2023.xlsx", "A 17055-2023")</f>
        <v/>
      </c>
      <c r="T43">
        <f>HYPERLINK("https://klasma.github.io/Logging_VILHELMINA/kartor/A 17055-2023.png", "A 17055-2023")</f>
        <v/>
      </c>
      <c r="V43">
        <f>HYPERLINK("https://klasma.github.io/Logging_VILHELMINA/klagomål/A 17055-2023.docx", "A 17055-2023")</f>
        <v/>
      </c>
      <c r="W43">
        <f>HYPERLINK("https://klasma.github.io/Logging_VILHELMINA/klagomålsmail/A 17055-2023.docx", "A 17055-2023")</f>
        <v/>
      </c>
      <c r="X43">
        <f>HYPERLINK("https://klasma.github.io/Logging_VILHELMINA/tillsyn/A 17055-2023.docx", "A 17055-2023")</f>
        <v/>
      </c>
      <c r="Y43">
        <f>HYPERLINK("https://klasma.github.io/Logging_VILHELMINA/tillsynsmail/A 17055-2023.docx", "A 17055-2023")</f>
        <v/>
      </c>
    </row>
    <row r="44" ht="15" customHeight="1">
      <c r="A44" t="inlineStr">
        <is>
          <t>A 17045-2023</t>
        </is>
      </c>
      <c r="B44" s="1" t="n">
        <v>45030</v>
      </c>
      <c r="C44" s="1" t="n">
        <v>45204</v>
      </c>
      <c r="D44" t="inlineStr">
        <is>
          <t>VÄSTERBOTTENS LÄN</t>
        </is>
      </c>
      <c r="E44" t="inlineStr">
        <is>
          <t>VILHELMINA</t>
        </is>
      </c>
      <c r="F44" t="inlineStr">
        <is>
          <t>Allmännings- och besparingsskogar</t>
        </is>
      </c>
      <c r="G44" t="n">
        <v>20</v>
      </c>
      <c r="H44" t="n">
        <v>1</v>
      </c>
      <c r="I44" t="n">
        <v>5</v>
      </c>
      <c r="J44" t="n">
        <v>11</v>
      </c>
      <c r="K44" t="n">
        <v>2</v>
      </c>
      <c r="L44" t="n">
        <v>0</v>
      </c>
      <c r="M44" t="n">
        <v>0</v>
      </c>
      <c r="N44" t="n">
        <v>0</v>
      </c>
      <c r="O44" t="n">
        <v>13</v>
      </c>
      <c r="P44" t="n">
        <v>2</v>
      </c>
      <c r="Q44" t="n">
        <v>18</v>
      </c>
      <c r="R44" s="2" t="inlineStr">
        <is>
          <t>Grantickeporing
Rynkskinn
Brunpudrad nållav
Doftskinn
Gammelgransskål
Garnlav
Granticka
Gränsticka
Harticka
Knottrig blåslav
Skrovellav
Tretåig hackspett
Vitgrynig nållav
Bårdlav
Luddlav
Stuplav
Trådticka
Ögonpyrola</t>
        </is>
      </c>
      <c r="S44">
        <f>HYPERLINK("https://klasma.github.io/Logging_VILHELMINA/artfynd/A 17045-2023.xlsx", "A 17045-2023")</f>
        <v/>
      </c>
      <c r="T44">
        <f>HYPERLINK("https://klasma.github.io/Logging_VILHELMINA/kartor/A 17045-2023.png", "A 17045-2023")</f>
        <v/>
      </c>
      <c r="V44">
        <f>HYPERLINK("https://klasma.github.io/Logging_VILHELMINA/klagomål/A 17045-2023.docx", "A 17045-2023")</f>
        <v/>
      </c>
      <c r="W44">
        <f>HYPERLINK("https://klasma.github.io/Logging_VILHELMINA/klagomålsmail/A 17045-2023.docx", "A 17045-2023")</f>
        <v/>
      </c>
      <c r="X44">
        <f>HYPERLINK("https://klasma.github.io/Logging_VILHELMINA/tillsyn/A 17045-2023.docx", "A 17045-2023")</f>
        <v/>
      </c>
      <c r="Y44">
        <f>HYPERLINK("https://klasma.github.io/Logging_VILHELMINA/tillsynsmail/A 17045-2023.docx", "A 17045-2023")</f>
        <v/>
      </c>
    </row>
    <row r="45" ht="15" customHeight="1">
      <c r="A45" t="inlineStr">
        <is>
          <t>A 1074-2019</t>
        </is>
      </c>
      <c r="B45" s="1" t="n">
        <v>43472</v>
      </c>
      <c r="C45" s="1" t="n">
        <v>45204</v>
      </c>
      <c r="D45" t="inlineStr">
        <is>
          <t>VÄSTERBOTTENS LÄN</t>
        </is>
      </c>
      <c r="E45" t="inlineStr">
        <is>
          <t>LYCKSELE</t>
        </is>
      </c>
      <c r="G45" t="n">
        <v>56</v>
      </c>
      <c r="H45" t="n">
        <v>4</v>
      </c>
      <c r="I45" t="n">
        <v>3</v>
      </c>
      <c r="J45" t="n">
        <v>14</v>
      </c>
      <c r="K45" t="n">
        <v>0</v>
      </c>
      <c r="L45" t="n">
        <v>0</v>
      </c>
      <c r="M45" t="n">
        <v>0</v>
      </c>
      <c r="N45" t="n">
        <v>0</v>
      </c>
      <c r="O45" t="n">
        <v>14</v>
      </c>
      <c r="P45" t="n">
        <v>0</v>
      </c>
      <c r="Q45" t="n">
        <v>17</v>
      </c>
      <c r="R45" s="2" t="inlineStr">
        <is>
          <t>Doftskinn
Gammelgransskål
Granticka
Gränsticka
Järpe
Lunglav
Rosenticka
Rödbrun blekspik
Skrovellav
Spillkråka
Stjärntagging
Tretåig hackspett
Ullticka
Videsparv
Bårdlav
Luddlav
Stuplav</t>
        </is>
      </c>
      <c r="S45">
        <f>HYPERLINK("https://klasma.github.io/Logging_LYCKSELE/artfynd/A 1074-2019.xlsx", "A 1074-2019")</f>
        <v/>
      </c>
      <c r="T45">
        <f>HYPERLINK("https://klasma.github.io/Logging_LYCKSELE/kartor/A 1074-2019.png", "A 1074-2019")</f>
        <v/>
      </c>
      <c r="V45">
        <f>HYPERLINK("https://klasma.github.io/Logging_LYCKSELE/klagomål/A 1074-2019.docx", "A 1074-2019")</f>
        <v/>
      </c>
      <c r="W45">
        <f>HYPERLINK("https://klasma.github.io/Logging_LYCKSELE/klagomålsmail/A 1074-2019.docx", "A 1074-2019")</f>
        <v/>
      </c>
      <c r="X45">
        <f>HYPERLINK("https://klasma.github.io/Logging_LYCKSELE/tillsyn/A 1074-2019.docx", "A 1074-2019")</f>
        <v/>
      </c>
      <c r="Y45">
        <f>HYPERLINK("https://klasma.github.io/Logging_LYCKSELE/tillsynsmail/A 1074-2019.docx", "A 1074-2019")</f>
        <v/>
      </c>
    </row>
    <row r="46" ht="15" customHeight="1">
      <c r="A46" t="inlineStr">
        <is>
          <t>A 66998-2021</t>
        </is>
      </c>
      <c r="B46" s="1" t="n">
        <v>44522</v>
      </c>
      <c r="C46" s="1" t="n">
        <v>45204</v>
      </c>
      <c r="D46" t="inlineStr">
        <is>
          <t>VÄSTERBOTTENS LÄN</t>
        </is>
      </c>
      <c r="E46" t="inlineStr">
        <is>
          <t>VILHELMINA</t>
        </is>
      </c>
      <c r="F46" t="inlineStr">
        <is>
          <t>Allmännings- och besparingsskogar</t>
        </is>
      </c>
      <c r="G46" t="n">
        <v>573.2</v>
      </c>
      <c r="H46" t="n">
        <v>0</v>
      </c>
      <c r="I46" t="n">
        <v>1</v>
      </c>
      <c r="J46" t="n">
        <v>12</v>
      </c>
      <c r="K46" t="n">
        <v>4</v>
      </c>
      <c r="L46" t="n">
        <v>0</v>
      </c>
      <c r="M46" t="n">
        <v>0</v>
      </c>
      <c r="N46" t="n">
        <v>0</v>
      </c>
      <c r="O46" t="n">
        <v>16</v>
      </c>
      <c r="P46" t="n">
        <v>4</v>
      </c>
      <c r="Q46" t="n">
        <v>17</v>
      </c>
      <c r="R46" s="2" t="inlineStr">
        <is>
          <t>Lappticka
Ostticka
Rynkskinn
Tajgaskinn
Brunpudrad nållav
Doftskinn
Gammelgransskål
Garnlav
Gränsticka
Harticka
Knottrig blåslav
Rosenticka
Rödbrun blekspik
Ullticka
Urnlav
Vitskaftad svartspik
Sotlav</t>
        </is>
      </c>
      <c r="S46">
        <f>HYPERLINK("https://klasma.github.io/Logging_VILHELMINA/artfynd/A 66998-2021.xlsx", "A 66998-2021")</f>
        <v/>
      </c>
      <c r="T46">
        <f>HYPERLINK("https://klasma.github.io/Logging_VILHELMINA/kartor/A 66998-2021.png", "A 66998-2021")</f>
        <v/>
      </c>
      <c r="V46">
        <f>HYPERLINK("https://klasma.github.io/Logging_VILHELMINA/klagomål/A 66998-2021.docx", "A 66998-2021")</f>
        <v/>
      </c>
      <c r="W46">
        <f>HYPERLINK("https://klasma.github.io/Logging_VILHELMINA/klagomålsmail/A 66998-2021.docx", "A 66998-2021")</f>
        <v/>
      </c>
      <c r="X46">
        <f>HYPERLINK("https://klasma.github.io/Logging_VILHELMINA/tillsyn/A 66998-2021.docx", "A 66998-2021")</f>
        <v/>
      </c>
      <c r="Y46">
        <f>HYPERLINK("https://klasma.github.io/Logging_VILHELMINA/tillsynsmail/A 66998-2021.docx", "A 66998-2021")</f>
        <v/>
      </c>
    </row>
    <row r="47" ht="15" customHeight="1">
      <c r="A47" t="inlineStr">
        <is>
          <t>A 22179-2022</t>
        </is>
      </c>
      <c r="B47" s="1" t="n">
        <v>44712</v>
      </c>
      <c r="C47" s="1" t="n">
        <v>45204</v>
      </c>
      <c r="D47" t="inlineStr">
        <is>
          <t>VÄSTERBOTTENS LÄN</t>
        </is>
      </c>
      <c r="E47" t="inlineStr">
        <is>
          <t>STORUMAN</t>
        </is>
      </c>
      <c r="G47" t="n">
        <v>51.6</v>
      </c>
      <c r="H47" t="n">
        <v>4</v>
      </c>
      <c r="I47" t="n">
        <v>2</v>
      </c>
      <c r="J47" t="n">
        <v>12</v>
      </c>
      <c r="K47" t="n">
        <v>2</v>
      </c>
      <c r="L47" t="n">
        <v>0</v>
      </c>
      <c r="M47" t="n">
        <v>0</v>
      </c>
      <c r="N47" t="n">
        <v>0</v>
      </c>
      <c r="O47" t="n">
        <v>14</v>
      </c>
      <c r="P47" t="n">
        <v>2</v>
      </c>
      <c r="Q47" t="n">
        <v>17</v>
      </c>
      <c r="R47" s="2" t="inlineStr">
        <is>
          <t>Doftporing
Doftticka
Blå taggsvamp
Dvärgbägarlav
Gammelgransskål
Garnlav
Granticka
Järpe
Kolflarnlav
Lunglav
Mörk kolflarnlav
Skrovellav
Vedflamlav
Vedskivlav
Spindelblomster
Stuplav
Huggorm</t>
        </is>
      </c>
      <c r="S47">
        <f>HYPERLINK("https://klasma.github.io/Logging_STORUMAN/artfynd/A 22179-2022.xlsx", "A 22179-2022")</f>
        <v/>
      </c>
      <c r="T47">
        <f>HYPERLINK("https://klasma.github.io/Logging_STORUMAN/kartor/A 22179-2022.png", "A 22179-2022")</f>
        <v/>
      </c>
      <c r="V47">
        <f>HYPERLINK("https://klasma.github.io/Logging_STORUMAN/klagomål/A 22179-2022.docx", "A 22179-2022")</f>
        <v/>
      </c>
      <c r="W47">
        <f>HYPERLINK("https://klasma.github.io/Logging_STORUMAN/klagomålsmail/A 22179-2022.docx", "A 22179-2022")</f>
        <v/>
      </c>
      <c r="X47">
        <f>HYPERLINK("https://klasma.github.io/Logging_STORUMAN/tillsyn/A 22179-2022.docx", "A 22179-2022")</f>
        <v/>
      </c>
      <c r="Y47">
        <f>HYPERLINK("https://klasma.github.io/Logging_STORUMAN/tillsynsmail/A 22179-2022.docx", "A 22179-2022")</f>
        <v/>
      </c>
    </row>
    <row r="48" ht="15" customHeight="1">
      <c r="A48" t="inlineStr">
        <is>
          <t>A 9057-2023</t>
        </is>
      </c>
      <c r="B48" s="1" t="n">
        <v>44972</v>
      </c>
      <c r="C48" s="1" t="n">
        <v>45204</v>
      </c>
      <c r="D48" t="inlineStr">
        <is>
          <t>VÄSTERBOTTENS LÄN</t>
        </is>
      </c>
      <c r="E48" t="inlineStr">
        <is>
          <t>VILHELMINA</t>
        </is>
      </c>
      <c r="F48" t="inlineStr">
        <is>
          <t>Allmännings- och besparingsskogar</t>
        </is>
      </c>
      <c r="G48" t="n">
        <v>391.6</v>
      </c>
      <c r="H48" t="n">
        <v>2</v>
      </c>
      <c r="I48" t="n">
        <v>6</v>
      </c>
      <c r="J48" t="n">
        <v>8</v>
      </c>
      <c r="K48" t="n">
        <v>3</v>
      </c>
      <c r="L48" t="n">
        <v>0</v>
      </c>
      <c r="M48" t="n">
        <v>0</v>
      </c>
      <c r="N48" t="n">
        <v>0</v>
      </c>
      <c r="O48" t="n">
        <v>11</v>
      </c>
      <c r="P48" t="n">
        <v>3</v>
      </c>
      <c r="Q48" t="n">
        <v>17</v>
      </c>
      <c r="R48" s="2" t="inlineStr">
        <is>
          <t>Ostticka
Rynkskinn
Tajgaskinn
Granticka
Gränsticka
Harticka
Rosenticka
Skrovellav
Tretåig hackspett
Ullticka
Vedflikmossa
Bårdlav
Skinnlav
Spindelblomster
Stuplav
Vedticka
Ögonpyrola</t>
        </is>
      </c>
      <c r="S48">
        <f>HYPERLINK("https://klasma.github.io/Logging_VILHELMINA/artfynd/A 9057-2023.xlsx", "A 9057-2023")</f>
        <v/>
      </c>
      <c r="T48">
        <f>HYPERLINK("https://klasma.github.io/Logging_VILHELMINA/kartor/A 9057-2023.png", "A 9057-2023")</f>
        <v/>
      </c>
      <c r="V48">
        <f>HYPERLINK("https://klasma.github.io/Logging_VILHELMINA/klagomål/A 9057-2023.docx", "A 9057-2023")</f>
        <v/>
      </c>
      <c r="W48">
        <f>HYPERLINK("https://klasma.github.io/Logging_VILHELMINA/klagomålsmail/A 9057-2023.docx", "A 9057-2023")</f>
        <v/>
      </c>
      <c r="X48">
        <f>HYPERLINK("https://klasma.github.io/Logging_VILHELMINA/tillsyn/A 9057-2023.docx", "A 9057-2023")</f>
        <v/>
      </c>
      <c r="Y48">
        <f>HYPERLINK("https://klasma.github.io/Logging_VILHELMINA/tillsynsmail/A 9057-2023.docx", "A 9057-2023")</f>
        <v/>
      </c>
    </row>
    <row r="49" ht="15" customHeight="1">
      <c r="A49" t="inlineStr">
        <is>
          <t>A 12372-2023</t>
        </is>
      </c>
      <c r="B49" s="1" t="n">
        <v>44995</v>
      </c>
      <c r="C49" s="1" t="n">
        <v>45204</v>
      </c>
      <c r="D49" t="inlineStr">
        <is>
          <t>VÄSTERBOTTENS LÄN</t>
        </is>
      </c>
      <c r="E49" t="inlineStr">
        <is>
          <t>STORUMAN</t>
        </is>
      </c>
      <c r="F49" t="inlineStr">
        <is>
          <t>Allmännings- och besparingsskogar</t>
        </is>
      </c>
      <c r="G49" t="n">
        <v>1608.5</v>
      </c>
      <c r="H49" t="n">
        <v>1</v>
      </c>
      <c r="I49" t="n">
        <v>3</v>
      </c>
      <c r="J49" t="n">
        <v>9</v>
      </c>
      <c r="K49" t="n">
        <v>5</v>
      </c>
      <c r="L49" t="n">
        <v>0</v>
      </c>
      <c r="M49" t="n">
        <v>0</v>
      </c>
      <c r="N49" t="n">
        <v>0</v>
      </c>
      <c r="O49" t="n">
        <v>14</v>
      </c>
      <c r="P49" t="n">
        <v>5</v>
      </c>
      <c r="Q49" t="n">
        <v>17</v>
      </c>
      <c r="R49" s="2" t="inlineStr">
        <is>
          <t>Lappticka
Ostticka
Rynkskinn
Tajgaskinn
Tallbit
Doftskinn
Granticka
Gränsticka
Harticka
Lunglav
Rosenticka
Skrovellav
Stjärntagging
Ullticka
Blodticka
Trådticka
Vedticka</t>
        </is>
      </c>
      <c r="S49">
        <f>HYPERLINK("https://klasma.github.io/Logging_STORUMAN/artfynd/A 12372-2023.xlsx", "A 12372-2023")</f>
        <v/>
      </c>
      <c r="T49">
        <f>HYPERLINK("https://klasma.github.io/Logging_STORUMAN/kartor/A 12372-2023.png", "A 12372-2023")</f>
        <v/>
      </c>
      <c r="V49">
        <f>HYPERLINK("https://klasma.github.io/Logging_STORUMAN/klagomål/A 12372-2023.docx", "A 12372-2023")</f>
        <v/>
      </c>
      <c r="W49">
        <f>HYPERLINK("https://klasma.github.io/Logging_STORUMAN/klagomålsmail/A 12372-2023.docx", "A 12372-2023")</f>
        <v/>
      </c>
      <c r="X49">
        <f>HYPERLINK("https://klasma.github.io/Logging_STORUMAN/tillsyn/A 12372-2023.docx", "A 12372-2023")</f>
        <v/>
      </c>
      <c r="Y49">
        <f>HYPERLINK("https://klasma.github.io/Logging_STORUMAN/tillsynsmail/A 12372-2023.docx", "A 12372-2023")</f>
        <v/>
      </c>
    </row>
    <row r="50" ht="15" customHeight="1">
      <c r="A50" t="inlineStr">
        <is>
          <t>A 34702-2019</t>
        </is>
      </c>
      <c r="B50" s="1" t="n">
        <v>43648</v>
      </c>
      <c r="C50" s="1" t="n">
        <v>45204</v>
      </c>
      <c r="D50" t="inlineStr">
        <is>
          <t>VÄSTERBOTTENS LÄN</t>
        </is>
      </c>
      <c r="E50" t="inlineStr">
        <is>
          <t>SORSELE</t>
        </is>
      </c>
      <c r="G50" t="n">
        <v>10.1</v>
      </c>
      <c r="H50" t="n">
        <v>3</v>
      </c>
      <c r="I50" t="n">
        <v>4</v>
      </c>
      <c r="J50" t="n">
        <v>10</v>
      </c>
      <c r="K50" t="n">
        <v>1</v>
      </c>
      <c r="L50" t="n">
        <v>0</v>
      </c>
      <c r="M50" t="n">
        <v>0</v>
      </c>
      <c r="N50" t="n">
        <v>0</v>
      </c>
      <c r="O50" t="n">
        <v>11</v>
      </c>
      <c r="P50" t="n">
        <v>1</v>
      </c>
      <c r="Q50" t="n">
        <v>16</v>
      </c>
      <c r="R50" s="2" t="inlineStr">
        <is>
          <t>Gräddporing
Dvärgbägarlav
Garnlav
Gränsticka
Järpe
Knottrig blåslav
Nordtagging
Rödbrun blekspik
Talltita
Vedflamlav
Vedskivlav
Luddlav
Skinnlav
Stuplav
Vedticka
Revlummer</t>
        </is>
      </c>
      <c r="S50">
        <f>HYPERLINK("https://klasma.github.io/Logging_SORSELE/artfynd/A 34702-2019.xlsx", "A 34702-2019")</f>
        <v/>
      </c>
      <c r="T50">
        <f>HYPERLINK("https://klasma.github.io/Logging_SORSELE/kartor/A 34702-2019.png", "A 34702-2019")</f>
        <v/>
      </c>
      <c r="V50">
        <f>HYPERLINK("https://klasma.github.io/Logging_SORSELE/klagomål/A 34702-2019.docx", "A 34702-2019")</f>
        <v/>
      </c>
      <c r="W50">
        <f>HYPERLINK("https://klasma.github.io/Logging_SORSELE/klagomålsmail/A 34702-2019.docx", "A 34702-2019")</f>
        <v/>
      </c>
      <c r="X50">
        <f>HYPERLINK("https://klasma.github.io/Logging_SORSELE/tillsyn/A 34702-2019.docx", "A 34702-2019")</f>
        <v/>
      </c>
      <c r="Y50">
        <f>HYPERLINK("https://klasma.github.io/Logging_SORSELE/tillsynsmail/A 34702-2019.docx", "A 34702-2019")</f>
        <v/>
      </c>
    </row>
    <row r="51" ht="15" customHeight="1">
      <c r="A51" t="inlineStr">
        <is>
          <t>A 64788-2019</t>
        </is>
      </c>
      <c r="B51" s="1" t="n">
        <v>43801</v>
      </c>
      <c r="C51" s="1" t="n">
        <v>45204</v>
      </c>
      <c r="D51" t="inlineStr">
        <is>
          <t>VÄSTERBOTTENS LÄN</t>
        </is>
      </c>
      <c r="E51" t="inlineStr">
        <is>
          <t>ÅSELE</t>
        </is>
      </c>
      <c r="F51" t="inlineStr">
        <is>
          <t>Kyrkan</t>
        </is>
      </c>
      <c r="G51" t="n">
        <v>20.6</v>
      </c>
      <c r="H51" t="n">
        <v>2</v>
      </c>
      <c r="I51" t="n">
        <v>3</v>
      </c>
      <c r="J51" t="n">
        <v>13</v>
      </c>
      <c r="K51" t="n">
        <v>0</v>
      </c>
      <c r="L51" t="n">
        <v>0</v>
      </c>
      <c r="M51" t="n">
        <v>0</v>
      </c>
      <c r="N51" t="n">
        <v>0</v>
      </c>
      <c r="O51" t="n">
        <v>13</v>
      </c>
      <c r="P51" t="n">
        <v>0</v>
      </c>
      <c r="Q51" t="n">
        <v>16</v>
      </c>
      <c r="R51" s="2" t="inlineStr">
        <is>
          <t>Blå taggsvamp
Dvärgbägarlav
Gammelgransskål
Garnlav
Granticka
Mjölsvärting
Mörk kolflarnlav
Rosenticka
Spillkråka
Tretåig hackspett
Ullticka
Vaddporing
Vedskivlav
Dropptaggsvamp
Luddlav
Trådticka</t>
        </is>
      </c>
      <c r="S51">
        <f>HYPERLINK("https://klasma.github.io/Logging_ASELE/artfynd/A 64788-2019.xlsx", "A 64788-2019")</f>
        <v/>
      </c>
      <c r="T51">
        <f>HYPERLINK("https://klasma.github.io/Logging_ASELE/kartor/A 64788-2019.png", "A 64788-2019")</f>
        <v/>
      </c>
      <c r="V51">
        <f>HYPERLINK("https://klasma.github.io/Logging_ASELE/klagomål/A 64788-2019.docx", "A 64788-2019")</f>
        <v/>
      </c>
      <c r="W51">
        <f>HYPERLINK("https://klasma.github.io/Logging_ASELE/klagomålsmail/A 64788-2019.docx", "A 64788-2019")</f>
        <v/>
      </c>
      <c r="X51">
        <f>HYPERLINK("https://klasma.github.io/Logging_ASELE/tillsyn/A 64788-2019.docx", "A 64788-2019")</f>
        <v/>
      </c>
      <c r="Y51">
        <f>HYPERLINK("https://klasma.github.io/Logging_ASELE/tillsynsmail/A 64788-2019.docx", "A 64788-2019")</f>
        <v/>
      </c>
    </row>
    <row r="52" ht="15" customHeight="1">
      <c r="A52" t="inlineStr">
        <is>
          <t>A 64461-2020</t>
        </is>
      </c>
      <c r="B52" s="1" t="n">
        <v>44168</v>
      </c>
      <c r="C52" s="1" t="n">
        <v>45204</v>
      </c>
      <c r="D52" t="inlineStr">
        <is>
          <t>VÄSTERBOTTENS LÄN</t>
        </is>
      </c>
      <c r="E52" t="inlineStr">
        <is>
          <t>VINDELN</t>
        </is>
      </c>
      <c r="F52" t="inlineStr">
        <is>
          <t>Sveaskog</t>
        </is>
      </c>
      <c r="G52" t="n">
        <v>4.8</v>
      </c>
      <c r="H52" t="n">
        <v>1</v>
      </c>
      <c r="I52" t="n">
        <v>4</v>
      </c>
      <c r="J52" t="n">
        <v>11</v>
      </c>
      <c r="K52" t="n">
        <v>1</v>
      </c>
      <c r="L52" t="n">
        <v>0</v>
      </c>
      <c r="M52" t="n">
        <v>0</v>
      </c>
      <c r="N52" t="n">
        <v>0</v>
      </c>
      <c r="O52" t="n">
        <v>12</v>
      </c>
      <c r="P52" t="n">
        <v>1</v>
      </c>
      <c r="Q52" t="n">
        <v>16</v>
      </c>
      <c r="R52" s="2" t="inlineStr">
        <is>
          <t>Gräddporing
Dvärgbägarlav
Garnlav
Kolflarnlav
Lunglav
Mörk kolflarnlav
Nordtagging
Reliktbock
Tretåig hackspett
Vaddporing
Vedflamlav
Vedskivlav
Dropptaggsvamp
Luddlav
Skinnlav
Stuplav</t>
        </is>
      </c>
      <c r="S52">
        <f>HYPERLINK("https://klasma.github.io/Logging_VINDELN/artfynd/A 64461-2020.xlsx", "A 64461-2020")</f>
        <v/>
      </c>
      <c r="T52">
        <f>HYPERLINK("https://klasma.github.io/Logging_VINDELN/kartor/A 64461-2020.png", "A 64461-2020")</f>
        <v/>
      </c>
      <c r="V52">
        <f>HYPERLINK("https://klasma.github.io/Logging_VINDELN/klagomål/A 64461-2020.docx", "A 64461-2020")</f>
        <v/>
      </c>
      <c r="W52">
        <f>HYPERLINK("https://klasma.github.io/Logging_VINDELN/klagomålsmail/A 64461-2020.docx", "A 64461-2020")</f>
        <v/>
      </c>
      <c r="X52">
        <f>HYPERLINK("https://klasma.github.io/Logging_VINDELN/tillsyn/A 64461-2020.docx", "A 64461-2020")</f>
        <v/>
      </c>
      <c r="Y52">
        <f>HYPERLINK("https://klasma.github.io/Logging_VINDELN/tillsynsmail/A 64461-2020.docx", "A 64461-2020")</f>
        <v/>
      </c>
    </row>
    <row r="53" ht="15" customHeight="1">
      <c r="A53" t="inlineStr">
        <is>
          <t>A 10060-2022</t>
        </is>
      </c>
      <c r="B53" s="1" t="n">
        <v>44621</v>
      </c>
      <c r="C53" s="1" t="n">
        <v>45204</v>
      </c>
      <c r="D53" t="inlineStr">
        <is>
          <t>VÄSTERBOTTENS LÄN</t>
        </is>
      </c>
      <c r="E53" t="inlineStr">
        <is>
          <t>SORSELE</t>
        </is>
      </c>
      <c r="G53" t="n">
        <v>45.3</v>
      </c>
      <c r="H53" t="n">
        <v>3</v>
      </c>
      <c r="I53" t="n">
        <v>4</v>
      </c>
      <c r="J53" t="n">
        <v>10</v>
      </c>
      <c r="K53" t="n">
        <v>1</v>
      </c>
      <c r="L53" t="n">
        <v>0</v>
      </c>
      <c r="M53" t="n">
        <v>0</v>
      </c>
      <c r="N53" t="n">
        <v>0</v>
      </c>
      <c r="O53" t="n">
        <v>11</v>
      </c>
      <c r="P53" t="n">
        <v>1</v>
      </c>
      <c r="Q53" t="n">
        <v>16</v>
      </c>
      <c r="R53" s="2" t="inlineStr">
        <is>
          <t>Gräddporing
Dvärgbägarlav
Gammelgransskål
Garnlav
Granticka
Rödbrun blekspik
Spillkråka
Tretåig hackspett
Violettgrå tagellav
Vitgrynig nållav
Vitplätt
Bårdlav
Norrlandslav
Nästlav
Stuplav
Revlummer</t>
        </is>
      </c>
      <c r="S53">
        <f>HYPERLINK("https://klasma.github.io/Logging_SORSELE/artfynd/A 10060-2022.xlsx", "A 10060-2022")</f>
        <v/>
      </c>
      <c r="T53">
        <f>HYPERLINK("https://klasma.github.io/Logging_SORSELE/kartor/A 10060-2022.png", "A 10060-2022")</f>
        <v/>
      </c>
      <c r="V53">
        <f>HYPERLINK("https://klasma.github.io/Logging_SORSELE/klagomål/A 10060-2022.docx", "A 10060-2022")</f>
        <v/>
      </c>
      <c r="W53">
        <f>HYPERLINK("https://klasma.github.io/Logging_SORSELE/klagomålsmail/A 10060-2022.docx", "A 10060-2022")</f>
        <v/>
      </c>
      <c r="X53">
        <f>HYPERLINK("https://klasma.github.io/Logging_SORSELE/tillsyn/A 10060-2022.docx", "A 10060-2022")</f>
        <v/>
      </c>
      <c r="Y53">
        <f>HYPERLINK("https://klasma.github.io/Logging_SORSELE/tillsynsmail/A 10060-2022.docx", "A 10060-2022")</f>
        <v/>
      </c>
    </row>
    <row r="54" ht="15" customHeight="1">
      <c r="A54" t="inlineStr">
        <is>
          <t>A 19109-2022</t>
        </is>
      </c>
      <c r="B54" s="1" t="n">
        <v>44691</v>
      </c>
      <c r="C54" s="1" t="n">
        <v>45204</v>
      </c>
      <c r="D54" t="inlineStr">
        <is>
          <t>VÄSTERBOTTENS LÄN</t>
        </is>
      </c>
      <c r="E54" t="inlineStr">
        <is>
          <t>BJURHOLM</t>
        </is>
      </c>
      <c r="G54" t="n">
        <v>9.9</v>
      </c>
      <c r="H54" t="n">
        <v>5</v>
      </c>
      <c r="I54" t="n">
        <v>6</v>
      </c>
      <c r="J54" t="n">
        <v>8</v>
      </c>
      <c r="K54" t="n">
        <v>2</v>
      </c>
      <c r="L54" t="n">
        <v>0</v>
      </c>
      <c r="M54" t="n">
        <v>0</v>
      </c>
      <c r="N54" t="n">
        <v>0</v>
      </c>
      <c r="O54" t="n">
        <v>10</v>
      </c>
      <c r="P54" t="n">
        <v>2</v>
      </c>
      <c r="Q54" t="n">
        <v>16</v>
      </c>
      <c r="R54" s="2" t="inlineStr">
        <is>
          <t>Knärot
Rynkskinn
Gammelgransskål
Garnlav
Granticka
Järpe
Lunglav
Tretåig hackspett
Ullticka
Violettgrå tagellav
Bollvitmossa
Bårdlav
Plattlummer
Spindelblomster
Stuplav
Vedticka</t>
        </is>
      </c>
      <c r="S54">
        <f>HYPERLINK("https://klasma.github.io/Logging_BJURHOLM/artfynd/A 19109-2022.xlsx", "A 19109-2022")</f>
        <v/>
      </c>
      <c r="T54">
        <f>HYPERLINK("https://klasma.github.io/Logging_BJURHOLM/kartor/A 19109-2022.png", "A 19109-2022")</f>
        <v/>
      </c>
      <c r="U54">
        <f>HYPERLINK("https://klasma.github.io/Logging_BJURHOLM/knärot/A 19109-2022.png", "A 19109-2022")</f>
        <v/>
      </c>
      <c r="V54">
        <f>HYPERLINK("https://klasma.github.io/Logging_BJURHOLM/klagomål/A 19109-2022.docx", "A 19109-2022")</f>
        <v/>
      </c>
      <c r="W54">
        <f>HYPERLINK("https://klasma.github.io/Logging_BJURHOLM/klagomålsmail/A 19109-2022.docx", "A 19109-2022")</f>
        <v/>
      </c>
      <c r="X54">
        <f>HYPERLINK("https://klasma.github.io/Logging_BJURHOLM/tillsyn/A 19109-2022.docx", "A 19109-2022")</f>
        <v/>
      </c>
      <c r="Y54">
        <f>HYPERLINK("https://klasma.github.io/Logging_BJURHOLM/tillsynsmail/A 19109-2022.docx", "A 19109-2022")</f>
        <v/>
      </c>
    </row>
    <row r="55" ht="15" customHeight="1">
      <c r="A55" t="inlineStr">
        <is>
          <t>A 44065-2022</t>
        </is>
      </c>
      <c r="B55" s="1" t="n">
        <v>44838</v>
      </c>
      <c r="C55" s="1" t="n">
        <v>45204</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HYPERLINK("https://klasma.github.io/Logging_VILHELMINA/artfynd/A 44065-2022.xlsx", "A 44065-2022")</f>
        <v/>
      </c>
      <c r="T55">
        <f>HYPERLINK("https://klasma.github.io/Logging_VILHELMINA/kartor/A 44065-2022.png", "A 44065-2022")</f>
        <v/>
      </c>
      <c r="V55">
        <f>HYPERLINK("https://klasma.github.io/Logging_VILHELMINA/klagomål/A 44065-2022.docx", "A 44065-2022")</f>
        <v/>
      </c>
      <c r="W55">
        <f>HYPERLINK("https://klasma.github.io/Logging_VILHELMINA/klagomålsmail/A 44065-2022.docx", "A 44065-2022")</f>
        <v/>
      </c>
      <c r="X55">
        <f>HYPERLINK("https://klasma.github.io/Logging_VILHELMINA/tillsyn/A 44065-2022.docx", "A 44065-2022")</f>
        <v/>
      </c>
      <c r="Y55">
        <f>HYPERLINK("https://klasma.github.io/Logging_VILHELMINA/tillsynsmail/A 44065-2022.docx", "A 44065-2022")</f>
        <v/>
      </c>
    </row>
    <row r="56" ht="15" customHeight="1">
      <c r="A56" t="inlineStr">
        <is>
          <t>A 20418-2023</t>
        </is>
      </c>
      <c r="B56" s="1" t="n">
        <v>45054</v>
      </c>
      <c r="C56" s="1" t="n">
        <v>45204</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HYPERLINK("https://klasma.github.io/Logging_VILHELMINA/artfynd/A 20418-2023.xlsx", "A 20418-2023")</f>
        <v/>
      </c>
      <c r="T56">
        <f>HYPERLINK("https://klasma.github.io/Logging_VILHELMINA/kartor/A 20418-2023.png", "A 20418-2023")</f>
        <v/>
      </c>
      <c r="V56">
        <f>HYPERLINK("https://klasma.github.io/Logging_VILHELMINA/klagomål/A 20418-2023.docx", "A 20418-2023")</f>
        <v/>
      </c>
      <c r="W56">
        <f>HYPERLINK("https://klasma.github.io/Logging_VILHELMINA/klagomålsmail/A 20418-2023.docx", "A 20418-2023")</f>
        <v/>
      </c>
      <c r="X56">
        <f>HYPERLINK("https://klasma.github.io/Logging_VILHELMINA/tillsyn/A 20418-2023.docx", "A 20418-2023")</f>
        <v/>
      </c>
      <c r="Y56">
        <f>HYPERLINK("https://klasma.github.io/Logging_VILHELMINA/tillsynsmail/A 20418-2023.docx", "A 20418-2023")</f>
        <v/>
      </c>
    </row>
    <row r="57" ht="15" customHeight="1">
      <c r="A57" t="inlineStr">
        <is>
          <t>A 29866-2023</t>
        </is>
      </c>
      <c r="B57" s="1" t="n">
        <v>45107</v>
      </c>
      <c r="C57" s="1" t="n">
        <v>45204</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HYPERLINK("https://klasma.github.io/Logging_SORSELE/artfynd/A 29866-2023.xlsx", "A 29866-2023")</f>
        <v/>
      </c>
      <c r="T57">
        <f>HYPERLINK("https://klasma.github.io/Logging_SORSELE/kartor/A 29866-2023.png", "A 29866-2023")</f>
        <v/>
      </c>
      <c r="V57">
        <f>HYPERLINK("https://klasma.github.io/Logging_SORSELE/klagomål/A 29866-2023.docx", "A 29866-2023")</f>
        <v/>
      </c>
      <c r="W57">
        <f>HYPERLINK("https://klasma.github.io/Logging_SORSELE/klagomålsmail/A 29866-2023.docx", "A 29866-2023")</f>
        <v/>
      </c>
      <c r="X57">
        <f>HYPERLINK("https://klasma.github.io/Logging_SORSELE/tillsyn/A 29866-2023.docx", "A 29866-2023")</f>
        <v/>
      </c>
      <c r="Y57">
        <f>HYPERLINK("https://klasma.github.io/Logging_SORSELE/tillsynsmail/A 29866-2023.docx", "A 29866-2023")</f>
        <v/>
      </c>
    </row>
    <row r="58" ht="15" customHeight="1">
      <c r="A58" t="inlineStr">
        <is>
          <t>A 39376-2019</t>
        </is>
      </c>
      <c r="B58" s="1" t="n">
        <v>43690</v>
      </c>
      <c r="C58" s="1" t="n">
        <v>45204</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HYPERLINK("https://klasma.github.io/Logging_LYCKSELE/artfynd/A 39376-2019.xlsx", "A 39376-2019")</f>
        <v/>
      </c>
      <c r="T58">
        <f>HYPERLINK("https://klasma.github.io/Logging_LYCKSELE/kartor/A 39376-2019.png", "A 39376-2019")</f>
        <v/>
      </c>
      <c r="V58">
        <f>HYPERLINK("https://klasma.github.io/Logging_LYCKSELE/klagomål/A 39376-2019.docx", "A 39376-2019")</f>
        <v/>
      </c>
      <c r="W58">
        <f>HYPERLINK("https://klasma.github.io/Logging_LYCKSELE/klagomålsmail/A 39376-2019.docx", "A 39376-2019")</f>
        <v/>
      </c>
      <c r="X58">
        <f>HYPERLINK("https://klasma.github.io/Logging_LYCKSELE/tillsyn/A 39376-2019.docx", "A 39376-2019")</f>
        <v/>
      </c>
      <c r="Y58">
        <f>HYPERLINK("https://klasma.github.io/Logging_LYCKSELE/tillsynsmail/A 39376-2019.docx", "A 39376-2019")</f>
        <v/>
      </c>
    </row>
    <row r="59" ht="15" customHeight="1">
      <c r="A59" t="inlineStr">
        <is>
          <t>A 66026-2019</t>
        </is>
      </c>
      <c r="B59" s="1" t="n">
        <v>43805</v>
      </c>
      <c r="C59" s="1" t="n">
        <v>45204</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HYPERLINK("https://klasma.github.io/Logging_VILHELMINA/artfynd/A 66026-2019.xlsx", "A 66026-2019")</f>
        <v/>
      </c>
      <c r="T59">
        <f>HYPERLINK("https://klasma.github.io/Logging_VILHELMINA/kartor/A 66026-2019.png", "A 66026-2019")</f>
        <v/>
      </c>
      <c r="V59">
        <f>HYPERLINK("https://klasma.github.io/Logging_VILHELMINA/klagomål/A 66026-2019.docx", "A 66026-2019")</f>
        <v/>
      </c>
      <c r="W59">
        <f>HYPERLINK("https://klasma.github.io/Logging_VILHELMINA/klagomålsmail/A 66026-2019.docx", "A 66026-2019")</f>
        <v/>
      </c>
      <c r="X59">
        <f>HYPERLINK("https://klasma.github.io/Logging_VILHELMINA/tillsyn/A 66026-2019.docx", "A 66026-2019")</f>
        <v/>
      </c>
      <c r="Y59">
        <f>HYPERLINK("https://klasma.github.io/Logging_VILHELMINA/tillsynsmail/A 66026-2019.docx", "A 66026-2019")</f>
        <v/>
      </c>
    </row>
    <row r="60" ht="15" customHeight="1">
      <c r="A60" t="inlineStr">
        <is>
          <t>A 14717-2020</t>
        </is>
      </c>
      <c r="B60" s="1" t="n">
        <v>43903</v>
      </c>
      <c r="C60" s="1" t="n">
        <v>45204</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HYPERLINK("https://klasma.github.io/Logging_LYCKSELE/artfynd/A 14717-2020.xlsx", "A 14717-2020")</f>
        <v/>
      </c>
      <c r="T60">
        <f>HYPERLINK("https://klasma.github.io/Logging_LYCKSELE/kartor/A 14717-2020.png", "A 14717-2020")</f>
        <v/>
      </c>
      <c r="V60">
        <f>HYPERLINK("https://klasma.github.io/Logging_LYCKSELE/klagomål/A 14717-2020.docx", "A 14717-2020")</f>
        <v/>
      </c>
      <c r="W60">
        <f>HYPERLINK("https://klasma.github.io/Logging_LYCKSELE/klagomålsmail/A 14717-2020.docx", "A 14717-2020")</f>
        <v/>
      </c>
      <c r="X60">
        <f>HYPERLINK("https://klasma.github.io/Logging_LYCKSELE/tillsyn/A 14717-2020.docx", "A 14717-2020")</f>
        <v/>
      </c>
      <c r="Y60">
        <f>HYPERLINK("https://klasma.github.io/Logging_LYCKSELE/tillsynsmail/A 14717-2020.docx", "A 14717-2020")</f>
        <v/>
      </c>
    </row>
    <row r="61" ht="15" customHeight="1">
      <c r="A61" t="inlineStr">
        <is>
          <t>A 42134-2020</t>
        </is>
      </c>
      <c r="B61" s="1" t="n">
        <v>44075</v>
      </c>
      <c r="C61" s="1" t="n">
        <v>45204</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HYPERLINK("https://klasma.github.io/Logging_STORUMAN/artfynd/A 42134-2020.xlsx", "A 42134-2020")</f>
        <v/>
      </c>
      <c r="T61">
        <f>HYPERLINK("https://klasma.github.io/Logging_STORUMAN/kartor/A 42134-2020.png", "A 42134-2020")</f>
        <v/>
      </c>
      <c r="V61">
        <f>HYPERLINK("https://klasma.github.io/Logging_STORUMAN/klagomål/A 42134-2020.docx", "A 42134-2020")</f>
        <v/>
      </c>
      <c r="W61">
        <f>HYPERLINK("https://klasma.github.io/Logging_STORUMAN/klagomålsmail/A 42134-2020.docx", "A 42134-2020")</f>
        <v/>
      </c>
      <c r="X61">
        <f>HYPERLINK("https://klasma.github.io/Logging_STORUMAN/tillsyn/A 42134-2020.docx", "A 42134-2020")</f>
        <v/>
      </c>
      <c r="Y61">
        <f>HYPERLINK("https://klasma.github.io/Logging_STORUMAN/tillsynsmail/A 42134-2020.docx", "A 42134-2020")</f>
        <v/>
      </c>
    </row>
    <row r="62" ht="15" customHeight="1">
      <c r="A62" t="inlineStr">
        <is>
          <t>A 43937-2020</t>
        </is>
      </c>
      <c r="B62" s="1" t="n">
        <v>44078</v>
      </c>
      <c r="C62" s="1" t="n">
        <v>45204</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HYPERLINK("https://klasma.github.io/Logging_STORUMAN/artfynd/A 43937-2020.xlsx", "A 43937-2020")</f>
        <v/>
      </c>
      <c r="T62">
        <f>HYPERLINK("https://klasma.github.io/Logging_STORUMAN/kartor/A 43937-2020.png", "A 43937-2020")</f>
        <v/>
      </c>
      <c r="V62">
        <f>HYPERLINK("https://klasma.github.io/Logging_STORUMAN/klagomål/A 43937-2020.docx", "A 43937-2020")</f>
        <v/>
      </c>
      <c r="W62">
        <f>HYPERLINK("https://klasma.github.io/Logging_STORUMAN/klagomålsmail/A 43937-2020.docx", "A 43937-2020")</f>
        <v/>
      </c>
      <c r="X62">
        <f>HYPERLINK("https://klasma.github.io/Logging_STORUMAN/tillsyn/A 43937-2020.docx", "A 43937-2020")</f>
        <v/>
      </c>
      <c r="Y62">
        <f>HYPERLINK("https://klasma.github.io/Logging_STORUMAN/tillsynsmail/A 43937-2020.docx", "A 43937-2020")</f>
        <v/>
      </c>
    </row>
    <row r="63" ht="15" customHeight="1">
      <c r="A63" t="inlineStr">
        <is>
          <t>A 47881-2020</t>
        </is>
      </c>
      <c r="B63" s="1" t="n">
        <v>44095</v>
      </c>
      <c r="C63" s="1" t="n">
        <v>45204</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HYPERLINK("https://klasma.github.io/Logging_VILHELMINA/artfynd/A 47881-2020.xlsx", "A 47881-2020")</f>
        <v/>
      </c>
      <c r="T63">
        <f>HYPERLINK("https://klasma.github.io/Logging_VILHELMINA/kartor/A 47881-2020.png", "A 47881-2020")</f>
        <v/>
      </c>
      <c r="V63">
        <f>HYPERLINK("https://klasma.github.io/Logging_VILHELMINA/klagomål/A 47881-2020.docx", "A 47881-2020")</f>
        <v/>
      </c>
      <c r="W63">
        <f>HYPERLINK("https://klasma.github.io/Logging_VILHELMINA/klagomålsmail/A 47881-2020.docx", "A 47881-2020")</f>
        <v/>
      </c>
      <c r="X63">
        <f>HYPERLINK("https://klasma.github.io/Logging_VILHELMINA/tillsyn/A 47881-2020.docx", "A 47881-2020")</f>
        <v/>
      </c>
      <c r="Y63">
        <f>HYPERLINK("https://klasma.github.io/Logging_VILHELMINA/tillsynsmail/A 47881-2020.docx", "A 47881-2020")</f>
        <v/>
      </c>
    </row>
    <row r="64" ht="15" customHeight="1">
      <c r="A64" t="inlineStr">
        <is>
          <t>A 18158-2021</t>
        </is>
      </c>
      <c r="B64" s="1" t="n">
        <v>44302</v>
      </c>
      <c r="C64" s="1" t="n">
        <v>45204</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HYPERLINK("https://klasma.github.io/Logging_SKELLEFTEA/artfynd/A 18158-2021.xlsx", "A 18158-2021")</f>
        <v/>
      </c>
      <c r="T64">
        <f>HYPERLINK("https://klasma.github.io/Logging_SKELLEFTEA/kartor/A 18158-2021.png", "A 18158-2021")</f>
        <v/>
      </c>
      <c r="U64">
        <f>HYPERLINK("https://klasma.github.io/Logging_SKELLEFTEA/knärot/A 18158-2021.png", "A 18158-2021")</f>
        <v/>
      </c>
      <c r="V64">
        <f>HYPERLINK("https://klasma.github.io/Logging_SKELLEFTEA/klagomål/A 18158-2021.docx", "A 18158-2021")</f>
        <v/>
      </c>
      <c r="W64">
        <f>HYPERLINK("https://klasma.github.io/Logging_SKELLEFTEA/klagomålsmail/A 18158-2021.docx", "A 18158-2021")</f>
        <v/>
      </c>
      <c r="X64">
        <f>HYPERLINK("https://klasma.github.io/Logging_SKELLEFTEA/tillsyn/A 18158-2021.docx", "A 18158-2021")</f>
        <v/>
      </c>
      <c r="Y64">
        <f>HYPERLINK("https://klasma.github.io/Logging_SKELLEFTEA/tillsynsmail/A 18158-2021.docx", "A 18158-2021")</f>
        <v/>
      </c>
    </row>
    <row r="65" ht="15" customHeight="1">
      <c r="A65" t="inlineStr">
        <is>
          <t>A 43267-2021</t>
        </is>
      </c>
      <c r="B65" s="1" t="n">
        <v>44432</v>
      </c>
      <c r="C65" s="1" t="n">
        <v>45204</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HYPERLINK("https://klasma.github.io/Logging_SORSELE/artfynd/A 43267-2021.xlsx", "A 43267-2021")</f>
        <v/>
      </c>
      <c r="T65">
        <f>HYPERLINK("https://klasma.github.io/Logging_SORSELE/kartor/A 43267-2021.png", "A 43267-2021")</f>
        <v/>
      </c>
      <c r="V65">
        <f>HYPERLINK("https://klasma.github.io/Logging_SORSELE/klagomål/A 43267-2021.docx", "A 43267-2021")</f>
        <v/>
      </c>
      <c r="W65">
        <f>HYPERLINK("https://klasma.github.io/Logging_SORSELE/klagomålsmail/A 43267-2021.docx", "A 43267-2021")</f>
        <v/>
      </c>
      <c r="X65">
        <f>HYPERLINK("https://klasma.github.io/Logging_SORSELE/tillsyn/A 43267-2021.docx", "A 43267-2021")</f>
        <v/>
      </c>
      <c r="Y65">
        <f>HYPERLINK("https://klasma.github.io/Logging_SORSELE/tillsynsmail/A 43267-2021.docx", "A 43267-2021")</f>
        <v/>
      </c>
    </row>
    <row r="66" ht="15" customHeight="1">
      <c r="A66" t="inlineStr">
        <is>
          <t>A 54843-2021</t>
        </is>
      </c>
      <c r="B66" s="1" t="n">
        <v>44474</v>
      </c>
      <c r="C66" s="1" t="n">
        <v>45204</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HYPERLINK("https://klasma.github.io/Logging_VILHELMINA/artfynd/A 54843-2021.xlsx", "A 54843-2021")</f>
        <v/>
      </c>
      <c r="T66">
        <f>HYPERLINK("https://klasma.github.io/Logging_VILHELMINA/kartor/A 54843-2021.png", "A 54843-2021")</f>
        <v/>
      </c>
      <c r="V66">
        <f>HYPERLINK("https://klasma.github.io/Logging_VILHELMINA/klagomål/A 54843-2021.docx", "A 54843-2021")</f>
        <v/>
      </c>
      <c r="W66">
        <f>HYPERLINK("https://klasma.github.io/Logging_VILHELMINA/klagomålsmail/A 54843-2021.docx", "A 54843-2021")</f>
        <v/>
      </c>
      <c r="X66">
        <f>HYPERLINK("https://klasma.github.io/Logging_VILHELMINA/tillsyn/A 54843-2021.docx", "A 54843-2021")</f>
        <v/>
      </c>
      <c r="Y66">
        <f>HYPERLINK("https://klasma.github.io/Logging_VILHELMINA/tillsynsmail/A 54843-2021.docx", "A 54843-2021")</f>
        <v/>
      </c>
    </row>
    <row r="67" ht="15" customHeight="1">
      <c r="A67" t="inlineStr">
        <is>
          <t>A 30597-2019</t>
        </is>
      </c>
      <c r="B67" s="1" t="n">
        <v>43635</v>
      </c>
      <c r="C67" s="1" t="n">
        <v>45204</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HYPERLINK("https://klasma.github.io/Logging_BJURHOLM/artfynd/A 30597-2019.xlsx", "A 30597-2019")</f>
        <v/>
      </c>
      <c r="T67">
        <f>HYPERLINK("https://klasma.github.io/Logging_BJURHOLM/kartor/A 30597-2019.png", "A 30597-2019")</f>
        <v/>
      </c>
      <c r="V67">
        <f>HYPERLINK("https://klasma.github.io/Logging_BJURHOLM/klagomål/A 30597-2019.docx", "A 30597-2019")</f>
        <v/>
      </c>
      <c r="W67">
        <f>HYPERLINK("https://klasma.github.io/Logging_BJURHOLM/klagomålsmail/A 30597-2019.docx", "A 30597-2019")</f>
        <v/>
      </c>
      <c r="X67">
        <f>HYPERLINK("https://klasma.github.io/Logging_BJURHOLM/tillsyn/A 30597-2019.docx", "A 30597-2019")</f>
        <v/>
      </c>
      <c r="Y67">
        <f>HYPERLINK("https://klasma.github.io/Logging_BJURHOLM/tillsynsmail/A 30597-2019.docx", "A 30597-2019")</f>
        <v/>
      </c>
    </row>
    <row r="68" ht="15" customHeight="1">
      <c r="A68" t="inlineStr">
        <is>
          <t>A 7355-2020</t>
        </is>
      </c>
      <c r="B68" s="1" t="n">
        <v>43871</v>
      </c>
      <c r="C68" s="1" t="n">
        <v>45204</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HYPERLINK("https://klasma.github.io/Logging_NORDMALING/artfynd/A 7355-2020.xlsx", "A 7355-2020")</f>
        <v/>
      </c>
      <c r="T68">
        <f>HYPERLINK("https://klasma.github.io/Logging_NORDMALING/kartor/A 7355-2020.png", "A 7355-2020")</f>
        <v/>
      </c>
      <c r="V68">
        <f>HYPERLINK("https://klasma.github.io/Logging_NORDMALING/klagomål/A 7355-2020.docx", "A 7355-2020")</f>
        <v/>
      </c>
      <c r="W68">
        <f>HYPERLINK("https://klasma.github.io/Logging_NORDMALING/klagomålsmail/A 7355-2020.docx", "A 7355-2020")</f>
        <v/>
      </c>
      <c r="X68">
        <f>HYPERLINK("https://klasma.github.io/Logging_NORDMALING/tillsyn/A 7355-2020.docx", "A 7355-2020")</f>
        <v/>
      </c>
      <c r="Y68">
        <f>HYPERLINK("https://klasma.github.io/Logging_NORDMALING/tillsynsmail/A 7355-2020.docx", "A 7355-2020")</f>
        <v/>
      </c>
    </row>
    <row r="69" ht="15" customHeight="1">
      <c r="A69" t="inlineStr">
        <is>
          <t>A 43982-2020</t>
        </is>
      </c>
      <c r="B69" s="1" t="n">
        <v>44078</v>
      </c>
      <c r="C69" s="1" t="n">
        <v>45204</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HYPERLINK("https://klasma.github.io/Logging_SORSELE/artfynd/A 43982-2020.xlsx", "A 43982-2020")</f>
        <v/>
      </c>
      <c r="T69">
        <f>HYPERLINK("https://klasma.github.io/Logging_SORSELE/kartor/A 43982-2020.png", "A 43982-2020")</f>
        <v/>
      </c>
      <c r="V69">
        <f>HYPERLINK("https://klasma.github.io/Logging_SORSELE/klagomål/A 43982-2020.docx", "A 43982-2020")</f>
        <v/>
      </c>
      <c r="W69">
        <f>HYPERLINK("https://klasma.github.io/Logging_SORSELE/klagomålsmail/A 43982-2020.docx", "A 43982-2020")</f>
        <v/>
      </c>
      <c r="X69">
        <f>HYPERLINK("https://klasma.github.io/Logging_SORSELE/tillsyn/A 43982-2020.docx", "A 43982-2020")</f>
        <v/>
      </c>
      <c r="Y69">
        <f>HYPERLINK("https://klasma.github.io/Logging_SORSELE/tillsynsmail/A 43982-2020.docx", "A 43982-2020")</f>
        <v/>
      </c>
    </row>
    <row r="70" ht="15" customHeight="1">
      <c r="A70" t="inlineStr">
        <is>
          <t>A 32529-2022</t>
        </is>
      </c>
      <c r="B70" s="1" t="n">
        <v>44782</v>
      </c>
      <c r="C70" s="1" t="n">
        <v>45204</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HYPERLINK("https://klasma.github.io/Logging_ASELE/artfynd/A 32529-2022.xlsx", "A 32529-2022")</f>
        <v/>
      </c>
      <c r="T70">
        <f>HYPERLINK("https://klasma.github.io/Logging_ASELE/kartor/A 32529-2022.png", "A 32529-2022")</f>
        <v/>
      </c>
      <c r="V70">
        <f>HYPERLINK("https://klasma.github.io/Logging_ASELE/klagomål/A 32529-2022.docx", "A 32529-2022")</f>
        <v/>
      </c>
      <c r="W70">
        <f>HYPERLINK("https://klasma.github.io/Logging_ASELE/klagomålsmail/A 32529-2022.docx", "A 32529-2022")</f>
        <v/>
      </c>
      <c r="X70">
        <f>HYPERLINK("https://klasma.github.io/Logging_ASELE/tillsyn/A 32529-2022.docx", "A 32529-2022")</f>
        <v/>
      </c>
      <c r="Y70">
        <f>HYPERLINK("https://klasma.github.io/Logging_ASELE/tillsynsmail/A 32529-2022.docx", "A 32529-2022")</f>
        <v/>
      </c>
    </row>
    <row r="71" ht="15" customHeight="1">
      <c r="A71" t="inlineStr">
        <is>
          <t>A 45775-2022</t>
        </is>
      </c>
      <c r="B71" s="1" t="n">
        <v>44838</v>
      </c>
      <c r="C71" s="1" t="n">
        <v>45204</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HYPERLINK("https://klasma.github.io/Logging_VILHELMINA/artfynd/A 45775-2022.xlsx", "A 45775-2022")</f>
        <v/>
      </c>
      <c r="T71">
        <f>HYPERLINK("https://klasma.github.io/Logging_VILHELMINA/kartor/A 45775-2022.png", "A 45775-2022")</f>
        <v/>
      </c>
      <c r="V71">
        <f>HYPERLINK("https://klasma.github.io/Logging_VILHELMINA/klagomål/A 45775-2022.docx", "A 45775-2022")</f>
        <v/>
      </c>
      <c r="W71">
        <f>HYPERLINK("https://klasma.github.io/Logging_VILHELMINA/klagomålsmail/A 45775-2022.docx", "A 45775-2022")</f>
        <v/>
      </c>
      <c r="X71">
        <f>HYPERLINK("https://klasma.github.io/Logging_VILHELMINA/tillsyn/A 45775-2022.docx", "A 45775-2022")</f>
        <v/>
      </c>
      <c r="Y71">
        <f>HYPERLINK("https://klasma.github.io/Logging_VILHELMINA/tillsynsmail/A 45775-2022.docx", "A 45775-2022")</f>
        <v/>
      </c>
    </row>
    <row r="72" ht="15" customHeight="1">
      <c r="A72" t="inlineStr">
        <is>
          <t>A 2135-2023</t>
        </is>
      </c>
      <c r="B72" s="1" t="n">
        <v>44939</v>
      </c>
      <c r="C72" s="1" t="n">
        <v>45204</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HYPERLINK("https://klasma.github.io/Logging_STORUMAN/artfynd/A 2135-2023.xlsx", "A 2135-2023")</f>
        <v/>
      </c>
      <c r="T72">
        <f>HYPERLINK("https://klasma.github.io/Logging_STORUMAN/kartor/A 2135-2023.png", "A 2135-2023")</f>
        <v/>
      </c>
      <c r="U72">
        <f>HYPERLINK("https://klasma.github.io/Logging_STORUMAN/knärot/A 2135-2023.png", "A 2135-2023")</f>
        <v/>
      </c>
      <c r="V72">
        <f>HYPERLINK("https://klasma.github.io/Logging_STORUMAN/klagomål/A 2135-2023.docx", "A 2135-2023")</f>
        <v/>
      </c>
      <c r="W72">
        <f>HYPERLINK("https://klasma.github.io/Logging_STORUMAN/klagomålsmail/A 2135-2023.docx", "A 2135-2023")</f>
        <v/>
      </c>
      <c r="X72">
        <f>HYPERLINK("https://klasma.github.io/Logging_STORUMAN/tillsyn/A 2135-2023.docx", "A 2135-2023")</f>
        <v/>
      </c>
      <c r="Y72">
        <f>HYPERLINK("https://klasma.github.io/Logging_STORUMAN/tillsynsmail/A 2135-2023.docx", "A 2135-2023")</f>
        <v/>
      </c>
    </row>
    <row r="73" ht="15" customHeight="1">
      <c r="A73" t="inlineStr">
        <is>
          <t>A 3146-2023</t>
        </is>
      </c>
      <c r="B73" s="1" t="n">
        <v>44945</v>
      </c>
      <c r="C73" s="1" t="n">
        <v>45204</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HYPERLINK("https://klasma.github.io/Logging_VILHELMINA/artfynd/A 3146-2023.xlsx", "A 3146-2023")</f>
        <v/>
      </c>
      <c r="T73">
        <f>HYPERLINK("https://klasma.github.io/Logging_VILHELMINA/kartor/A 3146-2023.png", "A 3146-2023")</f>
        <v/>
      </c>
      <c r="V73">
        <f>HYPERLINK("https://klasma.github.io/Logging_VILHELMINA/klagomål/A 3146-2023.docx", "A 3146-2023")</f>
        <v/>
      </c>
      <c r="W73">
        <f>HYPERLINK("https://klasma.github.io/Logging_VILHELMINA/klagomålsmail/A 3146-2023.docx", "A 3146-2023")</f>
        <v/>
      </c>
      <c r="X73">
        <f>HYPERLINK("https://klasma.github.io/Logging_VILHELMINA/tillsyn/A 3146-2023.docx", "A 3146-2023")</f>
        <v/>
      </c>
      <c r="Y73">
        <f>HYPERLINK("https://klasma.github.io/Logging_VILHELMINA/tillsynsmail/A 3146-2023.docx", "A 3146-2023")</f>
        <v/>
      </c>
    </row>
    <row r="74" ht="15" customHeight="1">
      <c r="A74" t="inlineStr">
        <is>
          <t>A 3140-2023</t>
        </is>
      </c>
      <c r="B74" s="1" t="n">
        <v>44945</v>
      </c>
      <c r="C74" s="1" t="n">
        <v>45204</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HYPERLINK("https://klasma.github.io/Logging_VILHELMINA/artfynd/A 3140-2023.xlsx", "A 3140-2023")</f>
        <v/>
      </c>
      <c r="T74">
        <f>HYPERLINK("https://klasma.github.io/Logging_VILHELMINA/kartor/A 3140-2023.png", "A 3140-2023")</f>
        <v/>
      </c>
      <c r="V74">
        <f>HYPERLINK("https://klasma.github.io/Logging_VILHELMINA/klagomål/A 3140-2023.docx", "A 3140-2023")</f>
        <v/>
      </c>
      <c r="W74">
        <f>HYPERLINK("https://klasma.github.io/Logging_VILHELMINA/klagomålsmail/A 3140-2023.docx", "A 3140-2023")</f>
        <v/>
      </c>
      <c r="X74">
        <f>HYPERLINK("https://klasma.github.io/Logging_VILHELMINA/tillsyn/A 3140-2023.docx", "A 3140-2023")</f>
        <v/>
      </c>
      <c r="Y74">
        <f>HYPERLINK("https://klasma.github.io/Logging_VILHELMINA/tillsynsmail/A 3140-2023.docx", "A 3140-2023")</f>
        <v/>
      </c>
    </row>
    <row r="75" ht="15" customHeight="1">
      <c r="A75" t="inlineStr">
        <is>
          <t>A 38871-2018</t>
        </is>
      </c>
      <c r="B75" s="1" t="n">
        <v>43336</v>
      </c>
      <c r="C75" s="1" t="n">
        <v>45204</v>
      </c>
      <c r="D75" t="inlineStr">
        <is>
          <t>VÄSTERBOTTENS LÄN</t>
        </is>
      </c>
      <c r="E75" t="inlineStr">
        <is>
          <t>LYCKSELE</t>
        </is>
      </c>
      <c r="G75" t="n">
        <v>12.1</v>
      </c>
      <c r="H75" t="n">
        <v>2</v>
      </c>
      <c r="I75" t="n">
        <v>2</v>
      </c>
      <c r="J75" t="n">
        <v>9</v>
      </c>
      <c r="K75" t="n">
        <v>2</v>
      </c>
      <c r="L75" t="n">
        <v>0</v>
      </c>
      <c r="M75" t="n">
        <v>0</v>
      </c>
      <c r="N75" t="n">
        <v>0</v>
      </c>
      <c r="O75" t="n">
        <v>11</v>
      </c>
      <c r="P75" t="n">
        <v>2</v>
      </c>
      <c r="Q75" t="n">
        <v>13</v>
      </c>
      <c r="R75" s="2" t="inlineStr">
        <is>
          <t>Ostticka
Rynkskinn
Doftskinn
Gammelgransskål
Garnlav
Granticka
Lunglav
Rosenticka
Rödvingetrast
Talltita
Ullticka
Blodticka
Vedticka</t>
        </is>
      </c>
      <c r="S75">
        <f>HYPERLINK("https://klasma.github.io/Logging_LYCKSELE/artfynd/A 38871-2018.xlsx", "A 38871-2018")</f>
        <v/>
      </c>
      <c r="T75">
        <f>HYPERLINK("https://klasma.github.io/Logging_LYCKSELE/kartor/A 38871-2018.png", "A 38871-2018")</f>
        <v/>
      </c>
      <c r="V75">
        <f>HYPERLINK("https://klasma.github.io/Logging_LYCKSELE/klagomål/A 38871-2018.docx", "A 38871-2018")</f>
        <v/>
      </c>
      <c r="W75">
        <f>HYPERLINK("https://klasma.github.io/Logging_LYCKSELE/klagomålsmail/A 38871-2018.docx", "A 38871-2018")</f>
        <v/>
      </c>
      <c r="X75">
        <f>HYPERLINK("https://klasma.github.io/Logging_LYCKSELE/tillsyn/A 38871-2018.docx", "A 38871-2018")</f>
        <v/>
      </c>
      <c r="Y75">
        <f>HYPERLINK("https://klasma.github.io/Logging_LYCKSELE/tillsynsmail/A 38871-2018.docx", "A 38871-2018")</f>
        <v/>
      </c>
    </row>
    <row r="76" ht="15" customHeight="1">
      <c r="A76" t="inlineStr">
        <is>
          <t>A 40099-2019</t>
        </is>
      </c>
      <c r="B76" s="1" t="n">
        <v>43693</v>
      </c>
      <c r="C76" s="1" t="n">
        <v>45204</v>
      </c>
      <c r="D76" t="inlineStr">
        <is>
          <t>VÄSTERBOTTENS LÄN</t>
        </is>
      </c>
      <c r="E76" t="inlineStr">
        <is>
          <t>NORDMALING</t>
        </is>
      </c>
      <c r="G76" t="n">
        <v>10</v>
      </c>
      <c r="H76" t="n">
        <v>3</v>
      </c>
      <c r="I76" t="n">
        <v>6</v>
      </c>
      <c r="J76" t="n">
        <v>7</v>
      </c>
      <c r="K76" t="n">
        <v>0</v>
      </c>
      <c r="L76" t="n">
        <v>0</v>
      </c>
      <c r="M76" t="n">
        <v>0</v>
      </c>
      <c r="N76" t="n">
        <v>0</v>
      </c>
      <c r="O76" t="n">
        <v>7</v>
      </c>
      <c r="P76" t="n">
        <v>0</v>
      </c>
      <c r="Q76" t="n">
        <v>13</v>
      </c>
      <c r="R76" s="2" t="inlineStr">
        <is>
          <t>Garnlav
Granticka
Järpe
Lunglav
Talltita
Tretåig hackspett
Ullticka
Bårdlav
Korallblylav
Skinnlav
Stor aspticka
Stuplav
Vedticka</t>
        </is>
      </c>
      <c r="S76">
        <f>HYPERLINK("https://klasma.github.io/Logging_NORDMALING/artfynd/A 40099-2019.xlsx", "A 40099-2019")</f>
        <v/>
      </c>
      <c r="T76">
        <f>HYPERLINK("https://klasma.github.io/Logging_NORDMALING/kartor/A 40099-2019.png", "A 40099-2019")</f>
        <v/>
      </c>
      <c r="V76">
        <f>HYPERLINK("https://klasma.github.io/Logging_NORDMALING/klagomål/A 40099-2019.docx", "A 40099-2019")</f>
        <v/>
      </c>
      <c r="W76">
        <f>HYPERLINK("https://klasma.github.io/Logging_NORDMALING/klagomålsmail/A 40099-2019.docx", "A 40099-2019")</f>
        <v/>
      </c>
      <c r="X76">
        <f>HYPERLINK("https://klasma.github.io/Logging_NORDMALING/tillsyn/A 40099-2019.docx", "A 40099-2019")</f>
        <v/>
      </c>
      <c r="Y76">
        <f>HYPERLINK("https://klasma.github.io/Logging_NORDMALING/tillsynsmail/A 40099-2019.docx", "A 40099-2019")</f>
        <v/>
      </c>
    </row>
    <row r="77" ht="15" customHeight="1">
      <c r="A77" t="inlineStr">
        <is>
          <t>A 42617-2020</t>
        </is>
      </c>
      <c r="B77" s="1" t="n">
        <v>44077</v>
      </c>
      <c r="C77" s="1" t="n">
        <v>45204</v>
      </c>
      <c r="D77" t="inlineStr">
        <is>
          <t>VÄSTERBOTTENS LÄN</t>
        </is>
      </c>
      <c r="E77" t="inlineStr">
        <is>
          <t>STORUMAN</t>
        </is>
      </c>
      <c r="G77" t="n">
        <v>17</v>
      </c>
      <c r="H77" t="n">
        <v>0</v>
      </c>
      <c r="I77" t="n">
        <v>4</v>
      </c>
      <c r="J77" t="n">
        <v>8</v>
      </c>
      <c r="K77" t="n">
        <v>1</v>
      </c>
      <c r="L77" t="n">
        <v>0</v>
      </c>
      <c r="M77" t="n">
        <v>0</v>
      </c>
      <c r="N77" t="n">
        <v>0</v>
      </c>
      <c r="O77" t="n">
        <v>9</v>
      </c>
      <c r="P77" t="n">
        <v>1</v>
      </c>
      <c r="Q77" t="n">
        <v>13</v>
      </c>
      <c r="R77" s="2" t="inlineStr">
        <is>
          <t>Rynkskinn
Doftskinn
Garnlav
Granticka
Gränsticka
Harticka
Rosenticka
Skrovellav
Ullticka
Bårdlav
Luddlav
Stuplav
Trådticka</t>
        </is>
      </c>
      <c r="S77">
        <f>HYPERLINK("https://klasma.github.io/Logging_STORUMAN/artfynd/A 42617-2020.xlsx", "A 42617-2020")</f>
        <v/>
      </c>
      <c r="T77">
        <f>HYPERLINK("https://klasma.github.io/Logging_STORUMAN/kartor/A 42617-2020.png", "A 42617-2020")</f>
        <v/>
      </c>
      <c r="V77">
        <f>HYPERLINK("https://klasma.github.io/Logging_STORUMAN/klagomål/A 42617-2020.docx", "A 42617-2020")</f>
        <v/>
      </c>
      <c r="W77">
        <f>HYPERLINK("https://klasma.github.io/Logging_STORUMAN/klagomålsmail/A 42617-2020.docx", "A 42617-2020")</f>
        <v/>
      </c>
      <c r="X77">
        <f>HYPERLINK("https://klasma.github.io/Logging_STORUMAN/tillsyn/A 42617-2020.docx", "A 42617-2020")</f>
        <v/>
      </c>
      <c r="Y77">
        <f>HYPERLINK("https://klasma.github.io/Logging_STORUMAN/tillsynsmail/A 42617-2020.docx", "A 42617-2020")</f>
        <v/>
      </c>
    </row>
    <row r="78" ht="15" customHeight="1">
      <c r="A78" t="inlineStr">
        <is>
          <t>A 43929-2020</t>
        </is>
      </c>
      <c r="B78" s="1" t="n">
        <v>44078</v>
      </c>
      <c r="C78" s="1" t="n">
        <v>45204</v>
      </c>
      <c r="D78" t="inlineStr">
        <is>
          <t>VÄSTERBOTTENS LÄN</t>
        </is>
      </c>
      <c r="E78" t="inlineStr">
        <is>
          <t>STORUMAN</t>
        </is>
      </c>
      <c r="F78" t="inlineStr">
        <is>
          <t>Allmännings- och besparingsskogar</t>
        </is>
      </c>
      <c r="G78" t="n">
        <v>53.6</v>
      </c>
      <c r="H78" t="n">
        <v>0</v>
      </c>
      <c r="I78" t="n">
        <v>3</v>
      </c>
      <c r="J78" t="n">
        <v>9</v>
      </c>
      <c r="K78" t="n">
        <v>1</v>
      </c>
      <c r="L78" t="n">
        <v>0</v>
      </c>
      <c r="M78" t="n">
        <v>0</v>
      </c>
      <c r="N78" t="n">
        <v>0</v>
      </c>
      <c r="O78" t="n">
        <v>10</v>
      </c>
      <c r="P78" t="n">
        <v>1</v>
      </c>
      <c r="Q78" t="n">
        <v>13</v>
      </c>
      <c r="R78" s="2" t="inlineStr">
        <is>
          <t>Rynkskinn
Doftskinn
Garnlav
Granticka
Gränsticka
Knottrig blåslav
Rosenticka
Rödbrun blekspik
Skrovellav
Ullticka
Blodticka
Trådticka
Vedticka</t>
        </is>
      </c>
      <c r="S78">
        <f>HYPERLINK("https://klasma.github.io/Logging_STORUMAN/artfynd/A 43929-2020.xlsx", "A 43929-2020")</f>
        <v/>
      </c>
      <c r="T78">
        <f>HYPERLINK("https://klasma.github.io/Logging_STORUMAN/kartor/A 43929-2020.png", "A 43929-2020")</f>
        <v/>
      </c>
      <c r="V78">
        <f>HYPERLINK("https://klasma.github.io/Logging_STORUMAN/klagomål/A 43929-2020.docx", "A 43929-2020")</f>
        <v/>
      </c>
      <c r="W78">
        <f>HYPERLINK("https://klasma.github.io/Logging_STORUMAN/klagomålsmail/A 43929-2020.docx", "A 43929-2020")</f>
        <v/>
      </c>
      <c r="X78">
        <f>HYPERLINK("https://klasma.github.io/Logging_STORUMAN/tillsyn/A 43929-2020.docx", "A 43929-2020")</f>
        <v/>
      </c>
      <c r="Y78">
        <f>HYPERLINK("https://klasma.github.io/Logging_STORUMAN/tillsynsmail/A 43929-2020.docx", "A 43929-2020")</f>
        <v/>
      </c>
    </row>
    <row r="79" ht="15" customHeight="1">
      <c r="A79" t="inlineStr">
        <is>
          <t>A 43915-2020</t>
        </is>
      </c>
      <c r="B79" s="1" t="n">
        <v>44078</v>
      </c>
      <c r="C79" s="1" t="n">
        <v>45204</v>
      </c>
      <c r="D79" t="inlineStr">
        <is>
          <t>VÄSTERBOTTENS LÄN</t>
        </is>
      </c>
      <c r="E79" t="inlineStr">
        <is>
          <t>STORUMAN</t>
        </is>
      </c>
      <c r="F79" t="inlineStr">
        <is>
          <t>Allmännings- och besparingsskogar</t>
        </is>
      </c>
      <c r="G79" t="n">
        <v>220.8</v>
      </c>
      <c r="H79" t="n">
        <v>1</v>
      </c>
      <c r="I79" t="n">
        <v>3</v>
      </c>
      <c r="J79" t="n">
        <v>10</v>
      </c>
      <c r="K79" t="n">
        <v>0</v>
      </c>
      <c r="L79" t="n">
        <v>0</v>
      </c>
      <c r="M79" t="n">
        <v>0</v>
      </c>
      <c r="N79" t="n">
        <v>0</v>
      </c>
      <c r="O79" t="n">
        <v>10</v>
      </c>
      <c r="P79" t="n">
        <v>0</v>
      </c>
      <c r="Q79" t="n">
        <v>13</v>
      </c>
      <c r="R79" s="2" t="inlineStr">
        <is>
          <t>Garnlav
Granticka
Gränsticka
Harticka
Knottrig blåslav
Lunglav
Rosenticka
Skrovellav
Tretåig hackspett
Ullticka
Bårdlav
Luddlav
Stuplav</t>
        </is>
      </c>
      <c r="S79">
        <f>HYPERLINK("https://klasma.github.io/Logging_STORUMAN/artfynd/A 43915-2020.xlsx", "A 43915-2020")</f>
        <v/>
      </c>
      <c r="T79">
        <f>HYPERLINK("https://klasma.github.io/Logging_STORUMAN/kartor/A 43915-2020.png", "A 43915-2020")</f>
        <v/>
      </c>
      <c r="V79">
        <f>HYPERLINK("https://klasma.github.io/Logging_STORUMAN/klagomål/A 43915-2020.docx", "A 43915-2020")</f>
        <v/>
      </c>
      <c r="W79">
        <f>HYPERLINK("https://klasma.github.io/Logging_STORUMAN/klagomålsmail/A 43915-2020.docx", "A 43915-2020")</f>
        <v/>
      </c>
      <c r="X79">
        <f>HYPERLINK("https://klasma.github.io/Logging_STORUMAN/tillsyn/A 43915-2020.docx", "A 43915-2020")</f>
        <v/>
      </c>
      <c r="Y79">
        <f>HYPERLINK("https://klasma.github.io/Logging_STORUMAN/tillsynsmail/A 43915-2020.docx", "A 43915-2020")</f>
        <v/>
      </c>
    </row>
    <row r="80" ht="15" customHeight="1">
      <c r="A80" t="inlineStr">
        <is>
          <t>A 26728-2021</t>
        </is>
      </c>
      <c r="B80" s="1" t="n">
        <v>44349</v>
      </c>
      <c r="C80" s="1" t="n">
        <v>45204</v>
      </c>
      <c r="D80" t="inlineStr">
        <is>
          <t>VÄSTERBOTTENS LÄN</t>
        </is>
      </c>
      <c r="E80" t="inlineStr">
        <is>
          <t>SKELLEFTEÅ</t>
        </is>
      </c>
      <c r="G80" t="n">
        <v>9.9</v>
      </c>
      <c r="H80" t="n">
        <v>3</v>
      </c>
      <c r="I80" t="n">
        <v>7</v>
      </c>
      <c r="J80" t="n">
        <v>3</v>
      </c>
      <c r="K80" t="n">
        <v>2</v>
      </c>
      <c r="L80" t="n">
        <v>0</v>
      </c>
      <c r="M80" t="n">
        <v>0</v>
      </c>
      <c r="N80" t="n">
        <v>0</v>
      </c>
      <c r="O80" t="n">
        <v>5</v>
      </c>
      <c r="P80" t="n">
        <v>2</v>
      </c>
      <c r="Q80" t="n">
        <v>13</v>
      </c>
      <c r="R80" s="2" t="inlineStr">
        <is>
          <t>Knärot
Norna
Garnlav
Persiljespindling
Tallticka
Dropptaggsvamp
Kryddspindling
Rödgul trumpetsvamp
Skarp dropptaggsvamp
Svart trolldruva
Svavelriska
Tibast
Nattviol</t>
        </is>
      </c>
      <c r="S80">
        <f>HYPERLINK("https://klasma.github.io/Logging_SKELLEFTEA/artfynd/A 26728-2021.xlsx", "A 26728-2021")</f>
        <v/>
      </c>
      <c r="T80">
        <f>HYPERLINK("https://klasma.github.io/Logging_SKELLEFTEA/kartor/A 26728-2021.png", "A 26728-2021")</f>
        <v/>
      </c>
      <c r="U80">
        <f>HYPERLINK("https://klasma.github.io/Logging_SKELLEFTEA/knärot/A 26728-2021.png", "A 26728-2021")</f>
        <v/>
      </c>
      <c r="V80">
        <f>HYPERLINK("https://klasma.github.io/Logging_SKELLEFTEA/klagomål/A 26728-2021.docx", "A 26728-2021")</f>
        <v/>
      </c>
      <c r="W80">
        <f>HYPERLINK("https://klasma.github.io/Logging_SKELLEFTEA/klagomålsmail/A 26728-2021.docx", "A 26728-2021")</f>
        <v/>
      </c>
      <c r="X80">
        <f>HYPERLINK("https://klasma.github.io/Logging_SKELLEFTEA/tillsyn/A 26728-2021.docx", "A 26728-2021")</f>
        <v/>
      </c>
      <c r="Y80">
        <f>HYPERLINK("https://klasma.github.io/Logging_SKELLEFTEA/tillsynsmail/A 26728-2021.docx", "A 26728-2021")</f>
        <v/>
      </c>
    </row>
    <row r="81" ht="15" customHeight="1">
      <c r="A81" t="inlineStr">
        <is>
          <t>A 34681-2021</t>
        </is>
      </c>
      <c r="B81" s="1" t="n">
        <v>44382</v>
      </c>
      <c r="C81" s="1" t="n">
        <v>45204</v>
      </c>
      <c r="D81" t="inlineStr">
        <is>
          <t>VÄSTERBOTTENS LÄN</t>
        </is>
      </c>
      <c r="E81" t="inlineStr">
        <is>
          <t>STORUMAN</t>
        </is>
      </c>
      <c r="G81" t="n">
        <v>20.9</v>
      </c>
      <c r="H81" t="n">
        <v>1</v>
      </c>
      <c r="I81" t="n">
        <v>4</v>
      </c>
      <c r="J81" t="n">
        <v>8</v>
      </c>
      <c r="K81" t="n">
        <v>1</v>
      </c>
      <c r="L81" t="n">
        <v>0</v>
      </c>
      <c r="M81" t="n">
        <v>0</v>
      </c>
      <c r="N81" t="n">
        <v>0</v>
      </c>
      <c r="O81" t="n">
        <v>9</v>
      </c>
      <c r="P81" t="n">
        <v>1</v>
      </c>
      <c r="Q81" t="n">
        <v>13</v>
      </c>
      <c r="R81" s="2" t="inlineStr">
        <is>
          <t>Ostticka
Gammelgransskål
Garnlav
Granticka
Gränsticka
Rosenticka
Skrovellav
Ullticka
Violmussling
Bårdlav
Spindelblomster
Stuplav
Ögonpyrola</t>
        </is>
      </c>
      <c r="S81">
        <f>HYPERLINK("https://klasma.github.io/Logging_STORUMAN/artfynd/A 34681-2021.xlsx", "A 34681-2021")</f>
        <v/>
      </c>
      <c r="T81">
        <f>HYPERLINK("https://klasma.github.io/Logging_STORUMAN/kartor/A 34681-2021.png", "A 34681-2021")</f>
        <v/>
      </c>
      <c r="V81">
        <f>HYPERLINK("https://klasma.github.io/Logging_STORUMAN/klagomål/A 34681-2021.docx", "A 34681-2021")</f>
        <v/>
      </c>
      <c r="W81">
        <f>HYPERLINK("https://klasma.github.io/Logging_STORUMAN/klagomålsmail/A 34681-2021.docx", "A 34681-2021")</f>
        <v/>
      </c>
      <c r="X81">
        <f>HYPERLINK("https://klasma.github.io/Logging_STORUMAN/tillsyn/A 34681-2021.docx", "A 34681-2021")</f>
        <v/>
      </c>
      <c r="Y81">
        <f>HYPERLINK("https://klasma.github.io/Logging_STORUMAN/tillsynsmail/A 34681-2021.docx", "A 34681-2021")</f>
        <v/>
      </c>
    </row>
    <row r="82" ht="15" customHeight="1">
      <c r="A82" t="inlineStr">
        <is>
          <t>A 42138-2021</t>
        </is>
      </c>
      <c r="B82" s="1" t="n">
        <v>44426</v>
      </c>
      <c r="C82" s="1" t="n">
        <v>45204</v>
      </c>
      <c r="D82" t="inlineStr">
        <is>
          <t>VÄSTERBOTTENS LÄN</t>
        </is>
      </c>
      <c r="E82" t="inlineStr">
        <is>
          <t>SORSELE</t>
        </is>
      </c>
      <c r="G82" t="n">
        <v>20</v>
      </c>
      <c r="H82" t="n">
        <v>2</v>
      </c>
      <c r="I82" t="n">
        <v>6</v>
      </c>
      <c r="J82" t="n">
        <v>6</v>
      </c>
      <c r="K82" t="n">
        <v>0</v>
      </c>
      <c r="L82" t="n">
        <v>0</v>
      </c>
      <c r="M82" t="n">
        <v>0</v>
      </c>
      <c r="N82" t="n">
        <v>0</v>
      </c>
      <c r="O82" t="n">
        <v>6</v>
      </c>
      <c r="P82" t="n">
        <v>0</v>
      </c>
      <c r="Q82" t="n">
        <v>13</v>
      </c>
      <c r="R82" s="2" t="inlineStr">
        <is>
          <t>Blanksvart spiklav
Knottrig blåslav
Rosenticka
Rödbrun blekspik
Tallticka
Talltita
Bårdlav
Luddlav
Norrlandslav
Nästlav
Skinnlav
Stuplav
Revlummer</t>
        </is>
      </c>
      <c r="S82">
        <f>HYPERLINK("https://klasma.github.io/Logging_SORSELE/artfynd/A 42138-2021.xlsx", "A 42138-2021")</f>
        <v/>
      </c>
      <c r="T82">
        <f>HYPERLINK("https://klasma.github.io/Logging_SORSELE/kartor/A 42138-2021.png", "A 42138-2021")</f>
        <v/>
      </c>
      <c r="V82">
        <f>HYPERLINK("https://klasma.github.io/Logging_SORSELE/klagomål/A 42138-2021.docx", "A 42138-2021")</f>
        <v/>
      </c>
      <c r="W82">
        <f>HYPERLINK("https://klasma.github.io/Logging_SORSELE/klagomålsmail/A 42138-2021.docx", "A 42138-2021")</f>
        <v/>
      </c>
      <c r="X82">
        <f>HYPERLINK("https://klasma.github.io/Logging_SORSELE/tillsyn/A 42138-2021.docx", "A 42138-2021")</f>
        <v/>
      </c>
      <c r="Y82">
        <f>HYPERLINK("https://klasma.github.io/Logging_SORSELE/tillsynsmail/A 42138-2021.docx", "A 42138-2021")</f>
        <v/>
      </c>
    </row>
    <row r="83" ht="15" customHeight="1">
      <c r="A83" t="inlineStr">
        <is>
          <t>A 3345-2022</t>
        </is>
      </c>
      <c r="B83" s="1" t="n">
        <v>44585</v>
      </c>
      <c r="C83" s="1" t="n">
        <v>45204</v>
      </c>
      <c r="D83" t="inlineStr">
        <is>
          <t>VÄSTERBOTTENS LÄN</t>
        </is>
      </c>
      <c r="E83" t="inlineStr">
        <is>
          <t>SKELLEFTEÅ</t>
        </is>
      </c>
      <c r="G83" t="n">
        <v>6.6</v>
      </c>
      <c r="H83" t="n">
        <v>0</v>
      </c>
      <c r="I83" t="n">
        <v>7</v>
      </c>
      <c r="J83" t="n">
        <v>6</v>
      </c>
      <c r="K83" t="n">
        <v>0</v>
      </c>
      <c r="L83" t="n">
        <v>0</v>
      </c>
      <c r="M83" t="n">
        <v>0</v>
      </c>
      <c r="N83" t="n">
        <v>0</v>
      </c>
      <c r="O83" t="n">
        <v>6</v>
      </c>
      <c r="P83" t="n">
        <v>0</v>
      </c>
      <c r="Q83" t="n">
        <v>13</v>
      </c>
      <c r="R83" s="2" t="inlineStr">
        <is>
          <t>Garnlav
Lunglav
Persiljespindling
Stjärntagging
Ullticka
Äggvaxskivling
Barrfagerspindling
Bårdlav
Gytterlav
Skinnlav
Svavelriska
Tibast
Vedticka</t>
        </is>
      </c>
      <c r="S83">
        <f>HYPERLINK("https://klasma.github.io/Logging_SKELLEFTEA/artfynd/A 3345-2022.xlsx", "A 3345-2022")</f>
        <v/>
      </c>
      <c r="T83">
        <f>HYPERLINK("https://klasma.github.io/Logging_SKELLEFTEA/kartor/A 3345-2022.png", "A 3345-2022")</f>
        <v/>
      </c>
      <c r="V83">
        <f>HYPERLINK("https://klasma.github.io/Logging_SKELLEFTEA/klagomål/A 3345-2022.docx", "A 3345-2022")</f>
        <v/>
      </c>
      <c r="W83">
        <f>HYPERLINK("https://klasma.github.io/Logging_SKELLEFTEA/klagomålsmail/A 3345-2022.docx", "A 3345-2022")</f>
        <v/>
      </c>
      <c r="X83">
        <f>HYPERLINK("https://klasma.github.io/Logging_SKELLEFTEA/tillsyn/A 3345-2022.docx", "A 3345-2022")</f>
        <v/>
      </c>
      <c r="Y83">
        <f>HYPERLINK("https://klasma.github.io/Logging_SKELLEFTEA/tillsynsmail/A 3345-2022.docx", "A 3345-2022")</f>
        <v/>
      </c>
    </row>
    <row r="84" ht="15" customHeight="1">
      <c r="A84" t="inlineStr">
        <is>
          <t>A 45782-2022</t>
        </is>
      </c>
      <c r="B84" s="1" t="n">
        <v>44838</v>
      </c>
      <c r="C84" s="1" t="n">
        <v>45204</v>
      </c>
      <c r="D84" t="inlineStr">
        <is>
          <t>VÄSTERBOTTENS LÄN</t>
        </is>
      </c>
      <c r="E84" t="inlineStr">
        <is>
          <t>VILHELMINA</t>
        </is>
      </c>
      <c r="F84" t="inlineStr">
        <is>
          <t>Allmännings- och besparingsskogar</t>
        </is>
      </c>
      <c r="G84" t="n">
        <v>16.2</v>
      </c>
      <c r="H84" t="n">
        <v>1</v>
      </c>
      <c r="I84" t="n">
        <v>1</v>
      </c>
      <c r="J84" t="n">
        <v>11</v>
      </c>
      <c r="K84" t="n">
        <v>1</v>
      </c>
      <c r="L84" t="n">
        <v>0</v>
      </c>
      <c r="M84" t="n">
        <v>0</v>
      </c>
      <c r="N84" t="n">
        <v>0</v>
      </c>
      <c r="O84" t="n">
        <v>12</v>
      </c>
      <c r="P84" t="n">
        <v>1</v>
      </c>
      <c r="Q84" t="n">
        <v>13</v>
      </c>
      <c r="R84" s="2" t="inlineStr">
        <is>
          <t>Tajgaskinn
Brunpudrad nållav
Doftskinn
Garnlav
Granticka
Gränsticka
Harticka
Knottrig blåslav
Rödbrun blekspik
Tretåig hackspett
Vitgrynig nållav
Vitskaftad svartspik
Kornig nållav</t>
        </is>
      </c>
      <c r="S84">
        <f>HYPERLINK("https://klasma.github.io/Logging_VILHELMINA/artfynd/A 45782-2022.xlsx", "A 45782-2022")</f>
        <v/>
      </c>
      <c r="T84">
        <f>HYPERLINK("https://klasma.github.io/Logging_VILHELMINA/kartor/A 45782-2022.png", "A 45782-2022")</f>
        <v/>
      </c>
      <c r="V84">
        <f>HYPERLINK("https://klasma.github.io/Logging_VILHELMINA/klagomål/A 45782-2022.docx", "A 45782-2022")</f>
        <v/>
      </c>
      <c r="W84">
        <f>HYPERLINK("https://klasma.github.io/Logging_VILHELMINA/klagomålsmail/A 45782-2022.docx", "A 45782-2022")</f>
        <v/>
      </c>
      <c r="X84">
        <f>HYPERLINK("https://klasma.github.io/Logging_VILHELMINA/tillsyn/A 45782-2022.docx", "A 45782-2022")</f>
        <v/>
      </c>
      <c r="Y84">
        <f>HYPERLINK("https://klasma.github.io/Logging_VILHELMINA/tillsynsmail/A 45782-2022.docx", "A 45782-2022")</f>
        <v/>
      </c>
    </row>
    <row r="85" ht="15" customHeight="1">
      <c r="A85" t="inlineStr">
        <is>
          <t>A 58596-2022</t>
        </is>
      </c>
      <c r="B85" s="1" t="n">
        <v>44902</v>
      </c>
      <c r="C85" s="1" t="n">
        <v>45204</v>
      </c>
      <c r="D85" t="inlineStr">
        <is>
          <t>VÄSTERBOTTENS LÄN</t>
        </is>
      </c>
      <c r="E85" t="inlineStr">
        <is>
          <t>LYCKSELE</t>
        </is>
      </c>
      <c r="F85" t="inlineStr">
        <is>
          <t>Sveaskog</t>
        </is>
      </c>
      <c r="G85" t="n">
        <v>2.9</v>
      </c>
      <c r="H85" t="n">
        <v>1</v>
      </c>
      <c r="I85" t="n">
        <v>7</v>
      </c>
      <c r="J85" t="n">
        <v>6</v>
      </c>
      <c r="K85" t="n">
        <v>0</v>
      </c>
      <c r="L85" t="n">
        <v>0</v>
      </c>
      <c r="M85" t="n">
        <v>0</v>
      </c>
      <c r="N85" t="n">
        <v>0</v>
      </c>
      <c r="O85" t="n">
        <v>6</v>
      </c>
      <c r="P85" t="n">
        <v>0</v>
      </c>
      <c r="Q85" t="n">
        <v>13</v>
      </c>
      <c r="R85" s="2" t="inlineStr">
        <is>
          <t>Garnlav
Kolflarnlav
Lunglav
Skrovellav
Spillkråka
Vaddporing
Bårdlav
Dropptaggsvamp
Kornig nållav
Luddlav
Skinnlav
Stuplav
Vedticka</t>
        </is>
      </c>
      <c r="S85">
        <f>HYPERLINK("https://klasma.github.io/Logging_LYCKSELE/artfynd/A 58596-2022.xlsx", "A 58596-2022")</f>
        <v/>
      </c>
      <c r="T85">
        <f>HYPERLINK("https://klasma.github.io/Logging_LYCKSELE/kartor/A 58596-2022.png", "A 58596-2022")</f>
        <v/>
      </c>
      <c r="V85">
        <f>HYPERLINK("https://klasma.github.io/Logging_LYCKSELE/klagomål/A 58596-2022.docx", "A 58596-2022")</f>
        <v/>
      </c>
      <c r="W85">
        <f>HYPERLINK("https://klasma.github.io/Logging_LYCKSELE/klagomålsmail/A 58596-2022.docx", "A 58596-2022")</f>
        <v/>
      </c>
      <c r="X85">
        <f>HYPERLINK("https://klasma.github.io/Logging_LYCKSELE/tillsyn/A 58596-2022.docx", "A 58596-2022")</f>
        <v/>
      </c>
      <c r="Y85">
        <f>HYPERLINK("https://klasma.github.io/Logging_LYCKSELE/tillsynsmail/A 58596-2022.docx", "A 58596-2022")</f>
        <v/>
      </c>
    </row>
    <row r="86" ht="15" customHeight="1">
      <c r="A86" t="inlineStr">
        <is>
          <t>A 12261-2023</t>
        </is>
      </c>
      <c r="B86" s="1" t="n">
        <v>44995</v>
      </c>
      <c r="C86" s="1" t="n">
        <v>45204</v>
      </c>
      <c r="D86" t="inlineStr">
        <is>
          <t>VÄSTERBOTTENS LÄN</t>
        </is>
      </c>
      <c r="E86" t="inlineStr">
        <is>
          <t>STORUMAN</t>
        </is>
      </c>
      <c r="F86" t="inlineStr">
        <is>
          <t>Allmännings- och besparingsskogar</t>
        </is>
      </c>
      <c r="G86" t="n">
        <v>880</v>
      </c>
      <c r="H86" t="n">
        <v>1</v>
      </c>
      <c r="I86" t="n">
        <v>3</v>
      </c>
      <c r="J86" t="n">
        <v>9</v>
      </c>
      <c r="K86" t="n">
        <v>1</v>
      </c>
      <c r="L86" t="n">
        <v>0</v>
      </c>
      <c r="M86" t="n">
        <v>0</v>
      </c>
      <c r="N86" t="n">
        <v>0</v>
      </c>
      <c r="O86" t="n">
        <v>10</v>
      </c>
      <c r="P86" t="n">
        <v>1</v>
      </c>
      <c r="Q86" t="n">
        <v>13</v>
      </c>
      <c r="R86" s="2" t="inlineStr">
        <is>
          <t>Rynkskinn
Doftskinn
Gammelgransskål
Granticka
Gränsticka
Lunglav
Rosenticka
Rödbrun blekspik
Skrovellav
Tretåig hackspett
Stuplav
Trådticka
Vedticka</t>
        </is>
      </c>
      <c r="S86">
        <f>HYPERLINK("https://klasma.github.io/Logging_STORUMAN/artfynd/A 12261-2023.xlsx", "A 12261-2023")</f>
        <v/>
      </c>
      <c r="T86">
        <f>HYPERLINK("https://klasma.github.io/Logging_STORUMAN/kartor/A 12261-2023.png", "A 12261-2023")</f>
        <v/>
      </c>
      <c r="V86">
        <f>HYPERLINK("https://klasma.github.io/Logging_STORUMAN/klagomål/A 12261-2023.docx", "A 12261-2023")</f>
        <v/>
      </c>
      <c r="W86">
        <f>HYPERLINK("https://klasma.github.io/Logging_STORUMAN/klagomålsmail/A 12261-2023.docx", "A 12261-2023")</f>
        <v/>
      </c>
      <c r="X86">
        <f>HYPERLINK("https://klasma.github.io/Logging_STORUMAN/tillsyn/A 12261-2023.docx", "A 12261-2023")</f>
        <v/>
      </c>
      <c r="Y86">
        <f>HYPERLINK("https://klasma.github.io/Logging_STORUMAN/tillsynsmail/A 12261-2023.docx", "A 12261-2023")</f>
        <v/>
      </c>
    </row>
    <row r="87" ht="15" customHeight="1">
      <c r="A87" t="inlineStr">
        <is>
          <t>A 38412-2018</t>
        </is>
      </c>
      <c r="B87" s="1" t="n">
        <v>43336</v>
      </c>
      <c r="C87" s="1" t="n">
        <v>45204</v>
      </c>
      <c r="D87" t="inlineStr">
        <is>
          <t>VÄSTERBOTTENS LÄN</t>
        </is>
      </c>
      <c r="E87" t="inlineStr">
        <is>
          <t>VILHELMINA</t>
        </is>
      </c>
      <c r="G87" t="n">
        <v>12</v>
      </c>
      <c r="H87" t="n">
        <v>1</v>
      </c>
      <c r="I87" t="n">
        <v>2</v>
      </c>
      <c r="J87" t="n">
        <v>10</v>
      </c>
      <c r="K87" t="n">
        <v>0</v>
      </c>
      <c r="L87" t="n">
        <v>0</v>
      </c>
      <c r="M87" t="n">
        <v>0</v>
      </c>
      <c r="N87" t="n">
        <v>0</v>
      </c>
      <c r="O87" t="n">
        <v>10</v>
      </c>
      <c r="P87" t="n">
        <v>0</v>
      </c>
      <c r="Q87" t="n">
        <v>12</v>
      </c>
      <c r="R87" s="2" t="inlineStr">
        <is>
          <t>Garnlav
Granticka
Gränsticka
Harticka
Knottrig blåslav
Rödbrun blekspik
Skorpgelélav
Skrovellav
Tretåig hackspett
Vitskaftad svartspik
Bårdlav
Stuplav</t>
        </is>
      </c>
      <c r="S87">
        <f>HYPERLINK("https://klasma.github.io/Logging_VILHELMINA/artfynd/A 38412-2018.xlsx", "A 38412-2018")</f>
        <v/>
      </c>
      <c r="T87">
        <f>HYPERLINK("https://klasma.github.io/Logging_VILHELMINA/kartor/A 38412-2018.png", "A 38412-2018")</f>
        <v/>
      </c>
      <c r="V87">
        <f>HYPERLINK("https://klasma.github.io/Logging_VILHELMINA/klagomål/A 38412-2018.docx", "A 38412-2018")</f>
        <v/>
      </c>
      <c r="W87">
        <f>HYPERLINK("https://klasma.github.io/Logging_VILHELMINA/klagomålsmail/A 38412-2018.docx", "A 38412-2018")</f>
        <v/>
      </c>
      <c r="X87">
        <f>HYPERLINK("https://klasma.github.io/Logging_VILHELMINA/tillsyn/A 38412-2018.docx", "A 38412-2018")</f>
        <v/>
      </c>
      <c r="Y87">
        <f>HYPERLINK("https://klasma.github.io/Logging_VILHELMINA/tillsynsmail/A 38412-2018.docx", "A 38412-2018")</f>
        <v/>
      </c>
    </row>
    <row r="88" ht="15" customHeight="1">
      <c r="A88" t="inlineStr">
        <is>
          <t>A 58512-2019</t>
        </is>
      </c>
      <c r="B88" s="1" t="n">
        <v>43773</v>
      </c>
      <c r="C88" s="1" t="n">
        <v>45204</v>
      </c>
      <c r="D88" t="inlineStr">
        <is>
          <t>VÄSTERBOTTENS LÄN</t>
        </is>
      </c>
      <c r="E88" t="inlineStr">
        <is>
          <t>SORSELE</t>
        </is>
      </c>
      <c r="F88" t="inlineStr">
        <is>
          <t>Sveaskog</t>
        </is>
      </c>
      <c r="G88" t="n">
        <v>27.7</v>
      </c>
      <c r="H88" t="n">
        <v>2</v>
      </c>
      <c r="I88" t="n">
        <v>3</v>
      </c>
      <c r="J88" t="n">
        <v>9</v>
      </c>
      <c r="K88" t="n">
        <v>0</v>
      </c>
      <c r="L88" t="n">
        <v>0</v>
      </c>
      <c r="M88" t="n">
        <v>0</v>
      </c>
      <c r="N88" t="n">
        <v>0</v>
      </c>
      <c r="O88" t="n">
        <v>9</v>
      </c>
      <c r="P88" t="n">
        <v>0</v>
      </c>
      <c r="Q88" t="n">
        <v>12</v>
      </c>
      <c r="R88" s="2" t="inlineStr">
        <is>
          <t>Doftskinn
Gammelgransskål
Garnlav
Granticka
Gränsticka
Knottrig blåslav
Rosenticka
Tretåig hackspett
Ullticka
Luddlav
Spindelblomster
Vedticka</t>
        </is>
      </c>
      <c r="S88">
        <f>HYPERLINK("https://klasma.github.io/Logging_SORSELE/artfynd/A 58512-2019.xlsx", "A 58512-2019")</f>
        <v/>
      </c>
      <c r="T88">
        <f>HYPERLINK("https://klasma.github.io/Logging_SORSELE/kartor/A 58512-2019.png", "A 58512-2019")</f>
        <v/>
      </c>
      <c r="V88">
        <f>HYPERLINK("https://klasma.github.io/Logging_SORSELE/klagomål/A 58512-2019.docx", "A 58512-2019")</f>
        <v/>
      </c>
      <c r="W88">
        <f>HYPERLINK("https://klasma.github.io/Logging_SORSELE/klagomålsmail/A 58512-2019.docx", "A 58512-2019")</f>
        <v/>
      </c>
      <c r="X88">
        <f>HYPERLINK("https://klasma.github.io/Logging_SORSELE/tillsyn/A 58512-2019.docx", "A 58512-2019")</f>
        <v/>
      </c>
      <c r="Y88">
        <f>HYPERLINK("https://klasma.github.io/Logging_SORSELE/tillsynsmail/A 58512-2019.docx", "A 58512-2019")</f>
        <v/>
      </c>
    </row>
    <row r="89" ht="15" customHeight="1">
      <c r="A89" t="inlineStr">
        <is>
          <t>A 43878-2020</t>
        </is>
      </c>
      <c r="B89" s="1" t="n">
        <v>44078</v>
      </c>
      <c r="C89" s="1" t="n">
        <v>45204</v>
      </c>
      <c r="D89" t="inlineStr">
        <is>
          <t>VÄSTERBOTTENS LÄN</t>
        </is>
      </c>
      <c r="E89" t="inlineStr">
        <is>
          <t>STORUMAN</t>
        </is>
      </c>
      <c r="F89" t="inlineStr">
        <is>
          <t>Allmännings- och besparingsskogar</t>
        </is>
      </c>
      <c r="G89" t="n">
        <v>139.1</v>
      </c>
      <c r="H89" t="n">
        <v>1</v>
      </c>
      <c r="I89" t="n">
        <v>2</v>
      </c>
      <c r="J89" t="n">
        <v>7</v>
      </c>
      <c r="K89" t="n">
        <v>3</v>
      </c>
      <c r="L89" t="n">
        <v>0</v>
      </c>
      <c r="M89" t="n">
        <v>0</v>
      </c>
      <c r="N89" t="n">
        <v>0</v>
      </c>
      <c r="O89" t="n">
        <v>10</v>
      </c>
      <c r="P89" t="n">
        <v>3</v>
      </c>
      <c r="Q89" t="n">
        <v>12</v>
      </c>
      <c r="R89" s="2" t="inlineStr">
        <is>
          <t>Ostticka
Rynkskinn
Tajgaskinn
Doftskinn
Gränsticka
Kungsörn
Lunglav
Rosenticka
Stjärntagging
Ullticka
Trådticka
Vedticka</t>
        </is>
      </c>
      <c r="S89">
        <f>HYPERLINK("https://klasma.github.io/Logging_STORUMAN/artfynd/A 43878-2020.xlsx", "A 43878-2020")</f>
        <v/>
      </c>
      <c r="T89">
        <f>HYPERLINK("https://klasma.github.io/Logging_STORUMAN/kartor/A 43878-2020.png", "A 43878-2020")</f>
        <v/>
      </c>
      <c r="V89">
        <f>HYPERLINK("https://klasma.github.io/Logging_STORUMAN/klagomål/A 43878-2020.docx", "A 43878-2020")</f>
        <v/>
      </c>
      <c r="W89">
        <f>HYPERLINK("https://klasma.github.io/Logging_STORUMAN/klagomålsmail/A 43878-2020.docx", "A 43878-2020")</f>
        <v/>
      </c>
      <c r="X89">
        <f>HYPERLINK("https://klasma.github.io/Logging_STORUMAN/tillsyn/A 43878-2020.docx", "A 43878-2020")</f>
        <v/>
      </c>
      <c r="Y89">
        <f>HYPERLINK("https://klasma.github.io/Logging_STORUMAN/tillsynsmail/A 43878-2020.docx", "A 43878-2020")</f>
        <v/>
      </c>
    </row>
    <row r="90" ht="15" customHeight="1">
      <c r="A90" t="inlineStr">
        <is>
          <t>A 48034-2020</t>
        </is>
      </c>
      <c r="B90" s="1" t="n">
        <v>44095</v>
      </c>
      <c r="C90" s="1" t="n">
        <v>45204</v>
      </c>
      <c r="D90" t="inlineStr">
        <is>
          <t>VÄSTERBOTTENS LÄN</t>
        </is>
      </c>
      <c r="E90" t="inlineStr">
        <is>
          <t>VILHELMINA</t>
        </is>
      </c>
      <c r="F90" t="inlineStr">
        <is>
          <t>Allmännings- och besparingsskogar</t>
        </is>
      </c>
      <c r="G90" t="n">
        <v>19.9</v>
      </c>
      <c r="H90" t="n">
        <v>1</v>
      </c>
      <c r="I90" t="n">
        <v>1</v>
      </c>
      <c r="J90" t="n">
        <v>9</v>
      </c>
      <c r="K90" t="n">
        <v>2</v>
      </c>
      <c r="L90" t="n">
        <v>0</v>
      </c>
      <c r="M90" t="n">
        <v>0</v>
      </c>
      <c r="N90" t="n">
        <v>0</v>
      </c>
      <c r="O90" t="n">
        <v>11</v>
      </c>
      <c r="P90" t="n">
        <v>2</v>
      </c>
      <c r="Q90" t="n">
        <v>12</v>
      </c>
      <c r="R90" s="2" t="inlineStr">
        <is>
          <t>Lappticka
Ostticka
Garnlav
Granticka
Gränsticka
Harticka
Knottrig blåslav
Rosenticka
Skrovellav
Tretåig hackspett
Ullticka
Stuplav</t>
        </is>
      </c>
      <c r="S90">
        <f>HYPERLINK("https://klasma.github.io/Logging_VILHELMINA/artfynd/A 48034-2020.xlsx", "A 48034-2020")</f>
        <v/>
      </c>
      <c r="T90">
        <f>HYPERLINK("https://klasma.github.io/Logging_VILHELMINA/kartor/A 48034-2020.png", "A 48034-2020")</f>
        <v/>
      </c>
      <c r="V90">
        <f>HYPERLINK("https://klasma.github.io/Logging_VILHELMINA/klagomål/A 48034-2020.docx", "A 48034-2020")</f>
        <v/>
      </c>
      <c r="W90">
        <f>HYPERLINK("https://klasma.github.io/Logging_VILHELMINA/klagomålsmail/A 48034-2020.docx", "A 48034-2020")</f>
        <v/>
      </c>
      <c r="X90">
        <f>HYPERLINK("https://klasma.github.io/Logging_VILHELMINA/tillsyn/A 48034-2020.docx", "A 48034-2020")</f>
        <v/>
      </c>
      <c r="Y90">
        <f>HYPERLINK("https://klasma.github.io/Logging_VILHELMINA/tillsynsmail/A 48034-2020.docx", "A 48034-2020")</f>
        <v/>
      </c>
    </row>
    <row r="91" ht="15" customHeight="1">
      <c r="A91" t="inlineStr">
        <is>
          <t>A 67780-2020</t>
        </is>
      </c>
      <c r="B91" s="1" t="n">
        <v>44182</v>
      </c>
      <c r="C91" s="1" t="n">
        <v>45204</v>
      </c>
      <c r="D91" t="inlineStr">
        <is>
          <t>VÄSTERBOTTENS LÄN</t>
        </is>
      </c>
      <c r="E91" t="inlineStr">
        <is>
          <t>STORUMAN</t>
        </is>
      </c>
      <c r="F91" t="inlineStr">
        <is>
          <t>Sveaskog</t>
        </is>
      </c>
      <c r="G91" t="n">
        <v>10.5</v>
      </c>
      <c r="H91" t="n">
        <v>0</v>
      </c>
      <c r="I91" t="n">
        <v>2</v>
      </c>
      <c r="J91" t="n">
        <v>8</v>
      </c>
      <c r="K91" t="n">
        <v>2</v>
      </c>
      <c r="L91" t="n">
        <v>0</v>
      </c>
      <c r="M91" t="n">
        <v>0</v>
      </c>
      <c r="N91" t="n">
        <v>0</v>
      </c>
      <c r="O91" t="n">
        <v>10</v>
      </c>
      <c r="P91" t="n">
        <v>2</v>
      </c>
      <c r="Q91" t="n">
        <v>12</v>
      </c>
      <c r="R91" s="2" t="inlineStr">
        <is>
          <t>Fläckporing
Gräddporing
Dvärgbägarlav
Gränsticka
Kolflarnlav
Mörk kolflarnlav
Skrovellav
Ullticka
Vaddporing
Vedskivlav
Skinnlav
Vedticka</t>
        </is>
      </c>
      <c r="S91">
        <f>HYPERLINK("https://klasma.github.io/Logging_STORUMAN/artfynd/A 67780-2020.xlsx", "A 67780-2020")</f>
        <v/>
      </c>
      <c r="T91">
        <f>HYPERLINK("https://klasma.github.io/Logging_STORUMAN/kartor/A 67780-2020.png", "A 67780-2020")</f>
        <v/>
      </c>
      <c r="V91">
        <f>HYPERLINK("https://klasma.github.io/Logging_STORUMAN/klagomål/A 67780-2020.docx", "A 67780-2020")</f>
        <v/>
      </c>
      <c r="W91">
        <f>HYPERLINK("https://klasma.github.io/Logging_STORUMAN/klagomålsmail/A 67780-2020.docx", "A 67780-2020")</f>
        <v/>
      </c>
      <c r="X91">
        <f>HYPERLINK("https://klasma.github.io/Logging_STORUMAN/tillsyn/A 67780-2020.docx", "A 67780-2020")</f>
        <v/>
      </c>
      <c r="Y91">
        <f>HYPERLINK("https://klasma.github.io/Logging_STORUMAN/tillsynsmail/A 67780-2020.docx", "A 67780-2020")</f>
        <v/>
      </c>
    </row>
    <row r="92" ht="15" customHeight="1">
      <c r="A92" t="inlineStr">
        <is>
          <t>A 12014-2021</t>
        </is>
      </c>
      <c r="B92" s="1" t="n">
        <v>44266</v>
      </c>
      <c r="C92" s="1" t="n">
        <v>45204</v>
      </c>
      <c r="D92" t="inlineStr">
        <is>
          <t>VÄSTERBOTTENS LÄN</t>
        </is>
      </c>
      <c r="E92" t="inlineStr">
        <is>
          <t>VILHELMINA</t>
        </is>
      </c>
      <c r="G92" t="n">
        <v>14.1</v>
      </c>
      <c r="H92" t="n">
        <v>2</v>
      </c>
      <c r="I92" t="n">
        <v>6</v>
      </c>
      <c r="J92" t="n">
        <v>5</v>
      </c>
      <c r="K92" t="n">
        <v>1</v>
      </c>
      <c r="L92" t="n">
        <v>0</v>
      </c>
      <c r="M92" t="n">
        <v>0</v>
      </c>
      <c r="N92" t="n">
        <v>0</v>
      </c>
      <c r="O92" t="n">
        <v>6</v>
      </c>
      <c r="P92" t="n">
        <v>1</v>
      </c>
      <c r="Q92" t="n">
        <v>12</v>
      </c>
      <c r="R92" s="2" t="inlineStr">
        <is>
          <t>Rödskaftad svartspik
Garnlav
Lunglav
Skrovellav
Talltita
Tretåig hackspett
Bårdlav
Kornig nållav
Luddlav
Mörkhövdad spiklav
Skinnlav
Stuplav</t>
        </is>
      </c>
      <c r="S92">
        <f>HYPERLINK("https://klasma.github.io/Logging_VILHELMINA/artfynd/A 12014-2021.xlsx", "A 12014-2021")</f>
        <v/>
      </c>
      <c r="T92">
        <f>HYPERLINK("https://klasma.github.io/Logging_VILHELMINA/kartor/A 12014-2021.png", "A 12014-2021")</f>
        <v/>
      </c>
      <c r="V92">
        <f>HYPERLINK("https://klasma.github.io/Logging_VILHELMINA/klagomål/A 12014-2021.docx", "A 12014-2021")</f>
        <v/>
      </c>
      <c r="W92">
        <f>HYPERLINK("https://klasma.github.io/Logging_VILHELMINA/klagomålsmail/A 12014-2021.docx", "A 12014-2021")</f>
        <v/>
      </c>
      <c r="X92">
        <f>HYPERLINK("https://klasma.github.io/Logging_VILHELMINA/tillsyn/A 12014-2021.docx", "A 12014-2021")</f>
        <v/>
      </c>
      <c r="Y92">
        <f>HYPERLINK("https://klasma.github.io/Logging_VILHELMINA/tillsynsmail/A 12014-2021.docx", "A 12014-2021")</f>
        <v/>
      </c>
    </row>
    <row r="93" ht="15" customHeight="1">
      <c r="A93" t="inlineStr">
        <is>
          <t>A 12302-2021</t>
        </is>
      </c>
      <c r="B93" s="1" t="n">
        <v>44267</v>
      </c>
      <c r="C93" s="1" t="n">
        <v>45204</v>
      </c>
      <c r="D93" t="inlineStr">
        <is>
          <t>VÄSTERBOTTENS LÄN</t>
        </is>
      </c>
      <c r="E93" t="inlineStr">
        <is>
          <t>VINDELN</t>
        </is>
      </c>
      <c r="F93" t="inlineStr">
        <is>
          <t>Sveaskog</t>
        </is>
      </c>
      <c r="G93" t="n">
        <v>4.7</v>
      </c>
      <c r="H93" t="n">
        <v>1</v>
      </c>
      <c r="I93" t="n">
        <v>1</v>
      </c>
      <c r="J93" t="n">
        <v>10</v>
      </c>
      <c r="K93" t="n">
        <v>1</v>
      </c>
      <c r="L93" t="n">
        <v>0</v>
      </c>
      <c r="M93" t="n">
        <v>0</v>
      </c>
      <c r="N93" t="n">
        <v>0</v>
      </c>
      <c r="O93" t="n">
        <v>11</v>
      </c>
      <c r="P93" t="n">
        <v>1</v>
      </c>
      <c r="Q93" t="n">
        <v>12</v>
      </c>
      <c r="R93" s="2" t="inlineStr">
        <is>
          <t>Tallgråticka
Garnlav
Kilporing
Kolflarnlav
Skrovlig taggsvamp
Tallticka
Tretåig hackspett
Vaddporing
Vedflamlav
Vedskivlav
Vitgrynig nållav
Skinnlav</t>
        </is>
      </c>
      <c r="S93">
        <f>HYPERLINK("https://klasma.github.io/Logging_VINDELN/artfynd/A 12302-2021.xlsx", "A 12302-2021")</f>
        <v/>
      </c>
      <c r="T93">
        <f>HYPERLINK("https://klasma.github.io/Logging_VINDELN/kartor/A 12302-2021.png", "A 12302-2021")</f>
        <v/>
      </c>
      <c r="V93">
        <f>HYPERLINK("https://klasma.github.io/Logging_VINDELN/klagomål/A 12302-2021.docx", "A 12302-2021")</f>
        <v/>
      </c>
      <c r="W93">
        <f>HYPERLINK("https://klasma.github.io/Logging_VINDELN/klagomålsmail/A 12302-2021.docx", "A 12302-2021")</f>
        <v/>
      </c>
      <c r="X93">
        <f>HYPERLINK("https://klasma.github.io/Logging_VINDELN/tillsyn/A 12302-2021.docx", "A 12302-2021")</f>
        <v/>
      </c>
      <c r="Y93">
        <f>HYPERLINK("https://klasma.github.io/Logging_VINDELN/tillsynsmail/A 12302-2021.docx", "A 12302-2021")</f>
        <v/>
      </c>
    </row>
    <row r="94" ht="15" customHeight="1">
      <c r="A94" t="inlineStr">
        <is>
          <t>A 28856-2021</t>
        </is>
      </c>
      <c r="B94" s="1" t="n">
        <v>44357</v>
      </c>
      <c r="C94" s="1" t="n">
        <v>45204</v>
      </c>
      <c r="D94" t="inlineStr">
        <is>
          <t>VÄSTERBOTTENS LÄN</t>
        </is>
      </c>
      <c r="E94" t="inlineStr">
        <is>
          <t>STORUMAN</t>
        </is>
      </c>
      <c r="G94" t="n">
        <v>4.9</v>
      </c>
      <c r="H94" t="n">
        <v>2</v>
      </c>
      <c r="I94" t="n">
        <v>2</v>
      </c>
      <c r="J94" t="n">
        <v>8</v>
      </c>
      <c r="K94" t="n">
        <v>2</v>
      </c>
      <c r="L94" t="n">
        <v>0</v>
      </c>
      <c r="M94" t="n">
        <v>0</v>
      </c>
      <c r="N94" t="n">
        <v>0</v>
      </c>
      <c r="O94" t="n">
        <v>10</v>
      </c>
      <c r="P94" t="n">
        <v>2</v>
      </c>
      <c r="Q94" t="n">
        <v>12</v>
      </c>
      <c r="R94" s="2" t="inlineStr">
        <is>
          <t>Knärot
Lappticka
Garnlav
Granticka
Luddfingersvamp
Lunglav
Rosenticka
Tretåig hackspett
Ullticka
Äggvaxskivling
Svavelriska
Tibast</t>
        </is>
      </c>
      <c r="S94">
        <f>HYPERLINK("https://klasma.github.io/Logging_STORUMAN/artfynd/A 28856-2021.xlsx", "A 28856-2021")</f>
        <v/>
      </c>
      <c r="T94">
        <f>HYPERLINK("https://klasma.github.io/Logging_STORUMAN/kartor/A 28856-2021.png", "A 28856-2021")</f>
        <v/>
      </c>
      <c r="U94">
        <f>HYPERLINK("https://klasma.github.io/Logging_STORUMAN/knärot/A 28856-2021.png", "A 28856-2021")</f>
        <v/>
      </c>
      <c r="V94">
        <f>HYPERLINK("https://klasma.github.io/Logging_STORUMAN/klagomål/A 28856-2021.docx", "A 28856-2021")</f>
        <v/>
      </c>
      <c r="W94">
        <f>HYPERLINK("https://klasma.github.io/Logging_STORUMAN/klagomålsmail/A 28856-2021.docx", "A 28856-2021")</f>
        <v/>
      </c>
      <c r="X94">
        <f>HYPERLINK("https://klasma.github.io/Logging_STORUMAN/tillsyn/A 28856-2021.docx", "A 28856-2021")</f>
        <v/>
      </c>
      <c r="Y94">
        <f>HYPERLINK("https://klasma.github.io/Logging_STORUMAN/tillsynsmail/A 28856-2021.docx", "A 28856-2021")</f>
        <v/>
      </c>
    </row>
    <row r="95" ht="15" customHeight="1">
      <c r="A95" t="inlineStr">
        <is>
          <t>A 45743-2022</t>
        </is>
      </c>
      <c r="B95" s="1" t="n">
        <v>44838</v>
      </c>
      <c r="C95" s="1" t="n">
        <v>45204</v>
      </c>
      <c r="D95" t="inlineStr">
        <is>
          <t>VÄSTERBOTTENS LÄN</t>
        </is>
      </c>
      <c r="E95" t="inlineStr">
        <is>
          <t>VILHELMINA</t>
        </is>
      </c>
      <c r="F95" t="inlineStr">
        <is>
          <t>Allmännings- och besparingsskogar</t>
        </is>
      </c>
      <c r="G95" t="n">
        <v>6.9</v>
      </c>
      <c r="H95" t="n">
        <v>1</v>
      </c>
      <c r="I95" t="n">
        <v>3</v>
      </c>
      <c r="J95" t="n">
        <v>9</v>
      </c>
      <c r="K95" t="n">
        <v>0</v>
      </c>
      <c r="L95" t="n">
        <v>0</v>
      </c>
      <c r="M95" t="n">
        <v>0</v>
      </c>
      <c r="N95" t="n">
        <v>0</v>
      </c>
      <c r="O95" t="n">
        <v>9</v>
      </c>
      <c r="P95" t="n">
        <v>0</v>
      </c>
      <c r="Q95" t="n">
        <v>12</v>
      </c>
      <c r="R95" s="2" t="inlineStr">
        <is>
          <t>Brunpudrad nållav
Garnlav
Gränsticka
Harticka
Lunglav
Rödbrun blekspik
Skrovellav
Tretåig hackspett
Vitgrynig nållav
Gytterlav
Luddlav
Stuplav</t>
        </is>
      </c>
      <c r="S95">
        <f>HYPERLINK("https://klasma.github.io/Logging_VILHELMINA/artfynd/A 45743-2022.xlsx", "A 45743-2022")</f>
        <v/>
      </c>
      <c r="T95">
        <f>HYPERLINK("https://klasma.github.io/Logging_VILHELMINA/kartor/A 45743-2022.png", "A 45743-2022")</f>
        <v/>
      </c>
      <c r="V95">
        <f>HYPERLINK("https://klasma.github.io/Logging_VILHELMINA/klagomål/A 45743-2022.docx", "A 45743-2022")</f>
        <v/>
      </c>
      <c r="W95">
        <f>HYPERLINK("https://klasma.github.io/Logging_VILHELMINA/klagomålsmail/A 45743-2022.docx", "A 45743-2022")</f>
        <v/>
      </c>
      <c r="X95">
        <f>HYPERLINK("https://klasma.github.io/Logging_VILHELMINA/tillsyn/A 45743-2022.docx", "A 45743-2022")</f>
        <v/>
      </c>
      <c r="Y95">
        <f>HYPERLINK("https://klasma.github.io/Logging_VILHELMINA/tillsynsmail/A 45743-2022.docx", "A 45743-2022")</f>
        <v/>
      </c>
    </row>
    <row r="96" ht="15" customHeight="1">
      <c r="A96" t="inlineStr">
        <is>
          <t>A 54057-2022</t>
        </is>
      </c>
      <c r="B96" s="1" t="n">
        <v>44881</v>
      </c>
      <c r="C96" s="1" t="n">
        <v>45204</v>
      </c>
      <c r="D96" t="inlineStr">
        <is>
          <t>VÄSTERBOTTENS LÄN</t>
        </is>
      </c>
      <c r="E96" t="inlineStr">
        <is>
          <t>NORDMALING</t>
        </is>
      </c>
      <c r="G96" t="n">
        <v>9.699999999999999</v>
      </c>
      <c r="H96" t="n">
        <v>3</v>
      </c>
      <c r="I96" t="n">
        <v>2</v>
      </c>
      <c r="J96" t="n">
        <v>10</v>
      </c>
      <c r="K96" t="n">
        <v>0</v>
      </c>
      <c r="L96" t="n">
        <v>0</v>
      </c>
      <c r="M96" t="n">
        <v>0</v>
      </c>
      <c r="N96" t="n">
        <v>0</v>
      </c>
      <c r="O96" t="n">
        <v>10</v>
      </c>
      <c r="P96" t="n">
        <v>0</v>
      </c>
      <c r="Q96" t="n">
        <v>12</v>
      </c>
      <c r="R96" s="2" t="inlineStr">
        <is>
          <t>Doftskinn
Garnlav
Granticka
Gränsticka
Havsörn
Spillkråka
Stjärntagging
Tallticka
Tretåig hackspett
Ullticka
Bronshjon
Vedticka</t>
        </is>
      </c>
      <c r="S96">
        <f>HYPERLINK("https://klasma.github.io/Logging_NORDMALING/artfynd/A 54057-2022.xlsx", "A 54057-2022")</f>
        <v/>
      </c>
      <c r="T96">
        <f>HYPERLINK("https://klasma.github.io/Logging_NORDMALING/kartor/A 54057-2022.png", "A 54057-2022")</f>
        <v/>
      </c>
      <c r="V96">
        <f>HYPERLINK("https://klasma.github.io/Logging_NORDMALING/klagomål/A 54057-2022.docx", "A 54057-2022")</f>
        <v/>
      </c>
      <c r="W96">
        <f>HYPERLINK("https://klasma.github.io/Logging_NORDMALING/klagomålsmail/A 54057-2022.docx", "A 54057-2022")</f>
        <v/>
      </c>
      <c r="X96">
        <f>HYPERLINK("https://klasma.github.io/Logging_NORDMALING/tillsyn/A 54057-2022.docx", "A 54057-2022")</f>
        <v/>
      </c>
      <c r="Y96">
        <f>HYPERLINK("https://klasma.github.io/Logging_NORDMALING/tillsynsmail/A 54057-2022.docx", "A 54057-2022")</f>
        <v/>
      </c>
    </row>
    <row r="97" ht="15" customHeight="1">
      <c r="A97" t="inlineStr">
        <is>
          <t>A 10649-2023</t>
        </is>
      </c>
      <c r="B97" s="1" t="n">
        <v>44984</v>
      </c>
      <c r="C97" s="1" t="n">
        <v>45204</v>
      </c>
      <c r="D97" t="inlineStr">
        <is>
          <t>VÄSTERBOTTENS LÄN</t>
        </is>
      </c>
      <c r="E97" t="inlineStr">
        <is>
          <t>ROBERTSFORS</t>
        </is>
      </c>
      <c r="G97" t="n">
        <v>24.9</v>
      </c>
      <c r="H97" t="n">
        <v>1</v>
      </c>
      <c r="I97" t="n">
        <v>4</v>
      </c>
      <c r="J97" t="n">
        <v>7</v>
      </c>
      <c r="K97" t="n">
        <v>1</v>
      </c>
      <c r="L97" t="n">
        <v>0</v>
      </c>
      <c r="M97" t="n">
        <v>0</v>
      </c>
      <c r="N97" t="n">
        <v>0</v>
      </c>
      <c r="O97" t="n">
        <v>8</v>
      </c>
      <c r="P97" t="n">
        <v>1</v>
      </c>
      <c r="Q97" t="n">
        <v>12</v>
      </c>
      <c r="R97" s="2" t="inlineStr">
        <is>
          <t>Sprickporing
Garnlav
Granticka
Gränsticka
Harticka
Stjärntagging
Tretåig hackspett
Ullticka
Blodticka
Mörk husmossa
Vedticka
Vågbandad barkbock</t>
        </is>
      </c>
      <c r="S97">
        <f>HYPERLINK("https://klasma.github.io/Logging_ROBERTSFORS/artfynd/A 10649-2023.xlsx", "A 10649-2023")</f>
        <v/>
      </c>
      <c r="T97">
        <f>HYPERLINK("https://klasma.github.io/Logging_ROBERTSFORS/kartor/A 10649-2023.png", "A 10649-2023")</f>
        <v/>
      </c>
      <c r="V97">
        <f>HYPERLINK("https://klasma.github.io/Logging_ROBERTSFORS/klagomål/A 10649-2023.docx", "A 10649-2023")</f>
        <v/>
      </c>
      <c r="W97">
        <f>HYPERLINK("https://klasma.github.io/Logging_ROBERTSFORS/klagomålsmail/A 10649-2023.docx", "A 10649-2023")</f>
        <v/>
      </c>
      <c r="X97">
        <f>HYPERLINK("https://klasma.github.io/Logging_ROBERTSFORS/tillsyn/A 10649-2023.docx", "A 10649-2023")</f>
        <v/>
      </c>
      <c r="Y97">
        <f>HYPERLINK("https://klasma.github.io/Logging_ROBERTSFORS/tillsynsmail/A 10649-2023.docx", "A 10649-2023")</f>
        <v/>
      </c>
    </row>
    <row r="98" ht="15" customHeight="1">
      <c r="A98" t="inlineStr">
        <is>
          <t>A 21627-2023</t>
        </is>
      </c>
      <c r="B98" s="1" t="n">
        <v>45062</v>
      </c>
      <c r="C98" s="1" t="n">
        <v>45204</v>
      </c>
      <c r="D98" t="inlineStr">
        <is>
          <t>VÄSTERBOTTENS LÄN</t>
        </is>
      </c>
      <c r="E98" t="inlineStr">
        <is>
          <t>BJURHOLM</t>
        </is>
      </c>
      <c r="G98" t="n">
        <v>13.8</v>
      </c>
      <c r="H98" t="n">
        <v>1</v>
      </c>
      <c r="I98" t="n">
        <v>5</v>
      </c>
      <c r="J98" t="n">
        <v>5</v>
      </c>
      <c r="K98" t="n">
        <v>2</v>
      </c>
      <c r="L98" t="n">
        <v>0</v>
      </c>
      <c r="M98" t="n">
        <v>0</v>
      </c>
      <c r="N98" t="n">
        <v>0</v>
      </c>
      <c r="O98" t="n">
        <v>7</v>
      </c>
      <c r="P98" t="n">
        <v>2</v>
      </c>
      <c r="Q98" t="n">
        <v>12</v>
      </c>
      <c r="R98" s="2" t="inlineStr">
        <is>
          <t>Knärot
Rynkskinn
Garnlav
Granticka
Lunglav
Ullticka
Vitgrynig nållav
Bårdlav
Luddlav
Skinnlav
Stor aspticka
Stuplav</t>
        </is>
      </c>
      <c r="S98">
        <f>HYPERLINK("https://klasma.github.io/Logging_BJURHOLM/artfynd/A 21627-2023.xlsx", "A 21627-2023")</f>
        <v/>
      </c>
      <c r="T98">
        <f>HYPERLINK("https://klasma.github.io/Logging_BJURHOLM/kartor/A 21627-2023.png", "A 21627-2023")</f>
        <v/>
      </c>
      <c r="U98">
        <f>HYPERLINK("https://klasma.github.io/Logging_BJURHOLM/knärot/A 21627-2023.png", "A 21627-2023")</f>
        <v/>
      </c>
      <c r="V98">
        <f>HYPERLINK("https://klasma.github.io/Logging_BJURHOLM/klagomål/A 21627-2023.docx", "A 21627-2023")</f>
        <v/>
      </c>
      <c r="W98">
        <f>HYPERLINK("https://klasma.github.io/Logging_BJURHOLM/klagomålsmail/A 21627-2023.docx", "A 21627-2023")</f>
        <v/>
      </c>
      <c r="X98">
        <f>HYPERLINK("https://klasma.github.io/Logging_BJURHOLM/tillsyn/A 21627-2023.docx", "A 21627-2023")</f>
        <v/>
      </c>
      <c r="Y98">
        <f>HYPERLINK("https://klasma.github.io/Logging_BJURHOLM/tillsynsmail/A 21627-2023.docx", "A 21627-2023")</f>
        <v/>
      </c>
    </row>
    <row r="99" ht="15" customHeight="1">
      <c r="A99" t="inlineStr">
        <is>
          <t>A 31282-2023</t>
        </is>
      </c>
      <c r="B99" s="1" t="n">
        <v>45114</v>
      </c>
      <c r="C99" s="1" t="n">
        <v>45204</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HYPERLINK("https://klasma.github.io/Logging_ASELE/artfynd/A 31282-2023.xlsx", "A 31282-2023")</f>
        <v/>
      </c>
      <c r="T99">
        <f>HYPERLINK("https://klasma.github.io/Logging_ASELE/kartor/A 31282-2023.png", "A 31282-2023")</f>
        <v/>
      </c>
      <c r="V99">
        <f>HYPERLINK("https://klasma.github.io/Logging_ASELE/klagomål/A 31282-2023.docx", "A 31282-2023")</f>
        <v/>
      </c>
      <c r="W99">
        <f>HYPERLINK("https://klasma.github.io/Logging_ASELE/klagomålsmail/A 31282-2023.docx", "A 31282-2023")</f>
        <v/>
      </c>
      <c r="X99">
        <f>HYPERLINK("https://klasma.github.io/Logging_ASELE/tillsyn/A 31282-2023.docx", "A 31282-2023")</f>
        <v/>
      </c>
      <c r="Y99">
        <f>HYPERLINK("https://klasma.github.io/Logging_ASELE/tillsynsmail/A 31282-2023.docx", "A 31282-2023")</f>
        <v/>
      </c>
    </row>
    <row r="100" ht="15" customHeight="1">
      <c r="A100" t="inlineStr">
        <is>
          <t>A 33664-2023</t>
        </is>
      </c>
      <c r="B100" s="1" t="n">
        <v>45119</v>
      </c>
      <c r="C100" s="1" t="n">
        <v>45204</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HYPERLINK("https://klasma.github.io/Logging_VILHELMINA/artfynd/A 33664-2023.xlsx", "A 33664-2023")</f>
        <v/>
      </c>
      <c r="T100">
        <f>HYPERLINK("https://klasma.github.io/Logging_VILHELMINA/kartor/A 33664-2023.png", "A 33664-2023")</f>
        <v/>
      </c>
      <c r="V100">
        <f>HYPERLINK("https://klasma.github.io/Logging_VILHELMINA/klagomål/A 33664-2023.docx", "A 33664-2023")</f>
        <v/>
      </c>
      <c r="W100">
        <f>HYPERLINK("https://klasma.github.io/Logging_VILHELMINA/klagomålsmail/A 33664-2023.docx", "A 33664-2023")</f>
        <v/>
      </c>
      <c r="X100">
        <f>HYPERLINK("https://klasma.github.io/Logging_VILHELMINA/tillsyn/A 33664-2023.docx", "A 33664-2023")</f>
        <v/>
      </c>
      <c r="Y100">
        <f>HYPERLINK("https://klasma.github.io/Logging_VILHELMINA/tillsynsmail/A 33664-2023.docx", "A 33664-2023")</f>
        <v/>
      </c>
    </row>
    <row r="101" ht="15" customHeight="1">
      <c r="A101" t="inlineStr">
        <is>
          <t>A 39514-2023</t>
        </is>
      </c>
      <c r="B101" s="1" t="n">
        <v>45167</v>
      </c>
      <c r="C101" s="1" t="n">
        <v>45204</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HYPERLINK("https://klasma.github.io/Logging_ROBERTSFORS/artfynd/A 39514-2023.xlsx", "A 39514-2023")</f>
        <v/>
      </c>
      <c r="T101">
        <f>HYPERLINK("https://klasma.github.io/Logging_ROBERTSFORS/kartor/A 39514-2023.png", "A 39514-2023")</f>
        <v/>
      </c>
      <c r="V101">
        <f>HYPERLINK("https://klasma.github.io/Logging_ROBERTSFORS/klagomål/A 39514-2023.docx", "A 39514-2023")</f>
        <v/>
      </c>
      <c r="W101">
        <f>HYPERLINK("https://klasma.github.io/Logging_ROBERTSFORS/klagomålsmail/A 39514-2023.docx", "A 39514-2023")</f>
        <v/>
      </c>
      <c r="X101">
        <f>HYPERLINK("https://klasma.github.io/Logging_ROBERTSFORS/tillsyn/A 39514-2023.docx", "A 39514-2023")</f>
        <v/>
      </c>
      <c r="Y101">
        <f>HYPERLINK("https://klasma.github.io/Logging_ROBERTSFORS/tillsynsmail/A 39514-2023.docx", "A 39514-2023")</f>
        <v/>
      </c>
    </row>
    <row r="102" ht="15" customHeight="1">
      <c r="A102" t="inlineStr">
        <is>
          <t>A 34664-2019</t>
        </is>
      </c>
      <c r="B102" s="1" t="n">
        <v>43648</v>
      </c>
      <c r="C102" s="1" t="n">
        <v>45204</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HYPERLINK("https://klasma.github.io/Logging_SKELLEFTEA/artfynd/A 34664-2019.xlsx", "A 34664-2019")</f>
        <v/>
      </c>
      <c r="T102">
        <f>HYPERLINK("https://klasma.github.io/Logging_SKELLEFTEA/kartor/A 34664-2019.png", "A 34664-2019")</f>
        <v/>
      </c>
      <c r="V102">
        <f>HYPERLINK("https://klasma.github.io/Logging_SKELLEFTEA/klagomål/A 34664-2019.docx", "A 34664-2019")</f>
        <v/>
      </c>
      <c r="W102">
        <f>HYPERLINK("https://klasma.github.io/Logging_SKELLEFTEA/klagomålsmail/A 34664-2019.docx", "A 34664-2019")</f>
        <v/>
      </c>
      <c r="X102">
        <f>HYPERLINK("https://klasma.github.io/Logging_SKELLEFTEA/tillsyn/A 34664-2019.docx", "A 34664-2019")</f>
        <v/>
      </c>
      <c r="Y102">
        <f>HYPERLINK("https://klasma.github.io/Logging_SKELLEFTEA/tillsynsmail/A 34664-2019.docx", "A 34664-2019")</f>
        <v/>
      </c>
    </row>
    <row r="103" ht="15" customHeight="1">
      <c r="A103" t="inlineStr">
        <is>
          <t>A 34946-2019</t>
        </is>
      </c>
      <c r="B103" s="1" t="n">
        <v>43658</v>
      </c>
      <c r="C103" s="1" t="n">
        <v>45204</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HYPERLINK("https://klasma.github.io/Logging_NORSJO/artfynd/A 34946-2019.xlsx", "A 34946-2019")</f>
        <v/>
      </c>
      <c r="T103">
        <f>HYPERLINK("https://klasma.github.io/Logging_NORSJO/kartor/A 34946-2019.png", "A 34946-2019")</f>
        <v/>
      </c>
      <c r="U103">
        <f>HYPERLINK("https://klasma.github.io/Logging_NORSJO/knärot/A 34946-2019.png", "A 34946-2019")</f>
        <v/>
      </c>
      <c r="V103">
        <f>HYPERLINK("https://klasma.github.io/Logging_NORSJO/klagomål/A 34946-2019.docx", "A 34946-2019")</f>
        <v/>
      </c>
      <c r="W103">
        <f>HYPERLINK("https://klasma.github.io/Logging_NORSJO/klagomålsmail/A 34946-2019.docx", "A 34946-2019")</f>
        <v/>
      </c>
      <c r="X103">
        <f>HYPERLINK("https://klasma.github.io/Logging_NORSJO/tillsyn/A 34946-2019.docx", "A 34946-2019")</f>
        <v/>
      </c>
      <c r="Y103">
        <f>HYPERLINK("https://klasma.github.io/Logging_NORSJO/tillsynsmail/A 34946-2019.docx", "A 34946-2019")</f>
        <v/>
      </c>
    </row>
    <row r="104" ht="15" customHeight="1">
      <c r="A104" t="inlineStr">
        <is>
          <t>A 60592-2019</t>
        </is>
      </c>
      <c r="B104" s="1" t="n">
        <v>43781</v>
      </c>
      <c r="C104" s="1" t="n">
        <v>45204</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HYPERLINK("https://klasma.github.io/Logging_VILHELMINA/artfynd/A 60592-2019.xlsx", "A 60592-2019")</f>
        <v/>
      </c>
      <c r="T104">
        <f>HYPERLINK("https://klasma.github.io/Logging_VILHELMINA/kartor/A 60592-2019.png", "A 60592-2019")</f>
        <v/>
      </c>
      <c r="V104">
        <f>HYPERLINK("https://klasma.github.io/Logging_VILHELMINA/klagomål/A 60592-2019.docx", "A 60592-2019")</f>
        <v/>
      </c>
      <c r="W104">
        <f>HYPERLINK("https://klasma.github.io/Logging_VILHELMINA/klagomålsmail/A 60592-2019.docx", "A 60592-2019")</f>
        <v/>
      </c>
      <c r="X104">
        <f>HYPERLINK("https://klasma.github.io/Logging_VILHELMINA/tillsyn/A 60592-2019.docx", "A 60592-2019")</f>
        <v/>
      </c>
      <c r="Y104">
        <f>HYPERLINK("https://klasma.github.io/Logging_VILHELMINA/tillsynsmail/A 60592-2019.docx", "A 60592-2019")</f>
        <v/>
      </c>
    </row>
    <row r="105" ht="15" customHeight="1">
      <c r="A105" t="inlineStr">
        <is>
          <t>A 43976-2020</t>
        </is>
      </c>
      <c r="B105" s="1" t="n">
        <v>44078</v>
      </c>
      <c r="C105" s="1" t="n">
        <v>45204</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HYPERLINK("https://klasma.github.io/Logging_SORSELE/artfynd/A 43976-2020.xlsx", "A 43976-2020")</f>
        <v/>
      </c>
      <c r="T105">
        <f>HYPERLINK("https://klasma.github.io/Logging_SORSELE/kartor/A 43976-2020.png", "A 43976-2020")</f>
        <v/>
      </c>
      <c r="V105">
        <f>HYPERLINK("https://klasma.github.io/Logging_SORSELE/klagomål/A 43976-2020.docx", "A 43976-2020")</f>
        <v/>
      </c>
      <c r="W105">
        <f>HYPERLINK("https://klasma.github.io/Logging_SORSELE/klagomålsmail/A 43976-2020.docx", "A 43976-2020")</f>
        <v/>
      </c>
      <c r="X105">
        <f>HYPERLINK("https://klasma.github.io/Logging_SORSELE/tillsyn/A 43976-2020.docx", "A 43976-2020")</f>
        <v/>
      </c>
      <c r="Y105">
        <f>HYPERLINK("https://klasma.github.io/Logging_SORSELE/tillsynsmail/A 43976-2020.docx", "A 43976-2020")</f>
        <v/>
      </c>
    </row>
    <row r="106" ht="15" customHeight="1">
      <c r="A106" t="inlineStr">
        <is>
          <t>A 43938-2020</t>
        </is>
      </c>
      <c r="B106" s="1" t="n">
        <v>44078</v>
      </c>
      <c r="C106" s="1" t="n">
        <v>45204</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HYPERLINK("https://klasma.github.io/Logging_STORUMAN/artfynd/A 43938-2020.xlsx", "A 43938-2020")</f>
        <v/>
      </c>
      <c r="T106">
        <f>HYPERLINK("https://klasma.github.io/Logging_STORUMAN/kartor/A 43938-2020.png", "A 43938-2020")</f>
        <v/>
      </c>
      <c r="V106">
        <f>HYPERLINK("https://klasma.github.io/Logging_STORUMAN/klagomål/A 43938-2020.docx", "A 43938-2020")</f>
        <v/>
      </c>
      <c r="W106">
        <f>HYPERLINK("https://klasma.github.io/Logging_STORUMAN/klagomålsmail/A 43938-2020.docx", "A 43938-2020")</f>
        <v/>
      </c>
      <c r="X106">
        <f>HYPERLINK("https://klasma.github.io/Logging_STORUMAN/tillsyn/A 43938-2020.docx", "A 43938-2020")</f>
        <v/>
      </c>
      <c r="Y106">
        <f>HYPERLINK("https://klasma.github.io/Logging_STORUMAN/tillsynsmail/A 43938-2020.docx", "A 43938-2020")</f>
        <v/>
      </c>
    </row>
    <row r="107" ht="15" customHeight="1">
      <c r="A107" t="inlineStr">
        <is>
          <t>A 43939-2020</t>
        </is>
      </c>
      <c r="B107" s="1" t="n">
        <v>44081</v>
      </c>
      <c r="C107" s="1" t="n">
        <v>45204</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HYPERLINK("https://klasma.github.io/Logging_STORUMAN/artfynd/A 43939-2020.xlsx", "A 43939-2020")</f>
        <v/>
      </c>
      <c r="T107">
        <f>HYPERLINK("https://klasma.github.io/Logging_STORUMAN/kartor/A 43939-2020.png", "A 43939-2020")</f>
        <v/>
      </c>
      <c r="V107">
        <f>HYPERLINK("https://klasma.github.io/Logging_STORUMAN/klagomål/A 43939-2020.docx", "A 43939-2020")</f>
        <v/>
      </c>
      <c r="W107">
        <f>HYPERLINK("https://klasma.github.io/Logging_STORUMAN/klagomålsmail/A 43939-2020.docx", "A 43939-2020")</f>
        <v/>
      </c>
      <c r="X107">
        <f>HYPERLINK("https://klasma.github.io/Logging_STORUMAN/tillsyn/A 43939-2020.docx", "A 43939-2020")</f>
        <v/>
      </c>
      <c r="Y107">
        <f>HYPERLINK("https://klasma.github.io/Logging_STORUMAN/tillsynsmail/A 43939-2020.docx", "A 43939-2020")</f>
        <v/>
      </c>
    </row>
    <row r="108" ht="15" customHeight="1">
      <c r="A108" t="inlineStr">
        <is>
          <t>A 67029-2020</t>
        </is>
      </c>
      <c r="B108" s="1" t="n">
        <v>44180</v>
      </c>
      <c r="C108" s="1" t="n">
        <v>45204</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HYPERLINK("https://klasma.github.io/Logging_BJURHOLM/artfynd/A 67029-2020.xlsx", "A 67029-2020")</f>
        <v/>
      </c>
      <c r="T108">
        <f>HYPERLINK("https://klasma.github.io/Logging_BJURHOLM/kartor/A 67029-2020.png", "A 67029-2020")</f>
        <v/>
      </c>
      <c r="V108">
        <f>HYPERLINK("https://klasma.github.io/Logging_BJURHOLM/klagomål/A 67029-2020.docx", "A 67029-2020")</f>
        <v/>
      </c>
      <c r="W108">
        <f>HYPERLINK("https://klasma.github.io/Logging_BJURHOLM/klagomålsmail/A 67029-2020.docx", "A 67029-2020")</f>
        <v/>
      </c>
      <c r="X108">
        <f>HYPERLINK("https://klasma.github.io/Logging_BJURHOLM/tillsyn/A 67029-2020.docx", "A 67029-2020")</f>
        <v/>
      </c>
      <c r="Y108">
        <f>HYPERLINK("https://klasma.github.io/Logging_BJURHOLM/tillsynsmail/A 67029-2020.docx", "A 67029-2020")</f>
        <v/>
      </c>
    </row>
    <row r="109" ht="15" customHeight="1">
      <c r="A109" t="inlineStr">
        <is>
          <t>A 29360-2021</t>
        </is>
      </c>
      <c r="B109" s="1" t="n">
        <v>44361</v>
      </c>
      <c r="C109" s="1" t="n">
        <v>45204</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HYPERLINK("https://klasma.github.io/Logging_VILHELMINA/artfynd/A 29360-2021.xlsx", "A 29360-2021")</f>
        <v/>
      </c>
      <c r="T109">
        <f>HYPERLINK("https://klasma.github.io/Logging_VILHELMINA/kartor/A 29360-2021.png", "A 29360-2021")</f>
        <v/>
      </c>
      <c r="V109">
        <f>HYPERLINK("https://klasma.github.io/Logging_VILHELMINA/klagomål/A 29360-2021.docx", "A 29360-2021")</f>
        <v/>
      </c>
      <c r="W109">
        <f>HYPERLINK("https://klasma.github.io/Logging_VILHELMINA/klagomålsmail/A 29360-2021.docx", "A 29360-2021")</f>
        <v/>
      </c>
      <c r="X109">
        <f>HYPERLINK("https://klasma.github.io/Logging_VILHELMINA/tillsyn/A 29360-2021.docx", "A 29360-2021")</f>
        <v/>
      </c>
      <c r="Y109">
        <f>HYPERLINK("https://klasma.github.io/Logging_VILHELMINA/tillsynsmail/A 29360-2021.docx", "A 29360-2021")</f>
        <v/>
      </c>
    </row>
    <row r="110" ht="15" customHeight="1">
      <c r="A110" t="inlineStr">
        <is>
          <t>A 31945-2021</t>
        </is>
      </c>
      <c r="B110" s="1" t="n">
        <v>44370</v>
      </c>
      <c r="C110" s="1" t="n">
        <v>45204</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HYPERLINK("https://klasma.github.io/Logging_SORSELE/artfynd/A 31945-2021.xlsx", "A 31945-2021")</f>
        <v/>
      </c>
      <c r="T110">
        <f>HYPERLINK("https://klasma.github.io/Logging_SORSELE/kartor/A 31945-2021.png", "A 31945-2021")</f>
        <v/>
      </c>
      <c r="V110">
        <f>HYPERLINK("https://klasma.github.io/Logging_SORSELE/klagomål/A 31945-2021.docx", "A 31945-2021")</f>
        <v/>
      </c>
      <c r="W110">
        <f>HYPERLINK("https://klasma.github.io/Logging_SORSELE/klagomålsmail/A 31945-2021.docx", "A 31945-2021")</f>
        <v/>
      </c>
      <c r="X110">
        <f>HYPERLINK("https://klasma.github.io/Logging_SORSELE/tillsyn/A 31945-2021.docx", "A 31945-2021")</f>
        <v/>
      </c>
      <c r="Y110">
        <f>HYPERLINK("https://klasma.github.io/Logging_SORSELE/tillsynsmail/A 31945-2021.docx", "A 31945-2021")</f>
        <v/>
      </c>
    </row>
    <row r="111" ht="15" customHeight="1">
      <c r="A111" t="inlineStr">
        <is>
          <t>A 65389-2021</t>
        </is>
      </c>
      <c r="B111" s="1" t="n">
        <v>44515</v>
      </c>
      <c r="C111" s="1" t="n">
        <v>45204</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HYPERLINK("https://klasma.github.io/Logging_VINDELN/artfynd/A 65389-2021.xlsx", "A 65389-2021")</f>
        <v/>
      </c>
      <c r="T111">
        <f>HYPERLINK("https://klasma.github.io/Logging_VINDELN/kartor/A 65389-2021.png", "A 65389-2021")</f>
        <v/>
      </c>
      <c r="V111">
        <f>HYPERLINK("https://klasma.github.io/Logging_VINDELN/klagomål/A 65389-2021.docx", "A 65389-2021")</f>
        <v/>
      </c>
      <c r="W111">
        <f>HYPERLINK("https://klasma.github.io/Logging_VINDELN/klagomålsmail/A 65389-2021.docx", "A 65389-2021")</f>
        <v/>
      </c>
      <c r="X111">
        <f>HYPERLINK("https://klasma.github.io/Logging_VINDELN/tillsyn/A 65389-2021.docx", "A 65389-2021")</f>
        <v/>
      </c>
      <c r="Y111">
        <f>HYPERLINK("https://klasma.github.io/Logging_VINDELN/tillsynsmail/A 65389-2021.docx", "A 65389-2021")</f>
        <v/>
      </c>
    </row>
    <row r="112" ht="15" customHeight="1">
      <c r="A112" t="inlineStr">
        <is>
          <t>A 10371-2023</t>
        </is>
      </c>
      <c r="B112" s="1" t="n">
        <v>44980</v>
      </c>
      <c r="C112" s="1" t="n">
        <v>45204</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HYPERLINK("https://klasma.github.io/Logging_UMEA/artfynd/A 10371-2023.xlsx", "A 10371-2023")</f>
        <v/>
      </c>
      <c r="T112">
        <f>HYPERLINK("https://klasma.github.io/Logging_UMEA/kartor/A 10371-2023.png", "A 10371-2023")</f>
        <v/>
      </c>
      <c r="V112">
        <f>HYPERLINK("https://klasma.github.io/Logging_UMEA/klagomål/A 10371-2023.docx", "A 10371-2023")</f>
        <v/>
      </c>
      <c r="W112">
        <f>HYPERLINK("https://klasma.github.io/Logging_UMEA/klagomålsmail/A 10371-2023.docx", "A 10371-2023")</f>
        <v/>
      </c>
      <c r="X112">
        <f>HYPERLINK("https://klasma.github.io/Logging_UMEA/tillsyn/A 10371-2023.docx", "A 10371-2023")</f>
        <v/>
      </c>
      <c r="Y112">
        <f>HYPERLINK("https://klasma.github.io/Logging_UMEA/tillsynsmail/A 10371-2023.docx", "A 10371-2023")</f>
        <v/>
      </c>
    </row>
    <row r="113" ht="15" customHeight="1">
      <c r="A113" t="inlineStr">
        <is>
          <t>A 47447-2018</t>
        </is>
      </c>
      <c r="B113" s="1" t="n">
        <v>43369</v>
      </c>
      <c r="C113" s="1" t="n">
        <v>45204</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HYPERLINK("https://klasma.github.io/Logging_DOROTEA/artfynd/A 47447-2018.xlsx", "A 47447-2018")</f>
        <v/>
      </c>
      <c r="T113">
        <f>HYPERLINK("https://klasma.github.io/Logging_DOROTEA/kartor/A 47447-2018.png", "A 47447-2018")</f>
        <v/>
      </c>
      <c r="V113">
        <f>HYPERLINK("https://klasma.github.io/Logging_DOROTEA/klagomål/A 47447-2018.docx", "A 47447-2018")</f>
        <v/>
      </c>
      <c r="W113">
        <f>HYPERLINK("https://klasma.github.io/Logging_DOROTEA/klagomålsmail/A 47447-2018.docx", "A 47447-2018")</f>
        <v/>
      </c>
      <c r="X113">
        <f>HYPERLINK("https://klasma.github.io/Logging_DOROTEA/tillsyn/A 47447-2018.docx", "A 47447-2018")</f>
        <v/>
      </c>
      <c r="Y113">
        <f>HYPERLINK("https://klasma.github.io/Logging_DOROTEA/tillsynsmail/A 47447-2018.docx", "A 47447-2018")</f>
        <v/>
      </c>
    </row>
    <row r="114" ht="15" customHeight="1">
      <c r="A114" t="inlineStr">
        <is>
          <t>A 31252-2019</t>
        </is>
      </c>
      <c r="B114" s="1" t="n">
        <v>43640</v>
      </c>
      <c r="C114" s="1" t="n">
        <v>45204</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HYPERLINK("https://klasma.github.io/Logging_UMEA/artfynd/A 31252-2019.xlsx", "A 31252-2019")</f>
        <v/>
      </c>
      <c r="T114">
        <f>HYPERLINK("https://klasma.github.io/Logging_UMEA/kartor/A 31252-2019.png", "A 31252-2019")</f>
        <v/>
      </c>
      <c r="V114">
        <f>HYPERLINK("https://klasma.github.io/Logging_UMEA/klagomål/A 31252-2019.docx", "A 31252-2019")</f>
        <v/>
      </c>
      <c r="W114">
        <f>HYPERLINK("https://klasma.github.io/Logging_UMEA/klagomålsmail/A 31252-2019.docx", "A 31252-2019")</f>
        <v/>
      </c>
      <c r="X114">
        <f>HYPERLINK("https://klasma.github.io/Logging_UMEA/tillsyn/A 31252-2019.docx", "A 31252-2019")</f>
        <v/>
      </c>
      <c r="Y114">
        <f>HYPERLINK("https://klasma.github.io/Logging_UMEA/tillsynsmail/A 31252-2019.docx", "A 31252-2019")</f>
        <v/>
      </c>
    </row>
    <row r="115" ht="15" customHeight="1">
      <c r="A115" t="inlineStr">
        <is>
          <t>A 50025-2019</t>
        </is>
      </c>
      <c r="B115" s="1" t="n">
        <v>43731</v>
      </c>
      <c r="C115" s="1" t="n">
        <v>45204</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HYPERLINK("https://klasma.github.io/Logging_VILHELMINA/artfynd/A 50025-2019.xlsx", "A 50025-2019")</f>
        <v/>
      </c>
      <c r="T115">
        <f>HYPERLINK("https://klasma.github.io/Logging_VILHELMINA/kartor/A 50025-2019.png", "A 50025-2019")</f>
        <v/>
      </c>
      <c r="V115">
        <f>HYPERLINK("https://klasma.github.io/Logging_VILHELMINA/klagomål/A 50025-2019.docx", "A 50025-2019")</f>
        <v/>
      </c>
      <c r="W115">
        <f>HYPERLINK("https://klasma.github.io/Logging_VILHELMINA/klagomålsmail/A 50025-2019.docx", "A 50025-2019")</f>
        <v/>
      </c>
      <c r="X115">
        <f>HYPERLINK("https://klasma.github.io/Logging_VILHELMINA/tillsyn/A 50025-2019.docx", "A 50025-2019")</f>
        <v/>
      </c>
      <c r="Y115">
        <f>HYPERLINK("https://klasma.github.io/Logging_VILHELMINA/tillsynsmail/A 50025-2019.docx", "A 50025-2019")</f>
        <v/>
      </c>
    </row>
    <row r="116" ht="15" customHeight="1">
      <c r="A116" t="inlineStr">
        <is>
          <t>A 65548-2019</t>
        </is>
      </c>
      <c r="B116" s="1" t="n">
        <v>43803</v>
      </c>
      <c r="C116" s="1" t="n">
        <v>45204</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HYPERLINK("https://klasma.github.io/Logging_DOROTEA/artfynd/A 65548-2019.xlsx", "A 65548-2019")</f>
        <v/>
      </c>
      <c r="T116">
        <f>HYPERLINK("https://klasma.github.io/Logging_DOROTEA/kartor/A 65548-2019.png", "A 65548-2019")</f>
        <v/>
      </c>
      <c r="V116">
        <f>HYPERLINK("https://klasma.github.io/Logging_DOROTEA/klagomål/A 65548-2019.docx", "A 65548-2019")</f>
        <v/>
      </c>
      <c r="W116">
        <f>HYPERLINK("https://klasma.github.io/Logging_DOROTEA/klagomålsmail/A 65548-2019.docx", "A 65548-2019")</f>
        <v/>
      </c>
      <c r="X116">
        <f>HYPERLINK("https://klasma.github.io/Logging_DOROTEA/tillsyn/A 65548-2019.docx", "A 65548-2019")</f>
        <v/>
      </c>
      <c r="Y116">
        <f>HYPERLINK("https://klasma.github.io/Logging_DOROTEA/tillsynsmail/A 65548-2019.docx", "A 65548-2019")</f>
        <v/>
      </c>
    </row>
    <row r="117" ht="15" customHeight="1">
      <c r="A117" t="inlineStr">
        <is>
          <t>A 3137-2020</t>
        </is>
      </c>
      <c r="B117" s="1" t="n">
        <v>43851</v>
      </c>
      <c r="C117" s="1" t="n">
        <v>45204</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HYPERLINK("https://klasma.github.io/Logging_SORSELE/artfynd/A 3137-2020.xlsx", "A 3137-2020")</f>
        <v/>
      </c>
      <c r="T117">
        <f>HYPERLINK("https://klasma.github.io/Logging_SORSELE/kartor/A 3137-2020.png", "A 3137-2020")</f>
        <v/>
      </c>
      <c r="V117">
        <f>HYPERLINK("https://klasma.github.io/Logging_SORSELE/klagomål/A 3137-2020.docx", "A 3137-2020")</f>
        <v/>
      </c>
      <c r="W117">
        <f>HYPERLINK("https://klasma.github.io/Logging_SORSELE/klagomålsmail/A 3137-2020.docx", "A 3137-2020")</f>
        <v/>
      </c>
      <c r="X117">
        <f>HYPERLINK("https://klasma.github.io/Logging_SORSELE/tillsyn/A 3137-2020.docx", "A 3137-2020")</f>
        <v/>
      </c>
      <c r="Y117">
        <f>HYPERLINK("https://klasma.github.io/Logging_SORSELE/tillsynsmail/A 3137-2020.docx", "A 3137-2020")</f>
        <v/>
      </c>
    </row>
    <row r="118" ht="15" customHeight="1">
      <c r="A118" t="inlineStr">
        <is>
          <t>A 43934-2020</t>
        </is>
      </c>
      <c r="B118" s="1" t="n">
        <v>44078</v>
      </c>
      <c r="C118" s="1" t="n">
        <v>45204</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HYPERLINK("https://klasma.github.io/Logging_STORUMAN/artfynd/A 43934-2020.xlsx", "A 43934-2020")</f>
        <v/>
      </c>
      <c r="T118">
        <f>HYPERLINK("https://klasma.github.io/Logging_STORUMAN/kartor/A 43934-2020.png", "A 43934-2020")</f>
        <v/>
      </c>
      <c r="V118">
        <f>HYPERLINK("https://klasma.github.io/Logging_STORUMAN/klagomål/A 43934-2020.docx", "A 43934-2020")</f>
        <v/>
      </c>
      <c r="W118">
        <f>HYPERLINK("https://klasma.github.io/Logging_STORUMAN/klagomålsmail/A 43934-2020.docx", "A 43934-2020")</f>
        <v/>
      </c>
      <c r="X118">
        <f>HYPERLINK("https://klasma.github.io/Logging_STORUMAN/tillsyn/A 43934-2020.docx", "A 43934-2020")</f>
        <v/>
      </c>
      <c r="Y118">
        <f>HYPERLINK("https://klasma.github.io/Logging_STORUMAN/tillsynsmail/A 43934-2020.docx", "A 43934-2020")</f>
        <v/>
      </c>
    </row>
    <row r="119" ht="15" customHeight="1">
      <c r="A119" t="inlineStr">
        <is>
          <t>A 10934-2021</t>
        </is>
      </c>
      <c r="B119" s="1" t="n">
        <v>44259</v>
      </c>
      <c r="C119" s="1" t="n">
        <v>45204</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HYPERLINK("https://klasma.github.io/Logging_STORUMAN/artfynd/A 10934-2021.xlsx", "A 10934-2021")</f>
        <v/>
      </c>
      <c r="T119">
        <f>HYPERLINK("https://klasma.github.io/Logging_STORUMAN/kartor/A 10934-2021.png", "A 10934-2021")</f>
        <v/>
      </c>
      <c r="V119">
        <f>HYPERLINK("https://klasma.github.io/Logging_STORUMAN/klagomål/A 10934-2021.docx", "A 10934-2021")</f>
        <v/>
      </c>
      <c r="W119">
        <f>HYPERLINK("https://klasma.github.io/Logging_STORUMAN/klagomålsmail/A 10934-2021.docx", "A 10934-2021")</f>
        <v/>
      </c>
      <c r="X119">
        <f>HYPERLINK("https://klasma.github.io/Logging_STORUMAN/tillsyn/A 10934-2021.docx", "A 10934-2021")</f>
        <v/>
      </c>
      <c r="Y119">
        <f>HYPERLINK("https://klasma.github.io/Logging_STORUMAN/tillsynsmail/A 10934-2021.docx", "A 10934-2021")</f>
        <v/>
      </c>
    </row>
    <row r="120" ht="15" customHeight="1">
      <c r="A120" t="inlineStr">
        <is>
          <t>A 15110-2021</t>
        </is>
      </c>
      <c r="B120" s="1" t="n">
        <v>44281</v>
      </c>
      <c r="C120" s="1" t="n">
        <v>45204</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HYPERLINK("https://klasma.github.io/Logging_SKELLEFTEA/artfynd/A 15110-2021.xlsx", "A 15110-2021")</f>
        <v/>
      </c>
      <c r="T120">
        <f>HYPERLINK("https://klasma.github.io/Logging_SKELLEFTEA/kartor/A 15110-2021.png", "A 15110-2021")</f>
        <v/>
      </c>
      <c r="V120">
        <f>HYPERLINK("https://klasma.github.io/Logging_SKELLEFTEA/klagomål/A 15110-2021.docx", "A 15110-2021")</f>
        <v/>
      </c>
      <c r="W120">
        <f>HYPERLINK("https://klasma.github.io/Logging_SKELLEFTEA/klagomålsmail/A 15110-2021.docx", "A 15110-2021")</f>
        <v/>
      </c>
      <c r="X120">
        <f>HYPERLINK("https://klasma.github.io/Logging_SKELLEFTEA/tillsyn/A 15110-2021.docx", "A 15110-2021")</f>
        <v/>
      </c>
      <c r="Y120">
        <f>HYPERLINK("https://klasma.github.io/Logging_SKELLEFTEA/tillsynsmail/A 15110-2021.docx", "A 15110-2021")</f>
        <v/>
      </c>
    </row>
    <row r="121" ht="15" customHeight="1">
      <c r="A121" t="inlineStr">
        <is>
          <t>A 31173-2021</t>
        </is>
      </c>
      <c r="B121" s="1" t="n">
        <v>44368</v>
      </c>
      <c r="C121" s="1" t="n">
        <v>45204</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HYPERLINK("https://klasma.github.io/Logging_SKELLEFTEA/artfynd/A 31173-2021.xlsx", "A 31173-2021")</f>
        <v/>
      </c>
      <c r="T121">
        <f>HYPERLINK("https://klasma.github.io/Logging_SKELLEFTEA/kartor/A 31173-2021.png", "A 31173-2021")</f>
        <v/>
      </c>
      <c r="V121">
        <f>HYPERLINK("https://klasma.github.io/Logging_SKELLEFTEA/klagomål/A 31173-2021.docx", "A 31173-2021")</f>
        <v/>
      </c>
      <c r="W121">
        <f>HYPERLINK("https://klasma.github.io/Logging_SKELLEFTEA/klagomålsmail/A 31173-2021.docx", "A 31173-2021")</f>
        <v/>
      </c>
      <c r="X121">
        <f>HYPERLINK("https://klasma.github.io/Logging_SKELLEFTEA/tillsyn/A 31173-2021.docx", "A 31173-2021")</f>
        <v/>
      </c>
      <c r="Y121">
        <f>HYPERLINK("https://klasma.github.io/Logging_SKELLEFTEA/tillsynsmail/A 31173-2021.docx", "A 31173-2021")</f>
        <v/>
      </c>
    </row>
    <row r="122" ht="15" customHeight="1">
      <c r="A122" t="inlineStr">
        <is>
          <t>A 69626-2021</t>
        </is>
      </c>
      <c r="B122" s="1" t="n">
        <v>44532</v>
      </c>
      <c r="C122" s="1" t="n">
        <v>45204</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HYPERLINK("https://klasma.github.io/Logging_VINDELN/artfynd/A 69626-2021.xlsx", "A 69626-2021")</f>
        <v/>
      </c>
      <c r="T122">
        <f>HYPERLINK("https://klasma.github.io/Logging_VINDELN/kartor/A 69626-2021.png", "A 69626-2021")</f>
        <v/>
      </c>
      <c r="V122">
        <f>HYPERLINK("https://klasma.github.io/Logging_VINDELN/klagomål/A 69626-2021.docx", "A 69626-2021")</f>
        <v/>
      </c>
      <c r="W122">
        <f>HYPERLINK("https://klasma.github.io/Logging_VINDELN/klagomålsmail/A 69626-2021.docx", "A 69626-2021")</f>
        <v/>
      </c>
      <c r="X122">
        <f>HYPERLINK("https://klasma.github.io/Logging_VINDELN/tillsyn/A 69626-2021.docx", "A 69626-2021")</f>
        <v/>
      </c>
      <c r="Y122">
        <f>HYPERLINK("https://klasma.github.io/Logging_VINDELN/tillsynsmail/A 69626-2021.docx", "A 69626-2021")</f>
        <v/>
      </c>
    </row>
    <row r="123" ht="15" customHeight="1">
      <c r="A123" t="inlineStr">
        <is>
          <t>A 72173-2021</t>
        </is>
      </c>
      <c r="B123" s="1" t="n">
        <v>44543</v>
      </c>
      <c r="C123" s="1" t="n">
        <v>45204</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HYPERLINK("https://klasma.github.io/Logging_STORUMAN/artfynd/A 72173-2021.xlsx", "A 72173-2021")</f>
        <v/>
      </c>
      <c r="T123">
        <f>HYPERLINK("https://klasma.github.io/Logging_STORUMAN/kartor/A 72173-2021.png", "A 72173-2021")</f>
        <v/>
      </c>
      <c r="V123">
        <f>HYPERLINK("https://klasma.github.io/Logging_STORUMAN/klagomål/A 72173-2021.docx", "A 72173-2021")</f>
        <v/>
      </c>
      <c r="W123">
        <f>HYPERLINK("https://klasma.github.io/Logging_STORUMAN/klagomålsmail/A 72173-2021.docx", "A 72173-2021")</f>
        <v/>
      </c>
      <c r="X123">
        <f>HYPERLINK("https://klasma.github.io/Logging_STORUMAN/tillsyn/A 72173-2021.docx", "A 72173-2021")</f>
        <v/>
      </c>
      <c r="Y123">
        <f>HYPERLINK("https://klasma.github.io/Logging_STORUMAN/tillsynsmail/A 72173-2021.docx", "A 72173-2021")</f>
        <v/>
      </c>
    </row>
    <row r="124" ht="15" customHeight="1">
      <c r="A124" t="inlineStr">
        <is>
          <t>A 3370-2022</t>
        </is>
      </c>
      <c r="B124" s="1" t="n">
        <v>44585</v>
      </c>
      <c r="C124" s="1" t="n">
        <v>45204</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HYPERLINK("https://klasma.github.io/Logging_STORUMAN/artfynd/A 3370-2022.xlsx", "A 3370-2022")</f>
        <v/>
      </c>
      <c r="T124">
        <f>HYPERLINK("https://klasma.github.io/Logging_STORUMAN/kartor/A 3370-2022.png", "A 3370-2022")</f>
        <v/>
      </c>
      <c r="V124">
        <f>HYPERLINK("https://klasma.github.io/Logging_STORUMAN/klagomål/A 3370-2022.docx", "A 3370-2022")</f>
        <v/>
      </c>
      <c r="W124">
        <f>HYPERLINK("https://klasma.github.io/Logging_STORUMAN/klagomålsmail/A 3370-2022.docx", "A 3370-2022")</f>
        <v/>
      </c>
      <c r="X124">
        <f>HYPERLINK("https://klasma.github.io/Logging_STORUMAN/tillsyn/A 3370-2022.docx", "A 3370-2022")</f>
        <v/>
      </c>
      <c r="Y124">
        <f>HYPERLINK("https://klasma.github.io/Logging_STORUMAN/tillsynsmail/A 3370-2022.docx", "A 3370-2022")</f>
        <v/>
      </c>
    </row>
    <row r="125" ht="15" customHeight="1">
      <c r="A125" t="inlineStr">
        <is>
          <t>A 13605-2022</t>
        </is>
      </c>
      <c r="B125" s="1" t="n">
        <v>44648</v>
      </c>
      <c r="C125" s="1" t="n">
        <v>45204</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HYPERLINK("https://klasma.github.io/Logging_BJURHOLM/artfynd/A 13605-2022.xlsx", "A 13605-2022")</f>
        <v/>
      </c>
      <c r="T125">
        <f>HYPERLINK("https://klasma.github.io/Logging_BJURHOLM/kartor/A 13605-2022.png", "A 13605-2022")</f>
        <v/>
      </c>
      <c r="U125">
        <f>HYPERLINK("https://klasma.github.io/Logging_BJURHOLM/knärot/A 13605-2022.png", "A 13605-2022")</f>
        <v/>
      </c>
      <c r="V125">
        <f>HYPERLINK("https://klasma.github.io/Logging_BJURHOLM/klagomål/A 13605-2022.docx", "A 13605-2022")</f>
        <v/>
      </c>
      <c r="W125">
        <f>HYPERLINK("https://klasma.github.io/Logging_BJURHOLM/klagomålsmail/A 13605-2022.docx", "A 13605-2022")</f>
        <v/>
      </c>
      <c r="X125">
        <f>HYPERLINK("https://klasma.github.io/Logging_BJURHOLM/tillsyn/A 13605-2022.docx", "A 13605-2022")</f>
        <v/>
      </c>
      <c r="Y125">
        <f>HYPERLINK("https://klasma.github.io/Logging_BJURHOLM/tillsynsmail/A 13605-2022.docx", "A 13605-2022")</f>
        <v/>
      </c>
    </row>
    <row r="126" ht="15" customHeight="1">
      <c r="A126" t="inlineStr">
        <is>
          <t>A 2274-2023</t>
        </is>
      </c>
      <c r="B126" s="1" t="n">
        <v>44942</v>
      </c>
      <c r="C126" s="1" t="n">
        <v>45204</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HYPERLINK("https://klasma.github.io/Logging_SKELLEFTEA/artfynd/A 2274-2023.xlsx", "A 2274-2023")</f>
        <v/>
      </c>
      <c r="T126">
        <f>HYPERLINK("https://klasma.github.io/Logging_SKELLEFTEA/kartor/A 2274-2023.png", "A 2274-2023")</f>
        <v/>
      </c>
      <c r="U126">
        <f>HYPERLINK("https://klasma.github.io/Logging_SKELLEFTEA/knärot/A 2274-2023.png", "A 2274-2023")</f>
        <v/>
      </c>
      <c r="V126">
        <f>HYPERLINK("https://klasma.github.io/Logging_SKELLEFTEA/klagomål/A 2274-2023.docx", "A 2274-2023")</f>
        <v/>
      </c>
      <c r="W126">
        <f>HYPERLINK("https://klasma.github.io/Logging_SKELLEFTEA/klagomålsmail/A 2274-2023.docx", "A 2274-2023")</f>
        <v/>
      </c>
      <c r="X126">
        <f>HYPERLINK("https://klasma.github.io/Logging_SKELLEFTEA/tillsyn/A 2274-2023.docx", "A 2274-2023")</f>
        <v/>
      </c>
      <c r="Y126">
        <f>HYPERLINK("https://klasma.github.io/Logging_SKELLEFTEA/tillsynsmail/A 2274-2023.docx", "A 2274-2023")</f>
        <v/>
      </c>
    </row>
    <row r="127" ht="15" customHeight="1">
      <c r="A127" t="inlineStr">
        <is>
          <t>A 2768-2023</t>
        </is>
      </c>
      <c r="B127" s="1" t="n">
        <v>44944</v>
      </c>
      <c r="C127" s="1" t="n">
        <v>45204</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HYPERLINK("https://klasma.github.io/Logging_LYCKSELE/artfynd/A 2768-2023.xlsx", "A 2768-2023")</f>
        <v/>
      </c>
      <c r="T127">
        <f>HYPERLINK("https://klasma.github.io/Logging_LYCKSELE/kartor/A 2768-2023.png", "A 2768-2023")</f>
        <v/>
      </c>
      <c r="V127">
        <f>HYPERLINK("https://klasma.github.io/Logging_LYCKSELE/klagomål/A 2768-2023.docx", "A 2768-2023")</f>
        <v/>
      </c>
      <c r="W127">
        <f>HYPERLINK("https://klasma.github.io/Logging_LYCKSELE/klagomålsmail/A 2768-2023.docx", "A 2768-2023")</f>
        <v/>
      </c>
      <c r="X127">
        <f>HYPERLINK("https://klasma.github.io/Logging_LYCKSELE/tillsyn/A 2768-2023.docx", "A 2768-2023")</f>
        <v/>
      </c>
      <c r="Y127">
        <f>HYPERLINK("https://klasma.github.io/Logging_LYCKSELE/tillsynsmail/A 2768-2023.docx", "A 2768-2023")</f>
        <v/>
      </c>
    </row>
    <row r="128" ht="15" customHeight="1">
      <c r="A128" t="inlineStr">
        <is>
          <t>A 5701-2023</t>
        </is>
      </c>
      <c r="B128" s="1" t="n">
        <v>44960</v>
      </c>
      <c r="C128" s="1" t="n">
        <v>45204</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HYPERLINK("https://klasma.github.io/Logging_ASELE/artfynd/A 5701-2023.xlsx", "A 5701-2023")</f>
        <v/>
      </c>
      <c r="T128">
        <f>HYPERLINK("https://klasma.github.io/Logging_ASELE/kartor/A 5701-2023.png", "A 5701-2023")</f>
        <v/>
      </c>
      <c r="V128">
        <f>HYPERLINK("https://klasma.github.io/Logging_ASELE/klagomål/A 5701-2023.docx", "A 5701-2023")</f>
        <v/>
      </c>
      <c r="W128">
        <f>HYPERLINK("https://klasma.github.io/Logging_ASELE/klagomålsmail/A 5701-2023.docx", "A 5701-2023")</f>
        <v/>
      </c>
      <c r="X128">
        <f>HYPERLINK("https://klasma.github.io/Logging_ASELE/tillsyn/A 5701-2023.docx", "A 5701-2023")</f>
        <v/>
      </c>
      <c r="Y128">
        <f>HYPERLINK("https://klasma.github.io/Logging_ASELE/tillsynsmail/A 5701-2023.docx", "A 5701-2023")</f>
        <v/>
      </c>
    </row>
    <row r="129" ht="15" customHeight="1">
      <c r="A129" t="inlineStr">
        <is>
          <t>A 22967-2023</t>
        </is>
      </c>
      <c r="B129" s="1" t="n">
        <v>45070</v>
      </c>
      <c r="C129" s="1" t="n">
        <v>45204</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HYPERLINK("https://klasma.github.io/Logging_SKELLEFTEA/artfynd/A 22967-2023.xlsx", "A 22967-2023")</f>
        <v/>
      </c>
      <c r="T129">
        <f>HYPERLINK("https://klasma.github.io/Logging_SKELLEFTEA/kartor/A 22967-2023.png", "A 22967-2023")</f>
        <v/>
      </c>
      <c r="U129">
        <f>HYPERLINK("https://klasma.github.io/Logging_SKELLEFTEA/knärot/A 22967-2023.png", "A 22967-2023")</f>
        <v/>
      </c>
      <c r="V129">
        <f>HYPERLINK("https://klasma.github.io/Logging_SKELLEFTEA/klagomål/A 22967-2023.docx", "A 22967-2023")</f>
        <v/>
      </c>
      <c r="W129">
        <f>HYPERLINK("https://klasma.github.io/Logging_SKELLEFTEA/klagomålsmail/A 22967-2023.docx", "A 22967-2023")</f>
        <v/>
      </c>
      <c r="X129">
        <f>HYPERLINK("https://klasma.github.io/Logging_SKELLEFTEA/tillsyn/A 22967-2023.docx", "A 22967-2023")</f>
        <v/>
      </c>
      <c r="Y129">
        <f>HYPERLINK("https://klasma.github.io/Logging_SKELLEFTEA/tillsynsmail/A 22967-2023.docx", "A 22967-2023")</f>
        <v/>
      </c>
    </row>
    <row r="130" ht="15" customHeight="1">
      <c r="A130" t="inlineStr">
        <is>
          <t>A 38406-2018</t>
        </is>
      </c>
      <c r="B130" s="1" t="n">
        <v>43336</v>
      </c>
      <c r="C130" s="1" t="n">
        <v>45204</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HYPERLINK("https://klasma.github.io/Logging_VILHELMINA/artfynd/A 38406-2018.xlsx", "A 38406-2018")</f>
        <v/>
      </c>
      <c r="T130">
        <f>HYPERLINK("https://klasma.github.io/Logging_VILHELMINA/kartor/A 38406-2018.png", "A 38406-2018")</f>
        <v/>
      </c>
      <c r="V130">
        <f>HYPERLINK("https://klasma.github.io/Logging_VILHELMINA/klagomål/A 38406-2018.docx", "A 38406-2018")</f>
        <v/>
      </c>
      <c r="W130">
        <f>HYPERLINK("https://klasma.github.io/Logging_VILHELMINA/klagomålsmail/A 38406-2018.docx", "A 38406-2018")</f>
        <v/>
      </c>
      <c r="X130">
        <f>HYPERLINK("https://klasma.github.io/Logging_VILHELMINA/tillsyn/A 38406-2018.docx", "A 38406-2018")</f>
        <v/>
      </c>
      <c r="Y130">
        <f>HYPERLINK("https://klasma.github.io/Logging_VILHELMINA/tillsynsmail/A 38406-2018.docx", "A 38406-2018")</f>
        <v/>
      </c>
    </row>
    <row r="131" ht="15" customHeight="1">
      <c r="A131" t="inlineStr">
        <is>
          <t>A 24922-2019</t>
        </is>
      </c>
      <c r="B131" s="1" t="n">
        <v>43599</v>
      </c>
      <c r="C131" s="1" t="n">
        <v>45204</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HYPERLINK("https://klasma.github.io/Logging_VANNAS/artfynd/A 24922-2019.xlsx", "A 24922-2019")</f>
        <v/>
      </c>
      <c r="T131">
        <f>HYPERLINK("https://klasma.github.io/Logging_VANNAS/kartor/A 24922-2019.png", "A 24922-2019")</f>
        <v/>
      </c>
      <c r="V131">
        <f>HYPERLINK("https://klasma.github.io/Logging_VANNAS/klagomål/A 24922-2019.docx", "A 24922-2019")</f>
        <v/>
      </c>
      <c r="W131">
        <f>HYPERLINK("https://klasma.github.io/Logging_VANNAS/klagomålsmail/A 24922-2019.docx", "A 24922-2019")</f>
        <v/>
      </c>
      <c r="X131">
        <f>HYPERLINK("https://klasma.github.io/Logging_VANNAS/tillsyn/A 24922-2019.docx", "A 24922-2019")</f>
        <v/>
      </c>
      <c r="Y131">
        <f>HYPERLINK("https://klasma.github.io/Logging_VANNAS/tillsynsmail/A 24922-2019.docx", "A 24922-2019")</f>
        <v/>
      </c>
    </row>
    <row r="132" ht="15" customHeight="1">
      <c r="A132" t="inlineStr">
        <is>
          <t>A 34371-2019</t>
        </is>
      </c>
      <c r="B132" s="1" t="n">
        <v>43648</v>
      </c>
      <c r="C132" s="1" t="n">
        <v>45204</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HYPERLINK("https://klasma.github.io/Logging_SORSELE/artfynd/A 34371-2019.xlsx", "A 34371-2019")</f>
        <v/>
      </c>
      <c r="T132">
        <f>HYPERLINK("https://klasma.github.io/Logging_SORSELE/kartor/A 34371-2019.png", "A 34371-2019")</f>
        <v/>
      </c>
      <c r="V132">
        <f>HYPERLINK("https://klasma.github.io/Logging_SORSELE/klagomål/A 34371-2019.docx", "A 34371-2019")</f>
        <v/>
      </c>
      <c r="W132">
        <f>HYPERLINK("https://klasma.github.io/Logging_SORSELE/klagomålsmail/A 34371-2019.docx", "A 34371-2019")</f>
        <v/>
      </c>
      <c r="X132">
        <f>HYPERLINK("https://klasma.github.io/Logging_SORSELE/tillsyn/A 34371-2019.docx", "A 34371-2019")</f>
        <v/>
      </c>
      <c r="Y132">
        <f>HYPERLINK("https://klasma.github.io/Logging_SORSELE/tillsynsmail/A 34371-2019.docx", "A 34371-2019")</f>
        <v/>
      </c>
    </row>
    <row r="133" ht="15" customHeight="1">
      <c r="A133" t="inlineStr">
        <is>
          <t>A 25504-2020</t>
        </is>
      </c>
      <c r="B133" s="1" t="n">
        <v>43983</v>
      </c>
      <c r="C133" s="1" t="n">
        <v>45204</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HYPERLINK("https://klasma.github.io/Logging_VILHELMINA/artfynd/A 25504-2020.xlsx", "A 25504-2020")</f>
        <v/>
      </c>
      <c r="T133">
        <f>HYPERLINK("https://klasma.github.io/Logging_VILHELMINA/kartor/A 25504-2020.png", "A 25504-2020")</f>
        <v/>
      </c>
      <c r="V133">
        <f>HYPERLINK("https://klasma.github.io/Logging_VILHELMINA/klagomål/A 25504-2020.docx", "A 25504-2020")</f>
        <v/>
      </c>
      <c r="W133">
        <f>HYPERLINK("https://klasma.github.io/Logging_VILHELMINA/klagomålsmail/A 25504-2020.docx", "A 25504-2020")</f>
        <v/>
      </c>
      <c r="X133">
        <f>HYPERLINK("https://klasma.github.io/Logging_VILHELMINA/tillsyn/A 25504-2020.docx", "A 25504-2020")</f>
        <v/>
      </c>
      <c r="Y133">
        <f>HYPERLINK("https://klasma.github.io/Logging_VILHELMINA/tillsynsmail/A 25504-2020.docx", "A 25504-2020")</f>
        <v/>
      </c>
    </row>
    <row r="134" ht="15" customHeight="1">
      <c r="A134" t="inlineStr">
        <is>
          <t>A 35492-2020</t>
        </is>
      </c>
      <c r="B134" s="1" t="n">
        <v>44042</v>
      </c>
      <c r="C134" s="1" t="n">
        <v>45204</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HYPERLINK("https://klasma.github.io/Logging_VINDELN/artfynd/A 35492-2020.xlsx", "A 35492-2020")</f>
        <v/>
      </c>
      <c r="T134">
        <f>HYPERLINK("https://klasma.github.io/Logging_VINDELN/kartor/A 35492-2020.png", "A 35492-2020")</f>
        <v/>
      </c>
      <c r="V134">
        <f>HYPERLINK("https://klasma.github.io/Logging_VINDELN/klagomål/A 35492-2020.docx", "A 35492-2020")</f>
        <v/>
      </c>
      <c r="W134">
        <f>HYPERLINK("https://klasma.github.io/Logging_VINDELN/klagomålsmail/A 35492-2020.docx", "A 35492-2020")</f>
        <v/>
      </c>
      <c r="X134">
        <f>HYPERLINK("https://klasma.github.io/Logging_VINDELN/tillsyn/A 35492-2020.docx", "A 35492-2020")</f>
        <v/>
      </c>
      <c r="Y134">
        <f>HYPERLINK("https://klasma.github.io/Logging_VINDELN/tillsynsmail/A 35492-2020.docx", "A 35492-2020")</f>
        <v/>
      </c>
    </row>
    <row r="135" ht="15" customHeight="1">
      <c r="A135" t="inlineStr">
        <is>
          <t>A 48705-2020</t>
        </is>
      </c>
      <c r="B135" s="1" t="n">
        <v>44103</v>
      </c>
      <c r="C135" s="1" t="n">
        <v>45204</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HYPERLINK("https://klasma.github.io/Logging_LYCKSELE/artfynd/A 48705-2020.xlsx", "A 48705-2020")</f>
        <v/>
      </c>
      <c r="T135">
        <f>HYPERLINK("https://klasma.github.io/Logging_LYCKSELE/kartor/A 48705-2020.png", "A 48705-2020")</f>
        <v/>
      </c>
      <c r="V135">
        <f>HYPERLINK("https://klasma.github.io/Logging_LYCKSELE/klagomål/A 48705-2020.docx", "A 48705-2020")</f>
        <v/>
      </c>
      <c r="W135">
        <f>HYPERLINK("https://klasma.github.io/Logging_LYCKSELE/klagomålsmail/A 48705-2020.docx", "A 48705-2020")</f>
        <v/>
      </c>
      <c r="X135">
        <f>HYPERLINK("https://klasma.github.io/Logging_LYCKSELE/tillsyn/A 48705-2020.docx", "A 48705-2020")</f>
        <v/>
      </c>
      <c r="Y135">
        <f>HYPERLINK("https://klasma.github.io/Logging_LYCKSELE/tillsynsmail/A 48705-2020.docx", "A 48705-2020")</f>
        <v/>
      </c>
    </row>
    <row r="136" ht="15" customHeight="1">
      <c r="A136" t="inlineStr">
        <is>
          <t>A 55811-2020</t>
        </is>
      </c>
      <c r="B136" s="1" t="n">
        <v>44132</v>
      </c>
      <c r="C136" s="1" t="n">
        <v>45204</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HYPERLINK("https://klasma.github.io/Logging_SKELLEFTEA/artfynd/A 55811-2020.xlsx", "A 55811-2020")</f>
        <v/>
      </c>
      <c r="T136">
        <f>HYPERLINK("https://klasma.github.io/Logging_SKELLEFTEA/kartor/A 55811-2020.png", "A 55811-2020")</f>
        <v/>
      </c>
      <c r="V136">
        <f>HYPERLINK("https://klasma.github.io/Logging_SKELLEFTEA/klagomål/A 55811-2020.docx", "A 55811-2020")</f>
        <v/>
      </c>
      <c r="W136">
        <f>HYPERLINK("https://klasma.github.io/Logging_SKELLEFTEA/klagomålsmail/A 55811-2020.docx", "A 55811-2020")</f>
        <v/>
      </c>
      <c r="X136">
        <f>HYPERLINK("https://klasma.github.io/Logging_SKELLEFTEA/tillsyn/A 55811-2020.docx", "A 55811-2020")</f>
        <v/>
      </c>
      <c r="Y136">
        <f>HYPERLINK("https://klasma.github.io/Logging_SKELLEFTEA/tillsynsmail/A 55811-2020.docx", "A 55811-2020")</f>
        <v/>
      </c>
    </row>
    <row r="137" ht="15" customHeight="1">
      <c r="A137" t="inlineStr">
        <is>
          <t>A 6207-2021</t>
        </is>
      </c>
      <c r="B137" s="1" t="n">
        <v>44232</v>
      </c>
      <c r="C137" s="1" t="n">
        <v>45204</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HYPERLINK("https://klasma.github.io/Logging_STORUMAN/artfynd/A 6207-2021.xlsx", "A 6207-2021")</f>
        <v/>
      </c>
      <c r="T137">
        <f>HYPERLINK("https://klasma.github.io/Logging_STORUMAN/kartor/A 6207-2021.png", "A 6207-2021")</f>
        <v/>
      </c>
      <c r="V137">
        <f>HYPERLINK("https://klasma.github.io/Logging_STORUMAN/klagomål/A 6207-2021.docx", "A 6207-2021")</f>
        <v/>
      </c>
      <c r="W137">
        <f>HYPERLINK("https://klasma.github.io/Logging_STORUMAN/klagomålsmail/A 6207-2021.docx", "A 6207-2021")</f>
        <v/>
      </c>
      <c r="X137">
        <f>HYPERLINK("https://klasma.github.io/Logging_STORUMAN/tillsyn/A 6207-2021.docx", "A 6207-2021")</f>
        <v/>
      </c>
      <c r="Y137">
        <f>HYPERLINK("https://klasma.github.io/Logging_STORUMAN/tillsynsmail/A 6207-2021.docx", "A 6207-2021")</f>
        <v/>
      </c>
    </row>
    <row r="138" ht="15" customHeight="1">
      <c r="A138" t="inlineStr">
        <is>
          <t>A 39213-2021</t>
        </is>
      </c>
      <c r="B138" s="1" t="n">
        <v>44413</v>
      </c>
      <c r="C138" s="1" t="n">
        <v>45204</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HYPERLINK("https://klasma.github.io/Logging_SKELLEFTEA/artfynd/A 39213-2021.xlsx", "A 39213-2021")</f>
        <v/>
      </c>
      <c r="T138">
        <f>HYPERLINK("https://klasma.github.io/Logging_SKELLEFTEA/kartor/A 39213-2021.png", "A 39213-2021")</f>
        <v/>
      </c>
      <c r="V138">
        <f>HYPERLINK("https://klasma.github.io/Logging_SKELLEFTEA/klagomål/A 39213-2021.docx", "A 39213-2021")</f>
        <v/>
      </c>
      <c r="W138">
        <f>HYPERLINK("https://klasma.github.io/Logging_SKELLEFTEA/klagomålsmail/A 39213-2021.docx", "A 39213-2021")</f>
        <v/>
      </c>
      <c r="X138">
        <f>HYPERLINK("https://klasma.github.io/Logging_SKELLEFTEA/tillsyn/A 39213-2021.docx", "A 39213-2021")</f>
        <v/>
      </c>
      <c r="Y138">
        <f>HYPERLINK("https://klasma.github.io/Logging_SKELLEFTEA/tillsynsmail/A 39213-2021.docx", "A 39213-2021")</f>
        <v/>
      </c>
    </row>
    <row r="139" ht="15" customHeight="1">
      <c r="A139" t="inlineStr">
        <is>
          <t>A 42391-2021</t>
        </is>
      </c>
      <c r="B139" s="1" t="n">
        <v>44427</v>
      </c>
      <c r="C139" s="1" t="n">
        <v>45204</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HYPERLINK("https://klasma.github.io/Logging_UMEA/artfynd/A 42391-2021.xlsx", "A 42391-2021")</f>
        <v/>
      </c>
      <c r="T139">
        <f>HYPERLINK("https://klasma.github.io/Logging_UMEA/kartor/A 42391-2021.png", "A 42391-2021")</f>
        <v/>
      </c>
      <c r="V139">
        <f>HYPERLINK("https://klasma.github.io/Logging_UMEA/klagomål/A 42391-2021.docx", "A 42391-2021")</f>
        <v/>
      </c>
      <c r="W139">
        <f>HYPERLINK("https://klasma.github.io/Logging_UMEA/klagomålsmail/A 42391-2021.docx", "A 42391-2021")</f>
        <v/>
      </c>
      <c r="X139">
        <f>HYPERLINK("https://klasma.github.io/Logging_UMEA/tillsyn/A 42391-2021.docx", "A 42391-2021")</f>
        <v/>
      </c>
      <c r="Y139">
        <f>HYPERLINK("https://klasma.github.io/Logging_UMEA/tillsynsmail/A 42391-2021.docx", "A 42391-2021")</f>
        <v/>
      </c>
    </row>
    <row r="140" ht="15" customHeight="1">
      <c r="A140" t="inlineStr">
        <is>
          <t>A 35039-2022</t>
        </is>
      </c>
      <c r="B140" s="1" t="n">
        <v>44797</v>
      </c>
      <c r="C140" s="1" t="n">
        <v>45204</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HYPERLINK("https://klasma.github.io/Logging_UMEA/artfynd/A 35039-2022.xlsx", "A 35039-2022")</f>
        <v/>
      </c>
      <c r="T140">
        <f>HYPERLINK("https://klasma.github.io/Logging_UMEA/kartor/A 35039-2022.png", "A 35039-2022")</f>
        <v/>
      </c>
      <c r="V140">
        <f>HYPERLINK("https://klasma.github.io/Logging_UMEA/klagomål/A 35039-2022.docx", "A 35039-2022")</f>
        <v/>
      </c>
      <c r="W140">
        <f>HYPERLINK("https://klasma.github.io/Logging_UMEA/klagomålsmail/A 35039-2022.docx", "A 35039-2022")</f>
        <v/>
      </c>
      <c r="X140">
        <f>HYPERLINK("https://klasma.github.io/Logging_UMEA/tillsyn/A 35039-2022.docx", "A 35039-2022")</f>
        <v/>
      </c>
      <c r="Y140">
        <f>HYPERLINK("https://klasma.github.io/Logging_UMEA/tillsynsmail/A 35039-2022.docx", "A 35039-2022")</f>
        <v/>
      </c>
    </row>
    <row r="141" ht="15" customHeight="1">
      <c r="A141" t="inlineStr">
        <is>
          <t>A 51198-2022</t>
        </is>
      </c>
      <c r="B141" s="1" t="n">
        <v>44868</v>
      </c>
      <c r="C141" s="1" t="n">
        <v>45204</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HYPERLINK("https://klasma.github.io/Logging_UMEA/artfynd/A 51198-2022.xlsx", "A 51198-2022")</f>
        <v/>
      </c>
      <c r="T141">
        <f>HYPERLINK("https://klasma.github.io/Logging_UMEA/kartor/A 51198-2022.png", "A 51198-2022")</f>
        <v/>
      </c>
      <c r="V141">
        <f>HYPERLINK("https://klasma.github.io/Logging_UMEA/klagomål/A 51198-2022.docx", "A 51198-2022")</f>
        <v/>
      </c>
      <c r="W141">
        <f>HYPERLINK("https://klasma.github.io/Logging_UMEA/klagomålsmail/A 51198-2022.docx", "A 51198-2022")</f>
        <v/>
      </c>
      <c r="X141">
        <f>HYPERLINK("https://klasma.github.io/Logging_UMEA/tillsyn/A 51198-2022.docx", "A 51198-2022")</f>
        <v/>
      </c>
      <c r="Y141">
        <f>HYPERLINK("https://klasma.github.io/Logging_UMEA/tillsynsmail/A 51198-2022.docx", "A 51198-2022")</f>
        <v/>
      </c>
    </row>
    <row r="142" ht="15" customHeight="1">
      <c r="A142" t="inlineStr">
        <is>
          <t>A 8708-2023</t>
        </is>
      </c>
      <c r="B142" s="1" t="n">
        <v>44973</v>
      </c>
      <c r="C142" s="1" t="n">
        <v>45204</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HYPERLINK("https://klasma.github.io/Logging_UMEA/artfynd/A 8708-2023.xlsx", "A 8708-2023")</f>
        <v/>
      </c>
      <c r="T142">
        <f>HYPERLINK("https://klasma.github.io/Logging_UMEA/kartor/A 8708-2023.png", "A 8708-2023")</f>
        <v/>
      </c>
      <c r="V142">
        <f>HYPERLINK("https://klasma.github.io/Logging_UMEA/klagomål/A 8708-2023.docx", "A 8708-2023")</f>
        <v/>
      </c>
      <c r="W142">
        <f>HYPERLINK("https://klasma.github.io/Logging_UMEA/klagomålsmail/A 8708-2023.docx", "A 8708-2023")</f>
        <v/>
      </c>
      <c r="X142">
        <f>HYPERLINK("https://klasma.github.io/Logging_UMEA/tillsyn/A 8708-2023.docx", "A 8708-2023")</f>
        <v/>
      </c>
      <c r="Y142">
        <f>HYPERLINK("https://klasma.github.io/Logging_UMEA/tillsynsmail/A 8708-2023.docx", "A 8708-2023")</f>
        <v/>
      </c>
    </row>
    <row r="143" ht="15" customHeight="1">
      <c r="A143" t="inlineStr">
        <is>
          <t>A 12330-2023</t>
        </is>
      </c>
      <c r="B143" s="1" t="n">
        <v>44995</v>
      </c>
      <c r="C143" s="1" t="n">
        <v>45204</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HYPERLINK("https://klasma.github.io/Logging_STORUMAN/artfynd/A 12330-2023.xlsx", "A 12330-2023")</f>
        <v/>
      </c>
      <c r="T143">
        <f>HYPERLINK("https://klasma.github.io/Logging_STORUMAN/kartor/A 12330-2023.png", "A 12330-2023")</f>
        <v/>
      </c>
      <c r="V143">
        <f>HYPERLINK("https://klasma.github.io/Logging_STORUMAN/klagomål/A 12330-2023.docx", "A 12330-2023")</f>
        <v/>
      </c>
      <c r="W143">
        <f>HYPERLINK("https://klasma.github.io/Logging_STORUMAN/klagomålsmail/A 12330-2023.docx", "A 12330-2023")</f>
        <v/>
      </c>
      <c r="X143">
        <f>HYPERLINK("https://klasma.github.io/Logging_STORUMAN/tillsyn/A 12330-2023.docx", "A 12330-2023")</f>
        <v/>
      </c>
      <c r="Y143">
        <f>HYPERLINK("https://klasma.github.io/Logging_STORUMAN/tillsynsmail/A 12330-2023.docx", "A 12330-2023")</f>
        <v/>
      </c>
    </row>
    <row r="144" ht="15" customHeight="1">
      <c r="A144" t="inlineStr">
        <is>
          <t>A 33672-2023</t>
        </is>
      </c>
      <c r="B144" s="1" t="n">
        <v>45119</v>
      </c>
      <c r="C144" s="1" t="n">
        <v>45204</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HYPERLINK("https://klasma.github.io/Logging_VILHELMINA/artfynd/A 33672-2023.xlsx", "A 33672-2023")</f>
        <v/>
      </c>
      <c r="T144">
        <f>HYPERLINK("https://klasma.github.io/Logging_VILHELMINA/kartor/A 33672-2023.png", "A 33672-2023")</f>
        <v/>
      </c>
      <c r="V144">
        <f>HYPERLINK("https://klasma.github.io/Logging_VILHELMINA/klagomål/A 33672-2023.docx", "A 33672-2023")</f>
        <v/>
      </c>
      <c r="W144">
        <f>HYPERLINK("https://klasma.github.io/Logging_VILHELMINA/klagomålsmail/A 33672-2023.docx", "A 33672-2023")</f>
        <v/>
      </c>
      <c r="X144">
        <f>HYPERLINK("https://klasma.github.io/Logging_VILHELMINA/tillsyn/A 33672-2023.docx", "A 33672-2023")</f>
        <v/>
      </c>
      <c r="Y144">
        <f>HYPERLINK("https://klasma.github.io/Logging_VILHELMINA/tillsynsmail/A 33672-2023.docx", "A 33672-2023")</f>
        <v/>
      </c>
    </row>
    <row r="145" ht="15" customHeight="1">
      <c r="A145" t="inlineStr">
        <is>
          <t>A 61272-2018</t>
        </is>
      </c>
      <c r="B145" s="1" t="n">
        <v>43423</v>
      </c>
      <c r="C145" s="1" t="n">
        <v>45204</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HYPERLINK("https://klasma.github.io/Logging_ASELE/artfynd/A 61272-2018.xlsx", "A 61272-2018")</f>
        <v/>
      </c>
      <c r="T145">
        <f>HYPERLINK("https://klasma.github.io/Logging_ASELE/kartor/A 61272-2018.png", "A 61272-2018")</f>
        <v/>
      </c>
      <c r="V145">
        <f>HYPERLINK("https://klasma.github.io/Logging_ASELE/klagomål/A 61272-2018.docx", "A 61272-2018")</f>
        <v/>
      </c>
      <c r="W145">
        <f>HYPERLINK("https://klasma.github.io/Logging_ASELE/klagomålsmail/A 61272-2018.docx", "A 61272-2018")</f>
        <v/>
      </c>
      <c r="X145">
        <f>HYPERLINK("https://klasma.github.io/Logging_ASELE/tillsyn/A 61272-2018.docx", "A 61272-2018")</f>
        <v/>
      </c>
      <c r="Y145">
        <f>HYPERLINK("https://klasma.github.io/Logging_ASELE/tillsynsmail/A 61272-2018.docx", "A 61272-2018")</f>
        <v/>
      </c>
    </row>
    <row r="146" ht="15" customHeight="1">
      <c r="A146" t="inlineStr">
        <is>
          <t>A 67683-2018</t>
        </is>
      </c>
      <c r="B146" s="1" t="n">
        <v>43440</v>
      </c>
      <c r="C146" s="1" t="n">
        <v>45204</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HYPERLINK("https://klasma.github.io/Logging_SKELLEFTEA/artfynd/A 67683-2018.xlsx", "A 67683-2018")</f>
        <v/>
      </c>
      <c r="T146">
        <f>HYPERLINK("https://klasma.github.io/Logging_SKELLEFTEA/kartor/A 67683-2018.png", "A 67683-2018")</f>
        <v/>
      </c>
      <c r="V146">
        <f>HYPERLINK("https://klasma.github.io/Logging_SKELLEFTEA/klagomål/A 67683-2018.docx", "A 67683-2018")</f>
        <v/>
      </c>
      <c r="W146">
        <f>HYPERLINK("https://klasma.github.io/Logging_SKELLEFTEA/klagomålsmail/A 67683-2018.docx", "A 67683-2018")</f>
        <v/>
      </c>
      <c r="X146">
        <f>HYPERLINK("https://klasma.github.io/Logging_SKELLEFTEA/tillsyn/A 67683-2018.docx", "A 67683-2018")</f>
        <v/>
      </c>
      <c r="Y146">
        <f>HYPERLINK("https://klasma.github.io/Logging_SKELLEFTEA/tillsynsmail/A 67683-2018.docx", "A 67683-2018")</f>
        <v/>
      </c>
    </row>
    <row r="147" ht="15" customHeight="1">
      <c r="A147" t="inlineStr">
        <is>
          <t>A 7824-2019</t>
        </is>
      </c>
      <c r="B147" s="1" t="n">
        <v>43500</v>
      </c>
      <c r="C147" s="1" t="n">
        <v>45204</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HYPERLINK("https://klasma.github.io/Logging_STORUMAN/artfynd/A 7824-2019.xlsx", "A 7824-2019")</f>
        <v/>
      </c>
      <c r="T147">
        <f>HYPERLINK("https://klasma.github.io/Logging_STORUMAN/kartor/A 7824-2019.png", "A 7824-2019")</f>
        <v/>
      </c>
      <c r="V147">
        <f>HYPERLINK("https://klasma.github.io/Logging_STORUMAN/klagomål/A 7824-2019.docx", "A 7824-2019")</f>
        <v/>
      </c>
      <c r="W147">
        <f>HYPERLINK("https://klasma.github.io/Logging_STORUMAN/klagomålsmail/A 7824-2019.docx", "A 7824-2019")</f>
        <v/>
      </c>
      <c r="X147">
        <f>HYPERLINK("https://klasma.github.io/Logging_STORUMAN/tillsyn/A 7824-2019.docx", "A 7824-2019")</f>
        <v/>
      </c>
      <c r="Y147">
        <f>HYPERLINK("https://klasma.github.io/Logging_STORUMAN/tillsynsmail/A 7824-2019.docx", "A 7824-2019")</f>
        <v/>
      </c>
    </row>
    <row r="148" ht="15" customHeight="1">
      <c r="A148" t="inlineStr">
        <is>
          <t>A 8784-2019</t>
        </is>
      </c>
      <c r="B148" s="1" t="n">
        <v>43501</v>
      </c>
      <c r="C148" s="1" t="n">
        <v>45204</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HYPERLINK("https://klasma.github.io/Logging_SKELLEFTEA/artfynd/A 8784-2019.xlsx", "A 8784-2019")</f>
        <v/>
      </c>
      <c r="T148">
        <f>HYPERLINK("https://klasma.github.io/Logging_SKELLEFTEA/kartor/A 8784-2019.png", "A 8784-2019")</f>
        <v/>
      </c>
      <c r="V148">
        <f>HYPERLINK("https://klasma.github.io/Logging_SKELLEFTEA/klagomål/A 8784-2019.docx", "A 8784-2019")</f>
        <v/>
      </c>
      <c r="W148">
        <f>HYPERLINK("https://klasma.github.io/Logging_SKELLEFTEA/klagomålsmail/A 8784-2019.docx", "A 8784-2019")</f>
        <v/>
      </c>
      <c r="X148">
        <f>HYPERLINK("https://klasma.github.io/Logging_SKELLEFTEA/tillsyn/A 8784-2019.docx", "A 8784-2019")</f>
        <v/>
      </c>
      <c r="Y148">
        <f>HYPERLINK("https://klasma.github.io/Logging_SKELLEFTEA/tillsynsmail/A 8784-2019.docx", "A 8784-2019")</f>
        <v/>
      </c>
    </row>
    <row r="149" ht="15" customHeight="1">
      <c r="A149" t="inlineStr">
        <is>
          <t>A 68176-2019</t>
        </is>
      </c>
      <c r="B149" s="1" t="n">
        <v>43817</v>
      </c>
      <c r="C149" s="1" t="n">
        <v>45204</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HYPERLINK("https://klasma.github.io/Logging_LYCKSELE/artfynd/A 68176-2019.xlsx", "A 68176-2019")</f>
        <v/>
      </c>
      <c r="T149">
        <f>HYPERLINK("https://klasma.github.io/Logging_LYCKSELE/kartor/A 68176-2019.png", "A 68176-2019")</f>
        <v/>
      </c>
      <c r="V149">
        <f>HYPERLINK("https://klasma.github.io/Logging_LYCKSELE/klagomål/A 68176-2019.docx", "A 68176-2019")</f>
        <v/>
      </c>
      <c r="W149">
        <f>HYPERLINK("https://klasma.github.io/Logging_LYCKSELE/klagomålsmail/A 68176-2019.docx", "A 68176-2019")</f>
        <v/>
      </c>
      <c r="X149">
        <f>HYPERLINK("https://klasma.github.io/Logging_LYCKSELE/tillsyn/A 68176-2019.docx", "A 68176-2019")</f>
        <v/>
      </c>
      <c r="Y149">
        <f>HYPERLINK("https://klasma.github.io/Logging_LYCKSELE/tillsynsmail/A 68176-2019.docx", "A 68176-2019")</f>
        <v/>
      </c>
    </row>
    <row r="150" ht="15" customHeight="1">
      <c r="A150" t="inlineStr">
        <is>
          <t>A 2196-2021</t>
        </is>
      </c>
      <c r="B150" s="1" t="n">
        <v>44211</v>
      </c>
      <c r="C150" s="1" t="n">
        <v>45204</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HYPERLINK("https://klasma.github.io/Logging_VILHELMINA/artfynd/A 2196-2021.xlsx", "A 2196-2021")</f>
        <v/>
      </c>
      <c r="T150">
        <f>HYPERLINK("https://klasma.github.io/Logging_VILHELMINA/kartor/A 2196-2021.png", "A 2196-2021")</f>
        <v/>
      </c>
      <c r="V150">
        <f>HYPERLINK("https://klasma.github.io/Logging_VILHELMINA/klagomål/A 2196-2021.docx", "A 2196-2021")</f>
        <v/>
      </c>
      <c r="W150">
        <f>HYPERLINK("https://klasma.github.io/Logging_VILHELMINA/klagomålsmail/A 2196-2021.docx", "A 2196-2021")</f>
        <v/>
      </c>
      <c r="X150">
        <f>HYPERLINK("https://klasma.github.io/Logging_VILHELMINA/tillsyn/A 2196-2021.docx", "A 2196-2021")</f>
        <v/>
      </c>
      <c r="Y150">
        <f>HYPERLINK("https://klasma.github.io/Logging_VILHELMINA/tillsynsmail/A 2196-2021.docx", "A 2196-2021")</f>
        <v/>
      </c>
    </row>
    <row r="151" ht="15" customHeight="1">
      <c r="A151" t="inlineStr">
        <is>
          <t>A 24051-2021</t>
        </is>
      </c>
      <c r="B151" s="1" t="n">
        <v>44335</v>
      </c>
      <c r="C151" s="1" t="n">
        <v>45204</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HYPERLINK("https://klasma.github.io/Logging_NORDMALING/artfynd/A 24051-2021.xlsx", "A 24051-2021")</f>
        <v/>
      </c>
      <c r="T151">
        <f>HYPERLINK("https://klasma.github.io/Logging_NORDMALING/kartor/A 24051-2021.png", "A 24051-2021")</f>
        <v/>
      </c>
      <c r="V151">
        <f>HYPERLINK("https://klasma.github.io/Logging_NORDMALING/klagomål/A 24051-2021.docx", "A 24051-2021")</f>
        <v/>
      </c>
      <c r="W151">
        <f>HYPERLINK("https://klasma.github.io/Logging_NORDMALING/klagomålsmail/A 24051-2021.docx", "A 24051-2021")</f>
        <v/>
      </c>
      <c r="X151">
        <f>HYPERLINK("https://klasma.github.io/Logging_NORDMALING/tillsyn/A 24051-2021.docx", "A 24051-2021")</f>
        <v/>
      </c>
      <c r="Y151">
        <f>HYPERLINK("https://klasma.github.io/Logging_NORDMALING/tillsynsmail/A 24051-2021.docx", "A 24051-2021")</f>
        <v/>
      </c>
    </row>
    <row r="152" ht="15" customHeight="1">
      <c r="A152" t="inlineStr">
        <is>
          <t>A 44892-2021</t>
        </is>
      </c>
      <c r="B152" s="1" t="n">
        <v>44438</v>
      </c>
      <c r="C152" s="1" t="n">
        <v>45204</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HYPERLINK("https://klasma.github.io/Logging_SKELLEFTEA/artfynd/A 44892-2021.xlsx", "A 44892-2021")</f>
        <v/>
      </c>
      <c r="T152">
        <f>HYPERLINK("https://klasma.github.io/Logging_SKELLEFTEA/kartor/A 44892-2021.png", "A 44892-2021")</f>
        <v/>
      </c>
      <c r="V152">
        <f>HYPERLINK("https://klasma.github.io/Logging_SKELLEFTEA/klagomål/A 44892-2021.docx", "A 44892-2021")</f>
        <v/>
      </c>
      <c r="W152">
        <f>HYPERLINK("https://klasma.github.io/Logging_SKELLEFTEA/klagomålsmail/A 44892-2021.docx", "A 44892-2021")</f>
        <v/>
      </c>
      <c r="X152">
        <f>HYPERLINK("https://klasma.github.io/Logging_SKELLEFTEA/tillsyn/A 44892-2021.docx", "A 44892-2021")</f>
        <v/>
      </c>
      <c r="Y152">
        <f>HYPERLINK("https://klasma.github.io/Logging_SKELLEFTEA/tillsynsmail/A 44892-2021.docx", "A 44892-2021")</f>
        <v/>
      </c>
    </row>
    <row r="153" ht="15" customHeight="1">
      <c r="A153" t="inlineStr">
        <is>
          <t>A 72168-2021</t>
        </is>
      </c>
      <c r="B153" s="1" t="n">
        <v>44543</v>
      </c>
      <c r="C153" s="1" t="n">
        <v>45204</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HYPERLINK("https://klasma.github.io/Logging_STORUMAN/artfynd/A 72168-2021.xlsx", "A 72168-2021")</f>
        <v/>
      </c>
      <c r="T153">
        <f>HYPERLINK("https://klasma.github.io/Logging_STORUMAN/kartor/A 72168-2021.png", "A 72168-2021")</f>
        <v/>
      </c>
      <c r="V153">
        <f>HYPERLINK("https://klasma.github.io/Logging_STORUMAN/klagomål/A 72168-2021.docx", "A 72168-2021")</f>
        <v/>
      </c>
      <c r="W153">
        <f>HYPERLINK("https://klasma.github.io/Logging_STORUMAN/klagomålsmail/A 72168-2021.docx", "A 72168-2021")</f>
        <v/>
      </c>
      <c r="X153">
        <f>HYPERLINK("https://klasma.github.io/Logging_STORUMAN/tillsyn/A 72168-2021.docx", "A 72168-2021")</f>
        <v/>
      </c>
      <c r="Y153">
        <f>HYPERLINK("https://klasma.github.io/Logging_STORUMAN/tillsynsmail/A 72168-2021.docx", "A 72168-2021")</f>
        <v/>
      </c>
    </row>
    <row r="154" ht="15" customHeight="1">
      <c r="A154" t="inlineStr">
        <is>
          <t>A 41407-2022</t>
        </is>
      </c>
      <c r="B154" s="1" t="n">
        <v>44826</v>
      </c>
      <c r="C154" s="1" t="n">
        <v>45204</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HYPERLINK("https://klasma.github.io/Logging_UMEA/artfynd/A 41407-2022.xlsx", "A 41407-2022")</f>
        <v/>
      </c>
      <c r="T154">
        <f>HYPERLINK("https://klasma.github.io/Logging_UMEA/kartor/A 41407-2022.png", "A 41407-2022")</f>
        <v/>
      </c>
      <c r="V154">
        <f>HYPERLINK("https://klasma.github.io/Logging_UMEA/klagomål/A 41407-2022.docx", "A 41407-2022")</f>
        <v/>
      </c>
      <c r="W154">
        <f>HYPERLINK("https://klasma.github.io/Logging_UMEA/klagomålsmail/A 41407-2022.docx", "A 41407-2022")</f>
        <v/>
      </c>
      <c r="X154">
        <f>HYPERLINK("https://klasma.github.io/Logging_UMEA/tillsyn/A 41407-2022.docx", "A 41407-2022")</f>
        <v/>
      </c>
      <c r="Y154">
        <f>HYPERLINK("https://klasma.github.io/Logging_UMEA/tillsynsmail/A 41407-2022.docx", "A 41407-2022")</f>
        <v/>
      </c>
    </row>
    <row r="155" ht="15" customHeight="1">
      <c r="A155" t="inlineStr">
        <is>
          <t>A 45364-2022</t>
        </is>
      </c>
      <c r="B155" s="1" t="n">
        <v>44841</v>
      </c>
      <c r="C155" s="1" t="n">
        <v>45204</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HYPERLINK("https://klasma.github.io/Logging_STORUMAN/artfynd/A 45364-2022.xlsx", "A 45364-2022")</f>
        <v/>
      </c>
      <c r="T155">
        <f>HYPERLINK("https://klasma.github.io/Logging_STORUMAN/kartor/A 45364-2022.png", "A 45364-2022")</f>
        <v/>
      </c>
      <c r="V155">
        <f>HYPERLINK("https://klasma.github.io/Logging_STORUMAN/klagomål/A 45364-2022.docx", "A 45364-2022")</f>
        <v/>
      </c>
      <c r="W155">
        <f>HYPERLINK("https://klasma.github.io/Logging_STORUMAN/klagomålsmail/A 45364-2022.docx", "A 45364-2022")</f>
        <v/>
      </c>
      <c r="X155">
        <f>HYPERLINK("https://klasma.github.io/Logging_STORUMAN/tillsyn/A 45364-2022.docx", "A 45364-2022")</f>
        <v/>
      </c>
      <c r="Y155">
        <f>HYPERLINK("https://klasma.github.io/Logging_STORUMAN/tillsynsmail/A 45364-2022.docx", "A 45364-2022")</f>
        <v/>
      </c>
    </row>
    <row r="156" ht="15" customHeight="1">
      <c r="A156" t="inlineStr">
        <is>
          <t>A 15738-2023</t>
        </is>
      </c>
      <c r="B156" s="1" t="n">
        <v>45020</v>
      </c>
      <c r="C156" s="1" t="n">
        <v>45204</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HYPERLINK("https://klasma.github.io/Logging_UMEA/artfynd/A 15738-2023.xlsx", "A 15738-2023")</f>
        <v/>
      </c>
      <c r="T156">
        <f>HYPERLINK("https://klasma.github.io/Logging_UMEA/kartor/A 15738-2023.png", "A 15738-2023")</f>
        <v/>
      </c>
      <c r="V156">
        <f>HYPERLINK("https://klasma.github.io/Logging_UMEA/klagomål/A 15738-2023.docx", "A 15738-2023")</f>
        <v/>
      </c>
      <c r="W156">
        <f>HYPERLINK("https://klasma.github.io/Logging_UMEA/klagomålsmail/A 15738-2023.docx", "A 15738-2023")</f>
        <v/>
      </c>
      <c r="X156">
        <f>HYPERLINK("https://klasma.github.io/Logging_UMEA/tillsyn/A 15738-2023.docx", "A 15738-2023")</f>
        <v/>
      </c>
      <c r="Y156">
        <f>HYPERLINK("https://klasma.github.io/Logging_UMEA/tillsynsmail/A 15738-2023.docx", "A 15738-2023")</f>
        <v/>
      </c>
    </row>
    <row r="157" ht="15" customHeight="1">
      <c r="A157" t="inlineStr">
        <is>
          <t>A 28001-2023</t>
        </is>
      </c>
      <c r="B157" s="1" t="n">
        <v>45098</v>
      </c>
      <c r="C157" s="1" t="n">
        <v>45204</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HYPERLINK("https://klasma.github.io/Logging_STORUMAN/artfynd/A 28001-2023.xlsx", "A 28001-2023")</f>
        <v/>
      </c>
      <c r="T157">
        <f>HYPERLINK("https://klasma.github.io/Logging_STORUMAN/kartor/A 28001-2023.png", "A 28001-2023")</f>
        <v/>
      </c>
      <c r="V157">
        <f>HYPERLINK("https://klasma.github.io/Logging_STORUMAN/klagomål/A 28001-2023.docx", "A 28001-2023")</f>
        <v/>
      </c>
      <c r="W157">
        <f>HYPERLINK("https://klasma.github.io/Logging_STORUMAN/klagomålsmail/A 28001-2023.docx", "A 28001-2023")</f>
        <v/>
      </c>
      <c r="X157">
        <f>HYPERLINK("https://klasma.github.io/Logging_STORUMAN/tillsyn/A 28001-2023.docx", "A 28001-2023")</f>
        <v/>
      </c>
      <c r="Y157">
        <f>HYPERLINK("https://klasma.github.io/Logging_STORUMAN/tillsynsmail/A 28001-2023.docx", "A 28001-2023")</f>
        <v/>
      </c>
    </row>
    <row r="158" ht="15" customHeight="1">
      <c r="A158" t="inlineStr">
        <is>
          <t>A 36220-2023</t>
        </is>
      </c>
      <c r="B158" s="1" t="n">
        <v>45149</v>
      </c>
      <c r="C158" s="1" t="n">
        <v>45204</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HYPERLINK("https://klasma.github.io/Logging_VILHELMINA/artfynd/A 36220-2023.xlsx", "A 36220-2023")</f>
        <v/>
      </c>
      <c r="T158">
        <f>HYPERLINK("https://klasma.github.io/Logging_VILHELMINA/kartor/A 36220-2023.png", "A 36220-2023")</f>
        <v/>
      </c>
      <c r="V158">
        <f>HYPERLINK("https://klasma.github.io/Logging_VILHELMINA/klagomål/A 36220-2023.docx", "A 36220-2023")</f>
        <v/>
      </c>
      <c r="W158">
        <f>HYPERLINK("https://klasma.github.io/Logging_VILHELMINA/klagomålsmail/A 36220-2023.docx", "A 36220-2023")</f>
        <v/>
      </c>
      <c r="X158">
        <f>HYPERLINK("https://klasma.github.io/Logging_VILHELMINA/tillsyn/A 36220-2023.docx", "A 36220-2023")</f>
        <v/>
      </c>
      <c r="Y158">
        <f>HYPERLINK("https://klasma.github.io/Logging_VILHELMINA/tillsynsmail/A 36220-2023.docx", "A 36220-2023")</f>
        <v/>
      </c>
    </row>
    <row r="159" ht="15" customHeight="1">
      <c r="A159" t="inlineStr">
        <is>
          <t>A 41940-2018</t>
        </is>
      </c>
      <c r="B159" s="1" t="n">
        <v>43350</v>
      </c>
      <c r="C159" s="1" t="n">
        <v>45204</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HYPERLINK("https://klasma.github.io/Logging_SKELLEFTEA/artfynd/A 41940-2018.xlsx", "A 41940-2018")</f>
        <v/>
      </c>
      <c r="T159">
        <f>HYPERLINK("https://klasma.github.io/Logging_SKELLEFTEA/kartor/A 41940-2018.png", "A 41940-2018")</f>
        <v/>
      </c>
      <c r="V159">
        <f>HYPERLINK("https://klasma.github.io/Logging_SKELLEFTEA/klagomål/A 41940-2018.docx", "A 41940-2018")</f>
        <v/>
      </c>
      <c r="W159">
        <f>HYPERLINK("https://klasma.github.io/Logging_SKELLEFTEA/klagomålsmail/A 41940-2018.docx", "A 41940-2018")</f>
        <v/>
      </c>
      <c r="X159">
        <f>HYPERLINK("https://klasma.github.io/Logging_SKELLEFTEA/tillsyn/A 41940-2018.docx", "A 41940-2018")</f>
        <v/>
      </c>
      <c r="Y159">
        <f>HYPERLINK("https://klasma.github.io/Logging_SKELLEFTEA/tillsynsmail/A 41940-2018.docx", "A 41940-2018")</f>
        <v/>
      </c>
    </row>
    <row r="160" ht="15" customHeight="1">
      <c r="A160" t="inlineStr">
        <is>
          <t>A 46007-2018</t>
        </is>
      </c>
      <c r="B160" s="1" t="n">
        <v>43364</v>
      </c>
      <c r="C160" s="1" t="n">
        <v>45204</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HYPERLINK("https://klasma.github.io/Logging_DOROTEA/artfynd/A 46007-2018.xlsx", "A 46007-2018")</f>
        <v/>
      </c>
      <c r="T160">
        <f>HYPERLINK("https://klasma.github.io/Logging_DOROTEA/kartor/A 46007-2018.png", "A 46007-2018")</f>
        <v/>
      </c>
      <c r="V160">
        <f>HYPERLINK("https://klasma.github.io/Logging_DOROTEA/klagomål/A 46007-2018.docx", "A 46007-2018")</f>
        <v/>
      </c>
      <c r="W160">
        <f>HYPERLINK("https://klasma.github.io/Logging_DOROTEA/klagomålsmail/A 46007-2018.docx", "A 46007-2018")</f>
        <v/>
      </c>
      <c r="X160">
        <f>HYPERLINK("https://klasma.github.io/Logging_DOROTEA/tillsyn/A 46007-2018.docx", "A 46007-2018")</f>
        <v/>
      </c>
      <c r="Y160">
        <f>HYPERLINK("https://klasma.github.io/Logging_DOROTEA/tillsynsmail/A 46007-2018.docx", "A 46007-2018")</f>
        <v/>
      </c>
    </row>
    <row r="161" ht="15" customHeight="1">
      <c r="A161" t="inlineStr">
        <is>
          <t>A 51814-2018</t>
        </is>
      </c>
      <c r="B161" s="1" t="n">
        <v>43381</v>
      </c>
      <c r="C161" s="1" t="n">
        <v>45204</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HYPERLINK("https://klasma.github.io/Logging_VILHELMINA/artfynd/A 51814-2018.xlsx", "A 51814-2018")</f>
        <v/>
      </c>
      <c r="T161">
        <f>HYPERLINK("https://klasma.github.io/Logging_VILHELMINA/kartor/A 51814-2018.png", "A 51814-2018")</f>
        <v/>
      </c>
      <c r="V161">
        <f>HYPERLINK("https://klasma.github.io/Logging_VILHELMINA/klagomål/A 51814-2018.docx", "A 51814-2018")</f>
        <v/>
      </c>
      <c r="W161">
        <f>HYPERLINK("https://klasma.github.io/Logging_VILHELMINA/klagomålsmail/A 51814-2018.docx", "A 51814-2018")</f>
        <v/>
      </c>
      <c r="X161">
        <f>HYPERLINK("https://klasma.github.io/Logging_VILHELMINA/tillsyn/A 51814-2018.docx", "A 51814-2018")</f>
        <v/>
      </c>
      <c r="Y161">
        <f>HYPERLINK("https://klasma.github.io/Logging_VILHELMINA/tillsynsmail/A 51814-2018.docx", "A 51814-2018")</f>
        <v/>
      </c>
    </row>
    <row r="162" ht="15" customHeight="1">
      <c r="A162" t="inlineStr">
        <is>
          <t>A 56677-2018</t>
        </is>
      </c>
      <c r="B162" s="1" t="n">
        <v>43402</v>
      </c>
      <c r="C162" s="1" t="n">
        <v>45204</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HYPERLINK("https://klasma.github.io/Logging_ASELE/artfynd/A 56677-2018.xlsx", "A 56677-2018")</f>
        <v/>
      </c>
      <c r="T162">
        <f>HYPERLINK("https://klasma.github.io/Logging_ASELE/kartor/A 56677-2018.png", "A 56677-2018")</f>
        <v/>
      </c>
      <c r="V162">
        <f>HYPERLINK("https://klasma.github.io/Logging_ASELE/klagomål/A 56677-2018.docx", "A 56677-2018")</f>
        <v/>
      </c>
      <c r="W162">
        <f>HYPERLINK("https://klasma.github.io/Logging_ASELE/klagomålsmail/A 56677-2018.docx", "A 56677-2018")</f>
        <v/>
      </c>
      <c r="X162">
        <f>HYPERLINK("https://klasma.github.io/Logging_ASELE/tillsyn/A 56677-2018.docx", "A 56677-2018")</f>
        <v/>
      </c>
      <c r="Y162">
        <f>HYPERLINK("https://klasma.github.io/Logging_ASELE/tillsynsmail/A 56677-2018.docx", "A 56677-2018")</f>
        <v/>
      </c>
    </row>
    <row r="163" ht="15" customHeight="1">
      <c r="A163" t="inlineStr">
        <is>
          <t>A 67687-2018</t>
        </is>
      </c>
      <c r="B163" s="1" t="n">
        <v>43440</v>
      </c>
      <c r="C163" s="1" t="n">
        <v>45204</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HYPERLINK("https://klasma.github.io/Logging_SKELLEFTEA/artfynd/A 67687-2018.xlsx", "A 67687-2018")</f>
        <v/>
      </c>
      <c r="T163">
        <f>HYPERLINK("https://klasma.github.io/Logging_SKELLEFTEA/kartor/A 67687-2018.png", "A 67687-2018")</f>
        <v/>
      </c>
      <c r="V163">
        <f>HYPERLINK("https://klasma.github.io/Logging_SKELLEFTEA/klagomål/A 67687-2018.docx", "A 67687-2018")</f>
        <v/>
      </c>
      <c r="W163">
        <f>HYPERLINK("https://klasma.github.io/Logging_SKELLEFTEA/klagomålsmail/A 67687-2018.docx", "A 67687-2018")</f>
        <v/>
      </c>
      <c r="X163">
        <f>HYPERLINK("https://klasma.github.io/Logging_SKELLEFTEA/tillsyn/A 67687-2018.docx", "A 67687-2018")</f>
        <v/>
      </c>
      <c r="Y163">
        <f>HYPERLINK("https://klasma.github.io/Logging_SKELLEFTEA/tillsynsmail/A 67687-2018.docx", "A 67687-2018")</f>
        <v/>
      </c>
    </row>
    <row r="164" ht="15" customHeight="1">
      <c r="A164" t="inlineStr">
        <is>
          <t>A 11017-2019</t>
        </is>
      </c>
      <c r="B164" s="1" t="n">
        <v>43515</v>
      </c>
      <c r="C164" s="1" t="n">
        <v>45204</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HYPERLINK("https://klasma.github.io/Logging_SORSELE/artfynd/A 11017-2019.xlsx", "A 11017-2019")</f>
        <v/>
      </c>
      <c r="T164">
        <f>HYPERLINK("https://klasma.github.io/Logging_SORSELE/kartor/A 11017-2019.png", "A 11017-2019")</f>
        <v/>
      </c>
      <c r="V164">
        <f>HYPERLINK("https://klasma.github.io/Logging_SORSELE/klagomål/A 11017-2019.docx", "A 11017-2019")</f>
        <v/>
      </c>
      <c r="W164">
        <f>HYPERLINK("https://klasma.github.io/Logging_SORSELE/klagomålsmail/A 11017-2019.docx", "A 11017-2019")</f>
        <v/>
      </c>
      <c r="X164">
        <f>HYPERLINK("https://klasma.github.io/Logging_SORSELE/tillsyn/A 11017-2019.docx", "A 11017-2019")</f>
        <v/>
      </c>
      <c r="Y164">
        <f>HYPERLINK("https://klasma.github.io/Logging_SORSELE/tillsynsmail/A 11017-2019.docx", "A 11017-2019")</f>
        <v/>
      </c>
    </row>
    <row r="165" ht="15" customHeight="1">
      <c r="A165" t="inlineStr">
        <is>
          <t>A 25653-2019</t>
        </is>
      </c>
      <c r="B165" s="1" t="n">
        <v>43602</v>
      </c>
      <c r="C165" s="1" t="n">
        <v>45204</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HYPERLINK("https://klasma.github.io/Logging_SKELLEFTEA/artfynd/A 25653-2019.xlsx", "A 25653-2019")</f>
        <v/>
      </c>
      <c r="T165">
        <f>HYPERLINK("https://klasma.github.io/Logging_SKELLEFTEA/kartor/A 25653-2019.png", "A 25653-2019")</f>
        <v/>
      </c>
      <c r="V165">
        <f>HYPERLINK("https://klasma.github.io/Logging_SKELLEFTEA/klagomål/A 25653-2019.docx", "A 25653-2019")</f>
        <v/>
      </c>
      <c r="W165">
        <f>HYPERLINK("https://klasma.github.io/Logging_SKELLEFTEA/klagomålsmail/A 25653-2019.docx", "A 25653-2019")</f>
        <v/>
      </c>
      <c r="X165">
        <f>HYPERLINK("https://klasma.github.io/Logging_SKELLEFTEA/tillsyn/A 25653-2019.docx", "A 25653-2019")</f>
        <v/>
      </c>
      <c r="Y165">
        <f>HYPERLINK("https://klasma.github.io/Logging_SKELLEFTEA/tillsynsmail/A 25653-2019.docx", "A 25653-2019")</f>
        <v/>
      </c>
    </row>
    <row r="166" ht="15" customHeight="1">
      <c r="A166" t="inlineStr">
        <is>
          <t>A 31314-2019</t>
        </is>
      </c>
      <c r="B166" s="1" t="n">
        <v>43641</v>
      </c>
      <c r="C166" s="1" t="n">
        <v>45204</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HYPERLINK("https://klasma.github.io/Logging_UMEA/artfynd/A 31314-2019.xlsx", "A 31314-2019")</f>
        <v/>
      </c>
      <c r="T166">
        <f>HYPERLINK("https://klasma.github.io/Logging_UMEA/kartor/A 31314-2019.png", "A 31314-2019")</f>
        <v/>
      </c>
      <c r="V166">
        <f>HYPERLINK("https://klasma.github.io/Logging_UMEA/klagomål/A 31314-2019.docx", "A 31314-2019")</f>
        <v/>
      </c>
      <c r="W166">
        <f>HYPERLINK("https://klasma.github.io/Logging_UMEA/klagomålsmail/A 31314-2019.docx", "A 31314-2019")</f>
        <v/>
      </c>
      <c r="X166">
        <f>HYPERLINK("https://klasma.github.io/Logging_UMEA/tillsyn/A 31314-2019.docx", "A 31314-2019")</f>
        <v/>
      </c>
      <c r="Y166">
        <f>HYPERLINK("https://klasma.github.io/Logging_UMEA/tillsynsmail/A 31314-2019.docx", "A 31314-2019")</f>
        <v/>
      </c>
    </row>
    <row r="167" ht="15" customHeight="1">
      <c r="A167" t="inlineStr">
        <is>
          <t>A 32165-2019</t>
        </is>
      </c>
      <c r="B167" s="1" t="n">
        <v>43643</v>
      </c>
      <c r="C167" s="1" t="n">
        <v>45204</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HYPERLINK("https://klasma.github.io/Logging_VANNAS/artfynd/A 32165-2019.xlsx", "A 32165-2019")</f>
        <v/>
      </c>
      <c r="T167">
        <f>HYPERLINK("https://klasma.github.io/Logging_VANNAS/kartor/A 32165-2019.png", "A 32165-2019")</f>
        <v/>
      </c>
      <c r="U167">
        <f>HYPERLINK("https://klasma.github.io/Logging_VANNAS/knärot/A 32165-2019.png", "A 32165-2019")</f>
        <v/>
      </c>
      <c r="V167">
        <f>HYPERLINK("https://klasma.github.io/Logging_VANNAS/klagomål/A 32165-2019.docx", "A 32165-2019")</f>
        <v/>
      </c>
      <c r="W167">
        <f>HYPERLINK("https://klasma.github.io/Logging_VANNAS/klagomålsmail/A 32165-2019.docx", "A 32165-2019")</f>
        <v/>
      </c>
      <c r="X167">
        <f>HYPERLINK("https://klasma.github.io/Logging_VANNAS/tillsyn/A 32165-2019.docx", "A 32165-2019")</f>
        <v/>
      </c>
      <c r="Y167">
        <f>HYPERLINK("https://klasma.github.io/Logging_VANNAS/tillsynsmail/A 32165-2019.docx", "A 32165-2019")</f>
        <v/>
      </c>
    </row>
    <row r="168" ht="15" customHeight="1">
      <c r="A168" t="inlineStr">
        <is>
          <t>A 34921-2019</t>
        </is>
      </c>
      <c r="B168" s="1" t="n">
        <v>43658</v>
      </c>
      <c r="C168" s="1" t="n">
        <v>45204</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HYPERLINK("https://klasma.github.io/Logging_NORSJO/artfynd/A 34921-2019.xlsx", "A 34921-2019")</f>
        <v/>
      </c>
      <c r="T168">
        <f>HYPERLINK("https://klasma.github.io/Logging_NORSJO/kartor/A 34921-2019.png", "A 34921-2019")</f>
        <v/>
      </c>
      <c r="V168">
        <f>HYPERLINK("https://klasma.github.io/Logging_NORSJO/klagomål/A 34921-2019.docx", "A 34921-2019")</f>
        <v/>
      </c>
      <c r="W168">
        <f>HYPERLINK("https://klasma.github.io/Logging_NORSJO/klagomålsmail/A 34921-2019.docx", "A 34921-2019")</f>
        <v/>
      </c>
      <c r="X168">
        <f>HYPERLINK("https://klasma.github.io/Logging_NORSJO/tillsyn/A 34921-2019.docx", "A 34921-2019")</f>
        <v/>
      </c>
      <c r="Y168">
        <f>HYPERLINK("https://klasma.github.io/Logging_NORSJO/tillsynsmail/A 34921-2019.docx", "A 34921-2019")</f>
        <v/>
      </c>
    </row>
    <row r="169" ht="15" customHeight="1">
      <c r="A169" t="inlineStr">
        <is>
          <t>A 37271-2019</t>
        </is>
      </c>
      <c r="B169" s="1" t="n">
        <v>43677</v>
      </c>
      <c r="C169" s="1" t="n">
        <v>45204</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HYPERLINK("https://klasma.github.io/Logging_VILHELMINA/artfynd/A 37271-2019.xlsx", "A 37271-2019")</f>
        <v/>
      </c>
      <c r="T169">
        <f>HYPERLINK("https://klasma.github.io/Logging_VILHELMINA/kartor/A 37271-2019.png", "A 37271-2019")</f>
        <v/>
      </c>
      <c r="V169">
        <f>HYPERLINK("https://klasma.github.io/Logging_VILHELMINA/klagomål/A 37271-2019.docx", "A 37271-2019")</f>
        <v/>
      </c>
      <c r="W169">
        <f>HYPERLINK("https://klasma.github.io/Logging_VILHELMINA/klagomålsmail/A 37271-2019.docx", "A 37271-2019")</f>
        <v/>
      </c>
      <c r="X169">
        <f>HYPERLINK("https://klasma.github.io/Logging_VILHELMINA/tillsyn/A 37271-2019.docx", "A 37271-2019")</f>
        <v/>
      </c>
      <c r="Y169">
        <f>HYPERLINK("https://klasma.github.io/Logging_VILHELMINA/tillsynsmail/A 37271-2019.docx", "A 37271-2019")</f>
        <v/>
      </c>
    </row>
    <row r="170" ht="15" customHeight="1">
      <c r="A170" t="inlineStr">
        <is>
          <t>A 51856-2019</t>
        </is>
      </c>
      <c r="B170" s="1" t="n">
        <v>43741</v>
      </c>
      <c r="C170" s="1" t="n">
        <v>45204</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HYPERLINK("https://klasma.github.io/Logging_STORUMAN/artfynd/A 51856-2019.xlsx", "A 51856-2019")</f>
        <v/>
      </c>
      <c r="T170">
        <f>HYPERLINK("https://klasma.github.io/Logging_STORUMAN/kartor/A 51856-2019.png", "A 51856-2019")</f>
        <v/>
      </c>
      <c r="U170">
        <f>HYPERLINK("https://klasma.github.io/Logging_STORUMAN/knärot/A 51856-2019.png", "A 51856-2019")</f>
        <v/>
      </c>
      <c r="V170">
        <f>HYPERLINK("https://klasma.github.io/Logging_STORUMAN/klagomål/A 51856-2019.docx", "A 51856-2019")</f>
        <v/>
      </c>
      <c r="W170">
        <f>HYPERLINK("https://klasma.github.io/Logging_STORUMAN/klagomålsmail/A 51856-2019.docx", "A 51856-2019")</f>
        <v/>
      </c>
      <c r="X170">
        <f>HYPERLINK("https://klasma.github.io/Logging_STORUMAN/tillsyn/A 51856-2019.docx", "A 51856-2019")</f>
        <v/>
      </c>
      <c r="Y170">
        <f>HYPERLINK("https://klasma.github.io/Logging_STORUMAN/tillsynsmail/A 51856-2019.docx", "A 51856-2019")</f>
        <v/>
      </c>
    </row>
    <row r="171" ht="15" customHeight="1">
      <c r="A171" t="inlineStr">
        <is>
          <t>A 63587-2019</t>
        </is>
      </c>
      <c r="B171" s="1" t="n">
        <v>43780</v>
      </c>
      <c r="C171" s="1" t="n">
        <v>45204</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HYPERLINK("https://klasma.github.io/Logging_SKELLEFTEA/artfynd/A 63587-2019.xlsx", "A 63587-2019")</f>
        <v/>
      </c>
      <c r="T171">
        <f>HYPERLINK("https://klasma.github.io/Logging_SKELLEFTEA/kartor/A 63587-2019.png", "A 63587-2019")</f>
        <v/>
      </c>
      <c r="V171">
        <f>HYPERLINK("https://klasma.github.io/Logging_SKELLEFTEA/klagomål/A 63587-2019.docx", "A 63587-2019")</f>
        <v/>
      </c>
      <c r="W171">
        <f>HYPERLINK("https://klasma.github.io/Logging_SKELLEFTEA/klagomålsmail/A 63587-2019.docx", "A 63587-2019")</f>
        <v/>
      </c>
      <c r="X171">
        <f>HYPERLINK("https://klasma.github.io/Logging_SKELLEFTEA/tillsyn/A 63587-2019.docx", "A 63587-2019")</f>
        <v/>
      </c>
      <c r="Y171">
        <f>HYPERLINK("https://klasma.github.io/Logging_SKELLEFTEA/tillsynsmail/A 63587-2019.docx", "A 63587-2019")</f>
        <v/>
      </c>
    </row>
    <row r="172" ht="15" customHeight="1">
      <c r="A172" t="inlineStr">
        <is>
          <t>A 3019-2020</t>
        </is>
      </c>
      <c r="B172" s="1" t="n">
        <v>43851</v>
      </c>
      <c r="C172" s="1" t="n">
        <v>45204</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HYPERLINK("https://klasma.github.io/Logging_UMEA/artfynd/A 3019-2020.xlsx", "A 3019-2020")</f>
        <v/>
      </c>
      <c r="T172">
        <f>HYPERLINK("https://klasma.github.io/Logging_UMEA/kartor/A 3019-2020.png", "A 3019-2020")</f>
        <v/>
      </c>
      <c r="V172">
        <f>HYPERLINK("https://klasma.github.io/Logging_UMEA/klagomål/A 3019-2020.docx", "A 3019-2020")</f>
        <v/>
      </c>
      <c r="W172">
        <f>HYPERLINK("https://klasma.github.io/Logging_UMEA/klagomålsmail/A 3019-2020.docx", "A 3019-2020")</f>
        <v/>
      </c>
      <c r="X172">
        <f>HYPERLINK("https://klasma.github.io/Logging_UMEA/tillsyn/A 3019-2020.docx", "A 3019-2020")</f>
        <v/>
      </c>
      <c r="Y172">
        <f>HYPERLINK("https://klasma.github.io/Logging_UMEA/tillsynsmail/A 3019-2020.docx", "A 3019-2020")</f>
        <v/>
      </c>
    </row>
    <row r="173" ht="15" customHeight="1">
      <c r="A173" t="inlineStr">
        <is>
          <t>A 14137-2020</t>
        </is>
      </c>
      <c r="B173" s="1" t="n">
        <v>43907</v>
      </c>
      <c r="C173" s="1" t="n">
        <v>45204</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HYPERLINK("https://klasma.github.io/Logging_ROBERTSFORS/artfynd/A 14137-2020.xlsx", "A 14137-2020")</f>
        <v/>
      </c>
      <c r="T173">
        <f>HYPERLINK("https://klasma.github.io/Logging_ROBERTSFORS/kartor/A 14137-2020.png", "A 14137-2020")</f>
        <v/>
      </c>
      <c r="V173">
        <f>HYPERLINK("https://klasma.github.io/Logging_ROBERTSFORS/klagomål/A 14137-2020.docx", "A 14137-2020")</f>
        <v/>
      </c>
      <c r="W173">
        <f>HYPERLINK("https://klasma.github.io/Logging_ROBERTSFORS/klagomålsmail/A 14137-2020.docx", "A 14137-2020")</f>
        <v/>
      </c>
      <c r="X173">
        <f>HYPERLINK("https://klasma.github.io/Logging_ROBERTSFORS/tillsyn/A 14137-2020.docx", "A 14137-2020")</f>
        <v/>
      </c>
      <c r="Y173">
        <f>HYPERLINK("https://klasma.github.io/Logging_ROBERTSFORS/tillsynsmail/A 14137-2020.docx", "A 14137-2020")</f>
        <v/>
      </c>
    </row>
    <row r="174" ht="15" customHeight="1">
      <c r="A174" t="inlineStr">
        <is>
          <t>A 29245-2020</t>
        </is>
      </c>
      <c r="B174" s="1" t="n">
        <v>44000</v>
      </c>
      <c r="C174" s="1" t="n">
        <v>45204</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HYPERLINK("https://klasma.github.io/Logging_VILHELMINA/artfynd/A 29245-2020.xlsx", "A 29245-2020")</f>
        <v/>
      </c>
      <c r="T174">
        <f>HYPERLINK("https://klasma.github.io/Logging_VILHELMINA/kartor/A 29245-2020.png", "A 29245-2020")</f>
        <v/>
      </c>
      <c r="U174">
        <f>HYPERLINK("https://klasma.github.io/Logging_VILHELMINA/knärot/A 29245-2020.png", "A 29245-2020")</f>
        <v/>
      </c>
      <c r="V174">
        <f>HYPERLINK("https://klasma.github.io/Logging_VILHELMINA/klagomål/A 29245-2020.docx", "A 29245-2020")</f>
        <v/>
      </c>
      <c r="W174">
        <f>HYPERLINK("https://klasma.github.io/Logging_VILHELMINA/klagomålsmail/A 29245-2020.docx", "A 29245-2020")</f>
        <v/>
      </c>
      <c r="X174">
        <f>HYPERLINK("https://klasma.github.io/Logging_VILHELMINA/tillsyn/A 29245-2020.docx", "A 29245-2020")</f>
        <v/>
      </c>
      <c r="Y174">
        <f>HYPERLINK("https://klasma.github.io/Logging_VILHELMINA/tillsynsmail/A 29245-2020.docx", "A 29245-2020")</f>
        <v/>
      </c>
    </row>
    <row r="175" ht="15" customHeight="1">
      <c r="A175" t="inlineStr">
        <is>
          <t>A 50008-2020</t>
        </is>
      </c>
      <c r="B175" s="1" t="n">
        <v>44109</v>
      </c>
      <c r="C175" s="1" t="n">
        <v>45204</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HYPERLINK("https://klasma.github.io/Logging_LYCKSELE/artfynd/A 50008-2020.xlsx", "A 50008-2020")</f>
        <v/>
      </c>
      <c r="T175">
        <f>HYPERLINK("https://klasma.github.io/Logging_LYCKSELE/kartor/A 50008-2020.png", "A 50008-2020")</f>
        <v/>
      </c>
      <c r="U175">
        <f>HYPERLINK("https://klasma.github.io/Logging_LYCKSELE/knärot/A 50008-2020.png", "A 50008-2020")</f>
        <v/>
      </c>
      <c r="V175">
        <f>HYPERLINK("https://klasma.github.io/Logging_LYCKSELE/klagomål/A 50008-2020.docx", "A 50008-2020")</f>
        <v/>
      </c>
      <c r="W175">
        <f>HYPERLINK("https://klasma.github.io/Logging_LYCKSELE/klagomålsmail/A 50008-2020.docx", "A 50008-2020")</f>
        <v/>
      </c>
      <c r="X175">
        <f>HYPERLINK("https://klasma.github.io/Logging_LYCKSELE/tillsyn/A 50008-2020.docx", "A 50008-2020")</f>
        <v/>
      </c>
      <c r="Y175">
        <f>HYPERLINK("https://klasma.github.io/Logging_LYCKSELE/tillsynsmail/A 50008-2020.docx", "A 50008-2020")</f>
        <v/>
      </c>
    </row>
    <row r="176" ht="15" customHeight="1">
      <c r="A176" t="inlineStr">
        <is>
          <t>A 52153-2020</t>
        </is>
      </c>
      <c r="B176" s="1" t="n">
        <v>44117</v>
      </c>
      <c r="C176" s="1" t="n">
        <v>45204</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HYPERLINK("https://klasma.github.io/Logging_UMEA/artfynd/A 52153-2020.xlsx", "A 52153-2020")</f>
        <v/>
      </c>
      <c r="T176">
        <f>HYPERLINK("https://klasma.github.io/Logging_UMEA/kartor/A 52153-2020.png", "A 52153-2020")</f>
        <v/>
      </c>
      <c r="U176">
        <f>HYPERLINK("https://klasma.github.io/Logging_UMEA/knärot/A 52153-2020.png", "A 52153-2020")</f>
        <v/>
      </c>
      <c r="V176">
        <f>HYPERLINK("https://klasma.github.io/Logging_UMEA/klagomål/A 52153-2020.docx", "A 52153-2020")</f>
        <v/>
      </c>
      <c r="W176">
        <f>HYPERLINK("https://klasma.github.io/Logging_UMEA/klagomålsmail/A 52153-2020.docx", "A 52153-2020")</f>
        <v/>
      </c>
      <c r="X176">
        <f>HYPERLINK("https://klasma.github.io/Logging_UMEA/tillsyn/A 52153-2020.docx", "A 52153-2020")</f>
        <v/>
      </c>
      <c r="Y176">
        <f>HYPERLINK("https://klasma.github.io/Logging_UMEA/tillsynsmail/A 52153-2020.docx", "A 52153-2020")</f>
        <v/>
      </c>
    </row>
    <row r="177" ht="15" customHeight="1">
      <c r="A177" t="inlineStr">
        <is>
          <t>A 52547-2020</t>
        </is>
      </c>
      <c r="B177" s="1" t="n">
        <v>44118</v>
      </c>
      <c r="C177" s="1" t="n">
        <v>45204</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HYPERLINK("https://klasma.github.io/Logging_VINDELN/artfynd/A 52547-2020.xlsx", "A 52547-2020")</f>
        <v/>
      </c>
      <c r="T177">
        <f>HYPERLINK("https://klasma.github.io/Logging_VINDELN/kartor/A 52547-2020.png", "A 52547-2020")</f>
        <v/>
      </c>
      <c r="V177">
        <f>HYPERLINK("https://klasma.github.io/Logging_VINDELN/klagomål/A 52547-2020.docx", "A 52547-2020")</f>
        <v/>
      </c>
      <c r="W177">
        <f>HYPERLINK("https://klasma.github.io/Logging_VINDELN/klagomålsmail/A 52547-2020.docx", "A 52547-2020")</f>
        <v/>
      </c>
      <c r="X177">
        <f>HYPERLINK("https://klasma.github.io/Logging_VINDELN/tillsyn/A 52547-2020.docx", "A 52547-2020")</f>
        <v/>
      </c>
      <c r="Y177">
        <f>HYPERLINK("https://klasma.github.io/Logging_VINDELN/tillsynsmail/A 52547-2020.docx", "A 52547-2020")</f>
        <v/>
      </c>
    </row>
    <row r="178" ht="15" customHeight="1">
      <c r="A178" t="inlineStr">
        <is>
          <t>A 1881-2021</t>
        </is>
      </c>
      <c r="B178" s="1" t="n">
        <v>44210</v>
      </c>
      <c r="C178" s="1" t="n">
        <v>45204</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HYPERLINK("https://klasma.github.io/Logging_ASELE/artfynd/A 1881-2021.xlsx", "A 1881-2021")</f>
        <v/>
      </c>
      <c r="T178">
        <f>HYPERLINK("https://klasma.github.io/Logging_ASELE/kartor/A 1881-2021.png", "A 1881-2021")</f>
        <v/>
      </c>
      <c r="V178">
        <f>HYPERLINK("https://klasma.github.io/Logging_ASELE/klagomål/A 1881-2021.docx", "A 1881-2021")</f>
        <v/>
      </c>
      <c r="W178">
        <f>HYPERLINK("https://klasma.github.io/Logging_ASELE/klagomålsmail/A 1881-2021.docx", "A 1881-2021")</f>
        <v/>
      </c>
      <c r="X178">
        <f>HYPERLINK("https://klasma.github.io/Logging_ASELE/tillsyn/A 1881-2021.docx", "A 1881-2021")</f>
        <v/>
      </c>
      <c r="Y178">
        <f>HYPERLINK("https://klasma.github.io/Logging_ASELE/tillsynsmail/A 1881-2021.docx", "A 1881-2021")</f>
        <v/>
      </c>
    </row>
    <row r="179" ht="15" customHeight="1">
      <c r="A179" t="inlineStr">
        <is>
          <t>A 29807-2021</t>
        </is>
      </c>
      <c r="B179" s="1" t="n">
        <v>44362</v>
      </c>
      <c r="C179" s="1" t="n">
        <v>45204</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HYPERLINK("https://klasma.github.io/Logging_SKELLEFTEA/artfynd/A 29807-2021.xlsx", "A 29807-2021")</f>
        <v/>
      </c>
      <c r="T179">
        <f>HYPERLINK("https://klasma.github.io/Logging_SKELLEFTEA/kartor/A 29807-2021.png", "A 29807-2021")</f>
        <v/>
      </c>
      <c r="V179">
        <f>HYPERLINK("https://klasma.github.io/Logging_SKELLEFTEA/klagomål/A 29807-2021.docx", "A 29807-2021")</f>
        <v/>
      </c>
      <c r="W179">
        <f>HYPERLINK("https://klasma.github.io/Logging_SKELLEFTEA/klagomålsmail/A 29807-2021.docx", "A 29807-2021")</f>
        <v/>
      </c>
      <c r="X179">
        <f>HYPERLINK("https://klasma.github.io/Logging_SKELLEFTEA/tillsyn/A 29807-2021.docx", "A 29807-2021")</f>
        <v/>
      </c>
      <c r="Y179">
        <f>HYPERLINK("https://klasma.github.io/Logging_SKELLEFTEA/tillsynsmail/A 29807-2021.docx", "A 29807-2021")</f>
        <v/>
      </c>
    </row>
    <row r="180" ht="15" customHeight="1">
      <c r="A180" t="inlineStr">
        <is>
          <t>A 43734-2021</t>
        </is>
      </c>
      <c r="B180" s="1" t="n">
        <v>44433</v>
      </c>
      <c r="C180" s="1" t="n">
        <v>45204</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HYPERLINK("https://klasma.github.io/Logging_LYCKSELE/artfynd/A 43734-2021.xlsx", "A 43734-2021")</f>
        <v/>
      </c>
      <c r="T180">
        <f>HYPERLINK("https://klasma.github.io/Logging_LYCKSELE/kartor/A 43734-2021.png", "A 43734-2021")</f>
        <v/>
      </c>
      <c r="V180">
        <f>HYPERLINK("https://klasma.github.io/Logging_LYCKSELE/klagomål/A 43734-2021.docx", "A 43734-2021")</f>
        <v/>
      </c>
      <c r="W180">
        <f>HYPERLINK("https://klasma.github.io/Logging_LYCKSELE/klagomålsmail/A 43734-2021.docx", "A 43734-2021")</f>
        <v/>
      </c>
      <c r="X180">
        <f>HYPERLINK("https://klasma.github.io/Logging_LYCKSELE/tillsyn/A 43734-2021.docx", "A 43734-2021")</f>
        <v/>
      </c>
      <c r="Y180">
        <f>HYPERLINK("https://klasma.github.io/Logging_LYCKSELE/tillsynsmail/A 43734-2021.docx", "A 43734-2021")</f>
        <v/>
      </c>
    </row>
    <row r="181" ht="15" customHeight="1">
      <c r="A181" t="inlineStr">
        <is>
          <t>A 143-2022</t>
        </is>
      </c>
      <c r="B181" s="1" t="n">
        <v>44564</v>
      </c>
      <c r="C181" s="1" t="n">
        <v>45204</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HYPERLINK("https://klasma.github.io/Logging_SKELLEFTEA/artfynd/A 143-2022.xlsx", "A 143-2022")</f>
        <v/>
      </c>
      <c r="T181">
        <f>HYPERLINK("https://klasma.github.io/Logging_SKELLEFTEA/kartor/A 143-2022.png", "A 143-2022")</f>
        <v/>
      </c>
      <c r="V181">
        <f>HYPERLINK("https://klasma.github.io/Logging_SKELLEFTEA/klagomål/A 143-2022.docx", "A 143-2022")</f>
        <v/>
      </c>
      <c r="W181">
        <f>HYPERLINK("https://klasma.github.io/Logging_SKELLEFTEA/klagomålsmail/A 143-2022.docx", "A 143-2022")</f>
        <v/>
      </c>
      <c r="X181">
        <f>HYPERLINK("https://klasma.github.io/Logging_SKELLEFTEA/tillsyn/A 143-2022.docx", "A 143-2022")</f>
        <v/>
      </c>
      <c r="Y181">
        <f>HYPERLINK("https://klasma.github.io/Logging_SKELLEFTEA/tillsynsmail/A 143-2022.docx", "A 143-2022")</f>
        <v/>
      </c>
    </row>
    <row r="182" ht="15" customHeight="1">
      <c r="A182" t="inlineStr">
        <is>
          <t>A 3358-2022</t>
        </is>
      </c>
      <c r="B182" s="1" t="n">
        <v>44585</v>
      </c>
      <c r="C182" s="1" t="n">
        <v>45204</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HYPERLINK("https://klasma.github.io/Logging_STORUMAN/artfynd/A 3358-2022.xlsx", "A 3358-2022")</f>
        <v/>
      </c>
      <c r="T182">
        <f>HYPERLINK("https://klasma.github.io/Logging_STORUMAN/kartor/A 3358-2022.png", "A 3358-2022")</f>
        <v/>
      </c>
      <c r="V182">
        <f>HYPERLINK("https://klasma.github.io/Logging_STORUMAN/klagomål/A 3358-2022.docx", "A 3358-2022")</f>
        <v/>
      </c>
      <c r="W182">
        <f>HYPERLINK("https://klasma.github.io/Logging_STORUMAN/klagomålsmail/A 3358-2022.docx", "A 3358-2022")</f>
        <v/>
      </c>
      <c r="X182">
        <f>HYPERLINK("https://klasma.github.io/Logging_STORUMAN/tillsyn/A 3358-2022.docx", "A 3358-2022")</f>
        <v/>
      </c>
      <c r="Y182">
        <f>HYPERLINK("https://klasma.github.io/Logging_STORUMAN/tillsynsmail/A 3358-2022.docx", "A 3358-2022")</f>
        <v/>
      </c>
    </row>
    <row r="183" ht="15" customHeight="1">
      <c r="A183" t="inlineStr">
        <is>
          <t>A 9245-2022</t>
        </is>
      </c>
      <c r="B183" s="1" t="n">
        <v>44616</v>
      </c>
      <c r="C183" s="1" t="n">
        <v>45204</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HYPERLINK("https://klasma.github.io/Logging_UMEA/artfynd/A 9245-2022.xlsx", "A 9245-2022")</f>
        <v/>
      </c>
      <c r="T183">
        <f>HYPERLINK("https://klasma.github.io/Logging_UMEA/kartor/A 9245-2022.png", "A 9245-2022")</f>
        <v/>
      </c>
      <c r="V183">
        <f>HYPERLINK("https://klasma.github.io/Logging_UMEA/klagomål/A 9245-2022.docx", "A 9245-2022")</f>
        <v/>
      </c>
      <c r="W183">
        <f>HYPERLINK("https://klasma.github.io/Logging_UMEA/klagomålsmail/A 9245-2022.docx", "A 9245-2022")</f>
        <v/>
      </c>
      <c r="X183">
        <f>HYPERLINK("https://klasma.github.io/Logging_UMEA/tillsyn/A 9245-2022.docx", "A 9245-2022")</f>
        <v/>
      </c>
      <c r="Y183">
        <f>HYPERLINK("https://klasma.github.io/Logging_UMEA/tillsynsmail/A 9245-2022.docx", "A 9245-2022")</f>
        <v/>
      </c>
    </row>
    <row r="184" ht="15" customHeight="1">
      <c r="A184" t="inlineStr">
        <is>
          <t>A 14493-2022</t>
        </is>
      </c>
      <c r="B184" s="1" t="n">
        <v>44655</v>
      </c>
      <c r="C184" s="1" t="n">
        <v>45204</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HYPERLINK("https://klasma.github.io/Logging_SKELLEFTEA/artfynd/A 14493-2022.xlsx", "A 14493-2022")</f>
        <v/>
      </c>
      <c r="T184">
        <f>HYPERLINK("https://klasma.github.io/Logging_SKELLEFTEA/kartor/A 14493-2022.png", "A 14493-2022")</f>
        <v/>
      </c>
      <c r="U184">
        <f>HYPERLINK("https://klasma.github.io/Logging_SKELLEFTEA/knärot/A 14493-2022.png", "A 14493-2022")</f>
        <v/>
      </c>
      <c r="V184">
        <f>HYPERLINK("https://klasma.github.io/Logging_SKELLEFTEA/klagomål/A 14493-2022.docx", "A 14493-2022")</f>
        <v/>
      </c>
      <c r="W184">
        <f>HYPERLINK("https://klasma.github.io/Logging_SKELLEFTEA/klagomålsmail/A 14493-2022.docx", "A 14493-2022")</f>
        <v/>
      </c>
      <c r="X184">
        <f>HYPERLINK("https://klasma.github.io/Logging_SKELLEFTEA/tillsyn/A 14493-2022.docx", "A 14493-2022")</f>
        <v/>
      </c>
      <c r="Y184">
        <f>HYPERLINK("https://klasma.github.io/Logging_SKELLEFTEA/tillsynsmail/A 14493-2022.docx", "A 14493-2022")</f>
        <v/>
      </c>
    </row>
    <row r="185" ht="15" customHeight="1">
      <c r="A185" t="inlineStr">
        <is>
          <t>A 15852-2022</t>
        </is>
      </c>
      <c r="B185" s="1" t="n">
        <v>44664</v>
      </c>
      <c r="C185" s="1" t="n">
        <v>45204</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HYPERLINK("https://klasma.github.io/Logging_VILHELMINA/artfynd/A 15852-2022.xlsx", "A 15852-2022")</f>
        <v/>
      </c>
      <c r="T185">
        <f>HYPERLINK("https://klasma.github.io/Logging_VILHELMINA/kartor/A 15852-2022.png", "A 15852-2022")</f>
        <v/>
      </c>
      <c r="V185">
        <f>HYPERLINK("https://klasma.github.io/Logging_VILHELMINA/klagomål/A 15852-2022.docx", "A 15852-2022")</f>
        <v/>
      </c>
      <c r="W185">
        <f>HYPERLINK("https://klasma.github.io/Logging_VILHELMINA/klagomålsmail/A 15852-2022.docx", "A 15852-2022")</f>
        <v/>
      </c>
      <c r="X185">
        <f>HYPERLINK("https://klasma.github.io/Logging_VILHELMINA/tillsyn/A 15852-2022.docx", "A 15852-2022")</f>
        <v/>
      </c>
      <c r="Y185">
        <f>HYPERLINK("https://klasma.github.io/Logging_VILHELMINA/tillsynsmail/A 15852-2022.docx", "A 15852-2022")</f>
        <v/>
      </c>
    </row>
    <row r="186" ht="15" customHeight="1">
      <c r="A186" t="inlineStr">
        <is>
          <t>A 17522-2022</t>
        </is>
      </c>
      <c r="B186" s="1" t="n">
        <v>44679</v>
      </c>
      <c r="C186" s="1" t="n">
        <v>45204</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HYPERLINK("https://klasma.github.io/Logging_UMEA/artfynd/A 17522-2022.xlsx", "A 17522-2022")</f>
        <v/>
      </c>
      <c r="T186">
        <f>HYPERLINK("https://klasma.github.io/Logging_UMEA/kartor/A 17522-2022.png", "A 17522-2022")</f>
        <v/>
      </c>
      <c r="V186">
        <f>HYPERLINK("https://klasma.github.io/Logging_UMEA/klagomål/A 17522-2022.docx", "A 17522-2022")</f>
        <v/>
      </c>
      <c r="W186">
        <f>HYPERLINK("https://klasma.github.io/Logging_UMEA/klagomålsmail/A 17522-2022.docx", "A 17522-2022")</f>
        <v/>
      </c>
      <c r="X186">
        <f>HYPERLINK("https://klasma.github.io/Logging_UMEA/tillsyn/A 17522-2022.docx", "A 17522-2022")</f>
        <v/>
      </c>
      <c r="Y186">
        <f>HYPERLINK("https://klasma.github.io/Logging_UMEA/tillsynsmail/A 17522-2022.docx", "A 17522-2022")</f>
        <v/>
      </c>
    </row>
    <row r="187" ht="15" customHeight="1">
      <c r="A187" t="inlineStr">
        <is>
          <t>A 61196-2022</t>
        </is>
      </c>
      <c r="B187" s="1" t="n">
        <v>44915</v>
      </c>
      <c r="C187" s="1" t="n">
        <v>45204</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HYPERLINK("https://klasma.github.io/Logging_SKELLEFTEA/artfynd/A 61196-2022.xlsx", "A 61196-2022")</f>
        <v/>
      </c>
      <c r="T187">
        <f>HYPERLINK("https://klasma.github.io/Logging_SKELLEFTEA/kartor/A 61196-2022.png", "A 61196-2022")</f>
        <v/>
      </c>
      <c r="U187">
        <f>HYPERLINK("https://klasma.github.io/Logging_SKELLEFTEA/knärot/A 61196-2022.png", "A 61196-2022")</f>
        <v/>
      </c>
      <c r="V187">
        <f>HYPERLINK("https://klasma.github.io/Logging_SKELLEFTEA/klagomål/A 61196-2022.docx", "A 61196-2022")</f>
        <v/>
      </c>
      <c r="W187">
        <f>HYPERLINK("https://klasma.github.io/Logging_SKELLEFTEA/klagomålsmail/A 61196-2022.docx", "A 61196-2022")</f>
        <v/>
      </c>
      <c r="X187">
        <f>HYPERLINK("https://klasma.github.io/Logging_SKELLEFTEA/tillsyn/A 61196-2022.docx", "A 61196-2022")</f>
        <v/>
      </c>
      <c r="Y187">
        <f>HYPERLINK("https://klasma.github.io/Logging_SKELLEFTEA/tillsynsmail/A 61196-2022.docx", "A 61196-2022")</f>
        <v/>
      </c>
    </row>
    <row r="188" ht="15" customHeight="1">
      <c r="A188" t="inlineStr">
        <is>
          <t>A 61195-2022</t>
        </is>
      </c>
      <c r="B188" s="1" t="n">
        <v>44915</v>
      </c>
      <c r="C188" s="1" t="n">
        <v>45204</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HYPERLINK("https://klasma.github.io/Logging_SKELLEFTEA/artfynd/A 61195-2022.xlsx", "A 61195-2022")</f>
        <v/>
      </c>
      <c r="T188">
        <f>HYPERLINK("https://klasma.github.io/Logging_SKELLEFTEA/kartor/A 61195-2022.png", "A 61195-2022")</f>
        <v/>
      </c>
      <c r="U188">
        <f>HYPERLINK("https://klasma.github.io/Logging_SKELLEFTEA/knärot/A 61195-2022.png", "A 61195-2022")</f>
        <v/>
      </c>
      <c r="V188">
        <f>HYPERLINK("https://klasma.github.io/Logging_SKELLEFTEA/klagomål/A 61195-2022.docx", "A 61195-2022")</f>
        <v/>
      </c>
      <c r="W188">
        <f>HYPERLINK("https://klasma.github.io/Logging_SKELLEFTEA/klagomålsmail/A 61195-2022.docx", "A 61195-2022")</f>
        <v/>
      </c>
      <c r="X188">
        <f>HYPERLINK("https://klasma.github.io/Logging_SKELLEFTEA/tillsyn/A 61195-2022.docx", "A 61195-2022")</f>
        <v/>
      </c>
      <c r="Y188">
        <f>HYPERLINK("https://klasma.github.io/Logging_SKELLEFTEA/tillsynsmail/A 61195-2022.docx", "A 61195-2022")</f>
        <v/>
      </c>
    </row>
    <row r="189" ht="15" customHeight="1">
      <c r="A189" t="inlineStr">
        <is>
          <t>A 30187-2023</t>
        </is>
      </c>
      <c r="B189" s="1" t="n">
        <v>45110</v>
      </c>
      <c r="C189" s="1" t="n">
        <v>45204</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HYPERLINK("https://klasma.github.io/Logging_UMEA/artfynd/A 30187-2023.xlsx", "A 30187-2023")</f>
        <v/>
      </c>
      <c r="T189">
        <f>HYPERLINK("https://klasma.github.io/Logging_UMEA/kartor/A 30187-2023.png", "A 30187-2023")</f>
        <v/>
      </c>
      <c r="V189">
        <f>HYPERLINK("https://klasma.github.io/Logging_UMEA/klagomål/A 30187-2023.docx", "A 30187-2023")</f>
        <v/>
      </c>
      <c r="W189">
        <f>HYPERLINK("https://klasma.github.io/Logging_UMEA/klagomålsmail/A 30187-2023.docx", "A 30187-2023")</f>
        <v/>
      </c>
      <c r="X189">
        <f>HYPERLINK("https://klasma.github.io/Logging_UMEA/tillsyn/A 30187-2023.docx", "A 30187-2023")</f>
        <v/>
      </c>
      <c r="Y189">
        <f>HYPERLINK("https://klasma.github.io/Logging_UMEA/tillsynsmail/A 30187-2023.docx", "A 30187-2023")</f>
        <v/>
      </c>
    </row>
    <row r="190" ht="15" customHeight="1">
      <c r="A190" t="inlineStr">
        <is>
          <t>A 33655-2023</t>
        </is>
      </c>
      <c r="B190" s="1" t="n">
        <v>45119</v>
      </c>
      <c r="C190" s="1" t="n">
        <v>45204</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HYPERLINK("https://klasma.github.io/Logging_DOROTEA/artfynd/A 33655-2023.xlsx", "A 33655-2023")</f>
        <v/>
      </c>
      <c r="T190">
        <f>HYPERLINK("https://klasma.github.io/Logging_DOROTEA/kartor/A 33655-2023.png", "A 33655-2023")</f>
        <v/>
      </c>
      <c r="V190">
        <f>HYPERLINK("https://klasma.github.io/Logging_DOROTEA/klagomål/A 33655-2023.docx", "A 33655-2023")</f>
        <v/>
      </c>
      <c r="W190">
        <f>HYPERLINK("https://klasma.github.io/Logging_DOROTEA/klagomålsmail/A 33655-2023.docx", "A 33655-2023")</f>
        <v/>
      </c>
      <c r="X190">
        <f>HYPERLINK("https://klasma.github.io/Logging_DOROTEA/tillsyn/A 33655-2023.docx", "A 33655-2023")</f>
        <v/>
      </c>
      <c r="Y190">
        <f>HYPERLINK("https://klasma.github.io/Logging_DOROTEA/tillsynsmail/A 33655-2023.docx", "A 33655-2023")</f>
        <v/>
      </c>
    </row>
    <row r="191" ht="15" customHeight="1">
      <c r="A191" t="inlineStr">
        <is>
          <t>A 34091-2023</t>
        </is>
      </c>
      <c r="B191" s="1" t="n">
        <v>45125</v>
      </c>
      <c r="C191" s="1" t="n">
        <v>45204</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HYPERLINK("https://klasma.github.io/Logging_VILHELMINA/artfynd/A 34091-2023.xlsx", "A 34091-2023")</f>
        <v/>
      </c>
      <c r="T191">
        <f>HYPERLINK("https://klasma.github.io/Logging_VILHELMINA/kartor/A 34091-2023.png", "A 34091-2023")</f>
        <v/>
      </c>
      <c r="V191">
        <f>HYPERLINK("https://klasma.github.io/Logging_VILHELMINA/klagomål/A 34091-2023.docx", "A 34091-2023")</f>
        <v/>
      </c>
      <c r="W191">
        <f>HYPERLINK("https://klasma.github.io/Logging_VILHELMINA/klagomålsmail/A 34091-2023.docx", "A 34091-2023")</f>
        <v/>
      </c>
      <c r="X191">
        <f>HYPERLINK("https://klasma.github.io/Logging_VILHELMINA/tillsyn/A 34091-2023.docx", "A 34091-2023")</f>
        <v/>
      </c>
      <c r="Y191">
        <f>HYPERLINK("https://klasma.github.io/Logging_VILHELMINA/tillsynsmail/A 34091-2023.docx", "A 34091-2023")</f>
        <v/>
      </c>
    </row>
    <row r="192" ht="15" customHeight="1">
      <c r="A192" t="inlineStr">
        <is>
          <t>A 34418-2023</t>
        </is>
      </c>
      <c r="B192" s="1" t="n">
        <v>45132</v>
      </c>
      <c r="C192" s="1" t="n">
        <v>45204</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HYPERLINK("https://klasma.github.io/Logging_VILHELMINA/artfynd/A 34418-2023.xlsx", "A 34418-2023")</f>
        <v/>
      </c>
      <c r="T192">
        <f>HYPERLINK("https://klasma.github.io/Logging_VILHELMINA/kartor/A 34418-2023.png", "A 34418-2023")</f>
        <v/>
      </c>
      <c r="V192">
        <f>HYPERLINK("https://klasma.github.io/Logging_VILHELMINA/klagomål/A 34418-2023.docx", "A 34418-2023")</f>
        <v/>
      </c>
      <c r="W192">
        <f>HYPERLINK("https://klasma.github.io/Logging_VILHELMINA/klagomålsmail/A 34418-2023.docx", "A 34418-2023")</f>
        <v/>
      </c>
      <c r="X192">
        <f>HYPERLINK("https://klasma.github.io/Logging_VILHELMINA/tillsyn/A 34418-2023.docx", "A 34418-2023")</f>
        <v/>
      </c>
      <c r="Y192">
        <f>HYPERLINK("https://klasma.github.io/Logging_VILHELMINA/tillsynsmail/A 34418-2023.docx", "A 34418-2023")</f>
        <v/>
      </c>
    </row>
    <row r="193" ht="15" customHeight="1">
      <c r="A193" t="inlineStr">
        <is>
          <t>A 35580-2023</t>
        </is>
      </c>
      <c r="B193" s="1" t="n">
        <v>45147</v>
      </c>
      <c r="C193" s="1" t="n">
        <v>45204</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HYPERLINK("https://klasma.github.io/Logging_ROBERTSFORS/artfynd/A 35580-2023.xlsx", "A 35580-2023")</f>
        <v/>
      </c>
      <c r="T193">
        <f>HYPERLINK("https://klasma.github.io/Logging_ROBERTSFORS/kartor/A 35580-2023.png", "A 35580-2023")</f>
        <v/>
      </c>
      <c r="V193">
        <f>HYPERLINK("https://klasma.github.io/Logging_ROBERTSFORS/klagomål/A 35580-2023.docx", "A 35580-2023")</f>
        <v/>
      </c>
      <c r="W193">
        <f>HYPERLINK("https://klasma.github.io/Logging_ROBERTSFORS/klagomålsmail/A 35580-2023.docx", "A 35580-2023")</f>
        <v/>
      </c>
      <c r="X193">
        <f>HYPERLINK("https://klasma.github.io/Logging_ROBERTSFORS/tillsyn/A 35580-2023.docx", "A 35580-2023")</f>
        <v/>
      </c>
      <c r="Y193">
        <f>HYPERLINK("https://klasma.github.io/Logging_ROBERTSFORS/tillsynsmail/A 35580-2023.docx", "A 35580-2023")</f>
        <v/>
      </c>
    </row>
    <row r="194" ht="15" customHeight="1">
      <c r="A194" t="inlineStr">
        <is>
          <t>A 54906-2018</t>
        </is>
      </c>
      <c r="B194" s="1" t="n">
        <v>43396</v>
      </c>
      <c r="C194" s="1" t="n">
        <v>45204</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HYPERLINK("https://klasma.github.io/Logging_LYCKSELE/artfynd/A 54906-2018.xlsx", "A 54906-2018")</f>
        <v/>
      </c>
      <c r="T194">
        <f>HYPERLINK("https://klasma.github.io/Logging_LYCKSELE/kartor/A 54906-2018.png", "A 54906-2018")</f>
        <v/>
      </c>
      <c r="V194">
        <f>HYPERLINK("https://klasma.github.io/Logging_LYCKSELE/klagomål/A 54906-2018.docx", "A 54906-2018")</f>
        <v/>
      </c>
      <c r="W194">
        <f>HYPERLINK("https://klasma.github.io/Logging_LYCKSELE/klagomålsmail/A 54906-2018.docx", "A 54906-2018")</f>
        <v/>
      </c>
      <c r="X194">
        <f>HYPERLINK("https://klasma.github.io/Logging_LYCKSELE/tillsyn/A 54906-2018.docx", "A 54906-2018")</f>
        <v/>
      </c>
      <c r="Y194">
        <f>HYPERLINK("https://klasma.github.io/Logging_LYCKSELE/tillsynsmail/A 54906-2018.docx", "A 54906-2018")</f>
        <v/>
      </c>
    </row>
    <row r="195" ht="15" customHeight="1">
      <c r="A195" t="inlineStr">
        <is>
          <t>A 930-2019</t>
        </is>
      </c>
      <c r="B195" s="1" t="n">
        <v>43472</v>
      </c>
      <c r="C195" s="1" t="n">
        <v>45204</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HYPERLINK("https://klasma.github.io/Logging_ASELE/artfynd/A 930-2019.xlsx", "A 930-2019")</f>
        <v/>
      </c>
      <c r="T195">
        <f>HYPERLINK("https://klasma.github.io/Logging_ASELE/kartor/A 930-2019.png", "A 930-2019")</f>
        <v/>
      </c>
      <c r="V195">
        <f>HYPERLINK("https://klasma.github.io/Logging_ASELE/klagomål/A 930-2019.docx", "A 930-2019")</f>
        <v/>
      </c>
      <c r="W195">
        <f>HYPERLINK("https://klasma.github.io/Logging_ASELE/klagomålsmail/A 930-2019.docx", "A 930-2019")</f>
        <v/>
      </c>
      <c r="X195">
        <f>HYPERLINK("https://klasma.github.io/Logging_ASELE/tillsyn/A 930-2019.docx", "A 930-2019")</f>
        <v/>
      </c>
      <c r="Y195">
        <f>HYPERLINK("https://klasma.github.io/Logging_ASELE/tillsynsmail/A 930-2019.docx", "A 930-2019")</f>
        <v/>
      </c>
    </row>
    <row r="196" ht="15" customHeight="1">
      <c r="A196" t="inlineStr">
        <is>
          <t>A 26207-2019</t>
        </is>
      </c>
      <c r="B196" s="1" t="n">
        <v>43609</v>
      </c>
      <c r="C196" s="1" t="n">
        <v>45204</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HYPERLINK("https://klasma.github.io/Logging_VANNAS/artfynd/A 26207-2019.xlsx", "A 26207-2019")</f>
        <v/>
      </c>
      <c r="T196">
        <f>HYPERLINK("https://klasma.github.io/Logging_VANNAS/kartor/A 26207-2019.png", "A 26207-2019")</f>
        <v/>
      </c>
      <c r="V196">
        <f>HYPERLINK("https://klasma.github.io/Logging_VANNAS/klagomål/A 26207-2019.docx", "A 26207-2019")</f>
        <v/>
      </c>
      <c r="W196">
        <f>HYPERLINK("https://klasma.github.io/Logging_VANNAS/klagomålsmail/A 26207-2019.docx", "A 26207-2019")</f>
        <v/>
      </c>
      <c r="X196">
        <f>HYPERLINK("https://klasma.github.io/Logging_VANNAS/tillsyn/A 26207-2019.docx", "A 26207-2019")</f>
        <v/>
      </c>
      <c r="Y196">
        <f>HYPERLINK("https://klasma.github.io/Logging_VANNAS/tillsynsmail/A 26207-2019.docx", "A 26207-2019")</f>
        <v/>
      </c>
    </row>
    <row r="197" ht="15" customHeight="1">
      <c r="A197" t="inlineStr">
        <is>
          <t>A 31889-2019</t>
        </is>
      </c>
      <c r="B197" s="1" t="n">
        <v>43642</v>
      </c>
      <c r="C197" s="1" t="n">
        <v>45204</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HYPERLINK("https://klasma.github.io/Logging_SKELLEFTEA/artfynd/A 31889-2019.xlsx", "A 31889-2019")</f>
        <v/>
      </c>
      <c r="T197">
        <f>HYPERLINK("https://klasma.github.io/Logging_SKELLEFTEA/kartor/A 31889-2019.png", "A 31889-2019")</f>
        <v/>
      </c>
      <c r="U197">
        <f>HYPERLINK("https://klasma.github.io/Logging_SKELLEFTEA/knärot/A 31889-2019.png", "A 31889-2019")</f>
        <v/>
      </c>
      <c r="V197">
        <f>HYPERLINK("https://klasma.github.io/Logging_SKELLEFTEA/klagomål/A 31889-2019.docx", "A 31889-2019")</f>
        <v/>
      </c>
      <c r="W197">
        <f>HYPERLINK("https://klasma.github.io/Logging_SKELLEFTEA/klagomålsmail/A 31889-2019.docx", "A 31889-2019")</f>
        <v/>
      </c>
      <c r="X197">
        <f>HYPERLINK("https://klasma.github.io/Logging_SKELLEFTEA/tillsyn/A 31889-2019.docx", "A 31889-2019")</f>
        <v/>
      </c>
      <c r="Y197">
        <f>HYPERLINK("https://klasma.github.io/Logging_SKELLEFTEA/tillsynsmail/A 31889-2019.docx", "A 31889-2019")</f>
        <v/>
      </c>
    </row>
    <row r="198" ht="15" customHeight="1">
      <c r="A198" t="inlineStr">
        <is>
          <t>A 35558-2019</t>
        </is>
      </c>
      <c r="B198" s="1" t="n">
        <v>43664</v>
      </c>
      <c r="C198" s="1" t="n">
        <v>45204</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HYPERLINK("https://klasma.github.io/Logging_ASELE/artfynd/A 35558-2019.xlsx", "A 35558-2019")</f>
        <v/>
      </c>
      <c r="T198">
        <f>HYPERLINK("https://klasma.github.io/Logging_ASELE/kartor/A 35558-2019.png", "A 35558-2019")</f>
        <v/>
      </c>
      <c r="V198">
        <f>HYPERLINK("https://klasma.github.io/Logging_ASELE/klagomål/A 35558-2019.docx", "A 35558-2019")</f>
        <v/>
      </c>
      <c r="W198">
        <f>HYPERLINK("https://klasma.github.io/Logging_ASELE/klagomålsmail/A 35558-2019.docx", "A 35558-2019")</f>
        <v/>
      </c>
      <c r="X198">
        <f>HYPERLINK("https://klasma.github.io/Logging_ASELE/tillsyn/A 35558-2019.docx", "A 35558-2019")</f>
        <v/>
      </c>
      <c r="Y198">
        <f>HYPERLINK("https://klasma.github.io/Logging_ASELE/tillsynsmail/A 35558-2019.docx", "A 35558-2019")</f>
        <v/>
      </c>
    </row>
    <row r="199" ht="15" customHeight="1">
      <c r="A199" t="inlineStr">
        <is>
          <t>A 41641-2019</t>
        </is>
      </c>
      <c r="B199" s="1" t="n">
        <v>43696</v>
      </c>
      <c r="C199" s="1" t="n">
        <v>45204</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HYPERLINK("https://klasma.github.io/Logging_SKELLEFTEA/artfynd/A 41641-2019.xlsx", "A 41641-2019")</f>
        <v/>
      </c>
      <c r="T199">
        <f>HYPERLINK("https://klasma.github.io/Logging_SKELLEFTEA/kartor/A 41641-2019.png", "A 41641-2019")</f>
        <v/>
      </c>
      <c r="V199">
        <f>HYPERLINK("https://klasma.github.io/Logging_SKELLEFTEA/klagomål/A 41641-2019.docx", "A 41641-2019")</f>
        <v/>
      </c>
      <c r="W199">
        <f>HYPERLINK("https://klasma.github.io/Logging_SKELLEFTEA/klagomålsmail/A 41641-2019.docx", "A 41641-2019")</f>
        <v/>
      </c>
      <c r="X199">
        <f>HYPERLINK("https://klasma.github.io/Logging_SKELLEFTEA/tillsyn/A 41641-2019.docx", "A 41641-2019")</f>
        <v/>
      </c>
      <c r="Y199">
        <f>HYPERLINK("https://klasma.github.io/Logging_SKELLEFTEA/tillsynsmail/A 41641-2019.docx", "A 41641-2019")</f>
        <v/>
      </c>
    </row>
    <row r="200" ht="15" customHeight="1">
      <c r="A200" t="inlineStr">
        <is>
          <t>A 65561-2019</t>
        </is>
      </c>
      <c r="B200" s="1" t="n">
        <v>43803</v>
      </c>
      <c r="C200" s="1" t="n">
        <v>45204</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HYPERLINK("https://klasma.github.io/Logging_DOROTEA/artfynd/A 65561-2019.xlsx", "A 65561-2019")</f>
        <v/>
      </c>
      <c r="T200">
        <f>HYPERLINK("https://klasma.github.io/Logging_DOROTEA/kartor/A 65561-2019.png", "A 65561-2019")</f>
        <v/>
      </c>
      <c r="V200">
        <f>HYPERLINK("https://klasma.github.io/Logging_DOROTEA/klagomål/A 65561-2019.docx", "A 65561-2019")</f>
        <v/>
      </c>
      <c r="W200">
        <f>HYPERLINK("https://klasma.github.io/Logging_DOROTEA/klagomålsmail/A 65561-2019.docx", "A 65561-2019")</f>
        <v/>
      </c>
      <c r="X200">
        <f>HYPERLINK("https://klasma.github.io/Logging_DOROTEA/tillsyn/A 65561-2019.docx", "A 65561-2019")</f>
        <v/>
      </c>
      <c r="Y200">
        <f>HYPERLINK("https://klasma.github.io/Logging_DOROTEA/tillsynsmail/A 65561-2019.docx", "A 65561-2019")</f>
        <v/>
      </c>
    </row>
    <row r="201" ht="15" customHeight="1">
      <c r="A201" t="inlineStr">
        <is>
          <t>A 10196-2020</t>
        </is>
      </c>
      <c r="B201" s="1" t="n">
        <v>43885</v>
      </c>
      <c r="C201" s="1" t="n">
        <v>45204</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HYPERLINK("https://klasma.github.io/Logging_NORDMALING/artfynd/A 10196-2020.xlsx", "A 10196-2020")</f>
        <v/>
      </c>
      <c r="T201">
        <f>HYPERLINK("https://klasma.github.io/Logging_NORDMALING/kartor/A 10196-2020.png", "A 10196-2020")</f>
        <v/>
      </c>
      <c r="V201">
        <f>HYPERLINK("https://klasma.github.io/Logging_NORDMALING/klagomål/A 10196-2020.docx", "A 10196-2020")</f>
        <v/>
      </c>
      <c r="W201">
        <f>HYPERLINK("https://klasma.github.io/Logging_NORDMALING/klagomålsmail/A 10196-2020.docx", "A 10196-2020")</f>
        <v/>
      </c>
      <c r="X201">
        <f>HYPERLINK("https://klasma.github.io/Logging_NORDMALING/tillsyn/A 10196-2020.docx", "A 10196-2020")</f>
        <v/>
      </c>
      <c r="Y201">
        <f>HYPERLINK("https://klasma.github.io/Logging_NORDMALING/tillsynsmail/A 10196-2020.docx", "A 10196-2020")</f>
        <v/>
      </c>
    </row>
    <row r="202" ht="15" customHeight="1">
      <c r="A202" t="inlineStr">
        <is>
          <t>A 12237-2020</t>
        </is>
      </c>
      <c r="B202" s="1" t="n">
        <v>43895</v>
      </c>
      <c r="C202" s="1" t="n">
        <v>45204</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HYPERLINK("https://klasma.github.io/Logging_UMEA/artfynd/A 12237-2020.xlsx", "A 12237-2020")</f>
        <v/>
      </c>
      <c r="T202">
        <f>HYPERLINK("https://klasma.github.io/Logging_UMEA/kartor/A 12237-2020.png", "A 12237-2020")</f>
        <v/>
      </c>
      <c r="V202">
        <f>HYPERLINK("https://klasma.github.io/Logging_UMEA/klagomål/A 12237-2020.docx", "A 12237-2020")</f>
        <v/>
      </c>
      <c r="W202">
        <f>HYPERLINK("https://klasma.github.io/Logging_UMEA/klagomålsmail/A 12237-2020.docx", "A 12237-2020")</f>
        <v/>
      </c>
      <c r="X202">
        <f>HYPERLINK("https://klasma.github.io/Logging_UMEA/tillsyn/A 12237-2020.docx", "A 12237-2020")</f>
        <v/>
      </c>
      <c r="Y202">
        <f>HYPERLINK("https://klasma.github.io/Logging_UMEA/tillsynsmail/A 12237-2020.docx", "A 12237-2020")</f>
        <v/>
      </c>
    </row>
    <row r="203" ht="15" customHeight="1">
      <c r="A203" t="inlineStr">
        <is>
          <t>A 16606-2020</t>
        </is>
      </c>
      <c r="B203" s="1" t="n">
        <v>43909</v>
      </c>
      <c r="C203" s="1" t="n">
        <v>45204</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HYPERLINK("https://klasma.github.io/Logging_SORSELE/artfynd/A 16606-2020.xlsx", "A 16606-2020")</f>
        <v/>
      </c>
      <c r="T203">
        <f>HYPERLINK("https://klasma.github.io/Logging_SORSELE/kartor/A 16606-2020.png", "A 16606-2020")</f>
        <v/>
      </c>
      <c r="V203">
        <f>HYPERLINK("https://klasma.github.io/Logging_SORSELE/klagomål/A 16606-2020.docx", "A 16606-2020")</f>
        <v/>
      </c>
      <c r="W203">
        <f>HYPERLINK("https://klasma.github.io/Logging_SORSELE/klagomålsmail/A 16606-2020.docx", "A 16606-2020")</f>
        <v/>
      </c>
      <c r="X203">
        <f>HYPERLINK("https://klasma.github.io/Logging_SORSELE/tillsyn/A 16606-2020.docx", "A 16606-2020")</f>
        <v/>
      </c>
      <c r="Y203">
        <f>HYPERLINK("https://klasma.github.io/Logging_SORSELE/tillsynsmail/A 16606-2020.docx", "A 16606-2020")</f>
        <v/>
      </c>
    </row>
    <row r="204" ht="15" customHeight="1">
      <c r="A204" t="inlineStr">
        <is>
          <t>A 49684-2020</t>
        </is>
      </c>
      <c r="B204" s="1" t="n">
        <v>44104</v>
      </c>
      <c r="C204" s="1" t="n">
        <v>45204</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HYPERLINK("https://klasma.github.io/Logging_DOROTEA/artfynd/A 49684-2020.xlsx", "A 49684-2020")</f>
        <v/>
      </c>
      <c r="T204">
        <f>HYPERLINK("https://klasma.github.io/Logging_DOROTEA/kartor/A 49684-2020.png", "A 49684-2020")</f>
        <v/>
      </c>
      <c r="V204">
        <f>HYPERLINK("https://klasma.github.io/Logging_DOROTEA/klagomål/A 49684-2020.docx", "A 49684-2020")</f>
        <v/>
      </c>
      <c r="W204">
        <f>HYPERLINK("https://klasma.github.io/Logging_DOROTEA/klagomålsmail/A 49684-2020.docx", "A 49684-2020")</f>
        <v/>
      </c>
      <c r="X204">
        <f>HYPERLINK("https://klasma.github.io/Logging_DOROTEA/tillsyn/A 49684-2020.docx", "A 49684-2020")</f>
        <v/>
      </c>
      <c r="Y204">
        <f>HYPERLINK("https://klasma.github.io/Logging_DOROTEA/tillsynsmail/A 49684-2020.docx", "A 49684-2020")</f>
        <v/>
      </c>
    </row>
    <row r="205" ht="15" customHeight="1">
      <c r="A205" t="inlineStr">
        <is>
          <t>A 54166-2020</t>
        </is>
      </c>
      <c r="B205" s="1" t="n">
        <v>44125</v>
      </c>
      <c r="C205" s="1" t="n">
        <v>45204</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HYPERLINK("https://klasma.github.io/Logging_ASELE/artfynd/A 54166-2020.xlsx", "A 54166-2020")</f>
        <v/>
      </c>
      <c r="T205">
        <f>HYPERLINK("https://klasma.github.io/Logging_ASELE/kartor/A 54166-2020.png", "A 54166-2020")</f>
        <v/>
      </c>
      <c r="V205">
        <f>HYPERLINK("https://klasma.github.io/Logging_ASELE/klagomål/A 54166-2020.docx", "A 54166-2020")</f>
        <v/>
      </c>
      <c r="W205">
        <f>HYPERLINK("https://klasma.github.io/Logging_ASELE/klagomålsmail/A 54166-2020.docx", "A 54166-2020")</f>
        <v/>
      </c>
      <c r="X205">
        <f>HYPERLINK("https://klasma.github.io/Logging_ASELE/tillsyn/A 54166-2020.docx", "A 54166-2020")</f>
        <v/>
      </c>
      <c r="Y205">
        <f>HYPERLINK("https://klasma.github.io/Logging_ASELE/tillsynsmail/A 54166-2020.docx", "A 54166-2020")</f>
        <v/>
      </c>
    </row>
    <row r="206" ht="15" customHeight="1">
      <c r="A206" t="inlineStr">
        <is>
          <t>A 172-2021</t>
        </is>
      </c>
      <c r="B206" s="1" t="n">
        <v>44199</v>
      </c>
      <c r="C206" s="1" t="n">
        <v>45204</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HYPERLINK("https://klasma.github.io/Logging_VILHELMINA/artfynd/A 172-2021.xlsx", "A 172-2021")</f>
        <v/>
      </c>
      <c r="T206">
        <f>HYPERLINK("https://klasma.github.io/Logging_VILHELMINA/kartor/A 172-2021.png", "A 172-2021")</f>
        <v/>
      </c>
      <c r="V206">
        <f>HYPERLINK("https://klasma.github.io/Logging_VILHELMINA/klagomål/A 172-2021.docx", "A 172-2021")</f>
        <v/>
      </c>
      <c r="W206">
        <f>HYPERLINK("https://klasma.github.io/Logging_VILHELMINA/klagomålsmail/A 172-2021.docx", "A 172-2021")</f>
        <v/>
      </c>
      <c r="X206">
        <f>HYPERLINK("https://klasma.github.io/Logging_VILHELMINA/tillsyn/A 172-2021.docx", "A 172-2021")</f>
        <v/>
      </c>
      <c r="Y206">
        <f>HYPERLINK("https://klasma.github.io/Logging_VILHELMINA/tillsynsmail/A 172-2021.docx", "A 172-2021")</f>
        <v/>
      </c>
    </row>
    <row r="207" ht="15" customHeight="1">
      <c r="A207" t="inlineStr">
        <is>
          <t>A 10306-2021</t>
        </is>
      </c>
      <c r="B207" s="1" t="n">
        <v>44257</v>
      </c>
      <c r="C207" s="1" t="n">
        <v>45204</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HYPERLINK("https://klasma.github.io/Logging_VINDELN/artfynd/A 10306-2021.xlsx", "A 10306-2021")</f>
        <v/>
      </c>
      <c r="T207">
        <f>HYPERLINK("https://klasma.github.io/Logging_VINDELN/kartor/A 10306-2021.png", "A 10306-2021")</f>
        <v/>
      </c>
      <c r="V207">
        <f>HYPERLINK("https://klasma.github.io/Logging_VINDELN/klagomål/A 10306-2021.docx", "A 10306-2021")</f>
        <v/>
      </c>
      <c r="W207">
        <f>HYPERLINK("https://klasma.github.io/Logging_VINDELN/klagomålsmail/A 10306-2021.docx", "A 10306-2021")</f>
        <v/>
      </c>
      <c r="X207">
        <f>HYPERLINK("https://klasma.github.io/Logging_VINDELN/tillsyn/A 10306-2021.docx", "A 10306-2021")</f>
        <v/>
      </c>
      <c r="Y207">
        <f>HYPERLINK("https://klasma.github.io/Logging_VINDELN/tillsynsmail/A 10306-2021.docx", "A 10306-2021")</f>
        <v/>
      </c>
    </row>
    <row r="208" ht="15" customHeight="1">
      <c r="A208" t="inlineStr">
        <is>
          <t>A 18298-2021</t>
        </is>
      </c>
      <c r="B208" s="1" t="n">
        <v>44305</v>
      </c>
      <c r="C208" s="1" t="n">
        <v>45204</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HYPERLINK("https://klasma.github.io/Logging_SKELLEFTEA/artfynd/A 18298-2021.xlsx", "A 18298-2021")</f>
        <v/>
      </c>
      <c r="T208">
        <f>HYPERLINK("https://klasma.github.io/Logging_SKELLEFTEA/kartor/A 18298-2021.png", "A 18298-2021")</f>
        <v/>
      </c>
      <c r="V208">
        <f>HYPERLINK("https://klasma.github.io/Logging_SKELLEFTEA/klagomål/A 18298-2021.docx", "A 18298-2021")</f>
        <v/>
      </c>
      <c r="W208">
        <f>HYPERLINK("https://klasma.github.io/Logging_SKELLEFTEA/klagomålsmail/A 18298-2021.docx", "A 18298-2021")</f>
        <v/>
      </c>
      <c r="X208">
        <f>HYPERLINK("https://klasma.github.io/Logging_SKELLEFTEA/tillsyn/A 18298-2021.docx", "A 18298-2021")</f>
        <v/>
      </c>
      <c r="Y208">
        <f>HYPERLINK("https://klasma.github.io/Logging_SKELLEFTEA/tillsynsmail/A 18298-2021.docx", "A 18298-2021")</f>
        <v/>
      </c>
    </row>
    <row r="209" ht="15" customHeight="1">
      <c r="A209" t="inlineStr">
        <is>
          <t>A 28523-2021</t>
        </is>
      </c>
      <c r="B209" s="1" t="n">
        <v>44356</v>
      </c>
      <c r="C209" s="1" t="n">
        <v>45204</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HYPERLINK("https://klasma.github.io/Logging_SKELLEFTEA/artfynd/A 28523-2021.xlsx", "A 28523-2021")</f>
        <v/>
      </c>
      <c r="T209">
        <f>HYPERLINK("https://klasma.github.io/Logging_SKELLEFTEA/kartor/A 28523-2021.png", "A 28523-2021")</f>
        <v/>
      </c>
      <c r="V209">
        <f>HYPERLINK("https://klasma.github.io/Logging_SKELLEFTEA/klagomål/A 28523-2021.docx", "A 28523-2021")</f>
        <v/>
      </c>
      <c r="W209">
        <f>HYPERLINK("https://klasma.github.io/Logging_SKELLEFTEA/klagomålsmail/A 28523-2021.docx", "A 28523-2021")</f>
        <v/>
      </c>
      <c r="X209">
        <f>HYPERLINK("https://klasma.github.io/Logging_SKELLEFTEA/tillsyn/A 28523-2021.docx", "A 28523-2021")</f>
        <v/>
      </c>
      <c r="Y209">
        <f>HYPERLINK("https://klasma.github.io/Logging_SKELLEFTEA/tillsynsmail/A 28523-2021.docx", "A 28523-2021")</f>
        <v/>
      </c>
    </row>
    <row r="210" ht="15" customHeight="1">
      <c r="A210" t="inlineStr">
        <is>
          <t>A 36104-2021</t>
        </is>
      </c>
      <c r="B210" s="1" t="n">
        <v>44386</v>
      </c>
      <c r="C210" s="1" t="n">
        <v>45204</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HYPERLINK("https://klasma.github.io/Logging_SORSELE/artfynd/A 36104-2021.xlsx", "A 36104-2021")</f>
        <v/>
      </c>
      <c r="T210">
        <f>HYPERLINK("https://klasma.github.io/Logging_SORSELE/kartor/A 36104-2021.png", "A 36104-2021")</f>
        <v/>
      </c>
      <c r="V210">
        <f>HYPERLINK("https://klasma.github.io/Logging_SORSELE/klagomål/A 36104-2021.docx", "A 36104-2021")</f>
        <v/>
      </c>
      <c r="W210">
        <f>HYPERLINK("https://klasma.github.io/Logging_SORSELE/klagomålsmail/A 36104-2021.docx", "A 36104-2021")</f>
        <v/>
      </c>
      <c r="X210">
        <f>HYPERLINK("https://klasma.github.io/Logging_SORSELE/tillsyn/A 36104-2021.docx", "A 36104-2021")</f>
        <v/>
      </c>
      <c r="Y210">
        <f>HYPERLINK("https://klasma.github.io/Logging_SORSELE/tillsynsmail/A 36104-2021.docx", "A 36104-2021")</f>
        <v/>
      </c>
    </row>
    <row r="211" ht="15" customHeight="1">
      <c r="A211" t="inlineStr">
        <is>
          <t>A 42835-2021</t>
        </is>
      </c>
      <c r="B211" s="1" t="n">
        <v>44430</v>
      </c>
      <c r="C211" s="1" t="n">
        <v>45204</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HYPERLINK("https://klasma.github.io/Logging_STORUMAN/artfynd/A 42835-2021.xlsx", "A 42835-2021")</f>
        <v/>
      </c>
      <c r="T211">
        <f>HYPERLINK("https://klasma.github.io/Logging_STORUMAN/kartor/A 42835-2021.png", "A 42835-2021")</f>
        <v/>
      </c>
      <c r="V211">
        <f>HYPERLINK("https://klasma.github.io/Logging_STORUMAN/klagomål/A 42835-2021.docx", "A 42835-2021")</f>
        <v/>
      </c>
      <c r="W211">
        <f>HYPERLINK("https://klasma.github.io/Logging_STORUMAN/klagomålsmail/A 42835-2021.docx", "A 42835-2021")</f>
        <v/>
      </c>
      <c r="X211">
        <f>HYPERLINK("https://klasma.github.io/Logging_STORUMAN/tillsyn/A 42835-2021.docx", "A 42835-2021")</f>
        <v/>
      </c>
      <c r="Y211">
        <f>HYPERLINK("https://klasma.github.io/Logging_STORUMAN/tillsynsmail/A 42835-2021.docx", "A 42835-2021")</f>
        <v/>
      </c>
    </row>
    <row r="212" ht="15" customHeight="1">
      <c r="A212" t="inlineStr">
        <is>
          <t>A 73633-2021</t>
        </is>
      </c>
      <c r="B212" s="1" t="n">
        <v>44552</v>
      </c>
      <c r="C212" s="1" t="n">
        <v>45204</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HYPERLINK("https://klasma.github.io/Logging_SKELLEFTEA/artfynd/A 73633-2021.xlsx", "A 73633-2021")</f>
        <v/>
      </c>
      <c r="T212">
        <f>HYPERLINK("https://klasma.github.io/Logging_SKELLEFTEA/kartor/A 73633-2021.png", "A 73633-2021")</f>
        <v/>
      </c>
      <c r="V212">
        <f>HYPERLINK("https://klasma.github.io/Logging_SKELLEFTEA/klagomål/A 73633-2021.docx", "A 73633-2021")</f>
        <v/>
      </c>
      <c r="W212">
        <f>HYPERLINK("https://klasma.github.io/Logging_SKELLEFTEA/klagomålsmail/A 73633-2021.docx", "A 73633-2021")</f>
        <v/>
      </c>
      <c r="X212">
        <f>HYPERLINK("https://klasma.github.io/Logging_SKELLEFTEA/tillsyn/A 73633-2021.docx", "A 73633-2021")</f>
        <v/>
      </c>
      <c r="Y212">
        <f>HYPERLINK("https://klasma.github.io/Logging_SKELLEFTEA/tillsynsmail/A 73633-2021.docx", "A 73633-2021")</f>
        <v/>
      </c>
    </row>
    <row r="213" ht="15" customHeight="1">
      <c r="A213" t="inlineStr">
        <is>
          <t>A 2451-2022</t>
        </is>
      </c>
      <c r="B213" s="1" t="n">
        <v>44579</v>
      </c>
      <c r="C213" s="1" t="n">
        <v>45204</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HYPERLINK("https://klasma.github.io/Logging_SKELLEFTEA/artfynd/A 2451-2022.xlsx", "A 2451-2022")</f>
        <v/>
      </c>
      <c r="T213">
        <f>HYPERLINK("https://klasma.github.io/Logging_SKELLEFTEA/kartor/A 2451-2022.png", "A 2451-2022")</f>
        <v/>
      </c>
      <c r="V213">
        <f>HYPERLINK("https://klasma.github.io/Logging_SKELLEFTEA/klagomål/A 2451-2022.docx", "A 2451-2022")</f>
        <v/>
      </c>
      <c r="W213">
        <f>HYPERLINK("https://klasma.github.io/Logging_SKELLEFTEA/klagomålsmail/A 2451-2022.docx", "A 2451-2022")</f>
        <v/>
      </c>
      <c r="X213">
        <f>HYPERLINK("https://klasma.github.io/Logging_SKELLEFTEA/tillsyn/A 2451-2022.docx", "A 2451-2022")</f>
        <v/>
      </c>
      <c r="Y213">
        <f>HYPERLINK("https://klasma.github.io/Logging_SKELLEFTEA/tillsynsmail/A 2451-2022.docx", "A 2451-2022")</f>
        <v/>
      </c>
    </row>
    <row r="214" ht="15" customHeight="1">
      <c r="A214" t="inlineStr">
        <is>
          <t>A 11586-2022</t>
        </is>
      </c>
      <c r="B214" s="1" t="n">
        <v>44631</v>
      </c>
      <c r="C214" s="1" t="n">
        <v>45204</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HYPERLINK("https://klasma.github.io/Logging_STORUMAN/artfynd/A 11586-2022.xlsx", "A 11586-2022")</f>
        <v/>
      </c>
      <c r="T214">
        <f>HYPERLINK("https://klasma.github.io/Logging_STORUMAN/kartor/A 11586-2022.png", "A 11586-2022")</f>
        <v/>
      </c>
      <c r="U214">
        <f>HYPERLINK("https://klasma.github.io/Logging_STORUMAN/knärot/A 11586-2022.png", "A 11586-2022")</f>
        <v/>
      </c>
      <c r="V214">
        <f>HYPERLINK("https://klasma.github.io/Logging_STORUMAN/klagomål/A 11586-2022.docx", "A 11586-2022")</f>
        <v/>
      </c>
      <c r="W214">
        <f>HYPERLINK("https://klasma.github.io/Logging_STORUMAN/klagomålsmail/A 11586-2022.docx", "A 11586-2022")</f>
        <v/>
      </c>
      <c r="X214">
        <f>HYPERLINK("https://klasma.github.io/Logging_STORUMAN/tillsyn/A 11586-2022.docx", "A 11586-2022")</f>
        <v/>
      </c>
      <c r="Y214">
        <f>HYPERLINK("https://klasma.github.io/Logging_STORUMAN/tillsynsmail/A 11586-2022.docx", "A 11586-2022")</f>
        <v/>
      </c>
    </row>
    <row r="215" ht="15" customHeight="1">
      <c r="A215" t="inlineStr">
        <is>
          <t>A 23008-2022</t>
        </is>
      </c>
      <c r="B215" s="1" t="n">
        <v>44715</v>
      </c>
      <c r="C215" s="1" t="n">
        <v>45204</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HYPERLINK("https://klasma.github.io/Logging_UMEA/artfynd/A 23008-2022.xlsx", "A 23008-2022")</f>
        <v/>
      </c>
      <c r="T215">
        <f>HYPERLINK("https://klasma.github.io/Logging_UMEA/kartor/A 23008-2022.png", "A 23008-2022")</f>
        <v/>
      </c>
      <c r="V215">
        <f>HYPERLINK("https://klasma.github.io/Logging_UMEA/klagomål/A 23008-2022.docx", "A 23008-2022")</f>
        <v/>
      </c>
      <c r="W215">
        <f>HYPERLINK("https://klasma.github.io/Logging_UMEA/klagomålsmail/A 23008-2022.docx", "A 23008-2022")</f>
        <v/>
      </c>
      <c r="X215">
        <f>HYPERLINK("https://klasma.github.io/Logging_UMEA/tillsyn/A 23008-2022.docx", "A 23008-2022")</f>
        <v/>
      </c>
      <c r="Y215">
        <f>HYPERLINK("https://klasma.github.io/Logging_UMEA/tillsynsmail/A 23008-2022.docx", "A 23008-2022")</f>
        <v/>
      </c>
    </row>
    <row r="216" ht="15" customHeight="1">
      <c r="A216" t="inlineStr">
        <is>
          <t>A 50916-2022</t>
        </is>
      </c>
      <c r="B216" s="1" t="n">
        <v>44865</v>
      </c>
      <c r="C216" s="1" t="n">
        <v>45204</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HYPERLINK("https://klasma.github.io/Logging_SORSELE/artfynd/A 50916-2022.xlsx", "A 50916-2022")</f>
        <v/>
      </c>
      <c r="T216">
        <f>HYPERLINK("https://klasma.github.io/Logging_SORSELE/kartor/A 50916-2022.png", "A 50916-2022")</f>
        <v/>
      </c>
      <c r="V216">
        <f>HYPERLINK("https://klasma.github.io/Logging_SORSELE/klagomål/A 50916-2022.docx", "A 50916-2022")</f>
        <v/>
      </c>
      <c r="W216">
        <f>HYPERLINK("https://klasma.github.io/Logging_SORSELE/klagomålsmail/A 50916-2022.docx", "A 50916-2022")</f>
        <v/>
      </c>
      <c r="X216">
        <f>HYPERLINK("https://klasma.github.io/Logging_SORSELE/tillsyn/A 50916-2022.docx", "A 50916-2022")</f>
        <v/>
      </c>
      <c r="Y216">
        <f>HYPERLINK("https://klasma.github.io/Logging_SORSELE/tillsynsmail/A 50916-2022.docx", "A 50916-2022")</f>
        <v/>
      </c>
    </row>
    <row r="217" ht="15" customHeight="1">
      <c r="A217" t="inlineStr">
        <is>
          <t>A 50969-2022</t>
        </is>
      </c>
      <c r="B217" s="1" t="n">
        <v>44867</v>
      </c>
      <c r="C217" s="1" t="n">
        <v>45204</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HYPERLINK("https://klasma.github.io/Logging_UMEA/artfynd/A 50969-2022.xlsx", "A 50969-2022")</f>
        <v/>
      </c>
      <c r="T217">
        <f>HYPERLINK("https://klasma.github.io/Logging_UMEA/kartor/A 50969-2022.png", "A 50969-2022")</f>
        <v/>
      </c>
      <c r="V217">
        <f>HYPERLINK("https://klasma.github.io/Logging_UMEA/klagomål/A 50969-2022.docx", "A 50969-2022")</f>
        <v/>
      </c>
      <c r="W217">
        <f>HYPERLINK("https://klasma.github.io/Logging_UMEA/klagomålsmail/A 50969-2022.docx", "A 50969-2022")</f>
        <v/>
      </c>
      <c r="X217">
        <f>HYPERLINK("https://klasma.github.io/Logging_UMEA/tillsyn/A 50969-2022.docx", "A 50969-2022")</f>
        <v/>
      </c>
      <c r="Y217">
        <f>HYPERLINK("https://klasma.github.io/Logging_UMEA/tillsynsmail/A 50969-2022.docx", "A 50969-2022")</f>
        <v/>
      </c>
    </row>
    <row r="218" ht="15" customHeight="1">
      <c r="A218" t="inlineStr">
        <is>
          <t>A 14108-2023</t>
        </is>
      </c>
      <c r="B218" s="1" t="n">
        <v>45009</v>
      </c>
      <c r="C218" s="1" t="n">
        <v>45204</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HYPERLINK("https://klasma.github.io/Logging_BJURHOLM/artfynd/A 14108-2023.xlsx", "A 14108-2023")</f>
        <v/>
      </c>
      <c r="T218">
        <f>HYPERLINK("https://klasma.github.io/Logging_BJURHOLM/kartor/A 14108-2023.png", "A 14108-2023")</f>
        <v/>
      </c>
      <c r="U218">
        <f>HYPERLINK("https://klasma.github.io/Logging_BJURHOLM/knärot/A 14108-2023.png", "A 14108-2023")</f>
        <v/>
      </c>
      <c r="V218">
        <f>HYPERLINK("https://klasma.github.io/Logging_BJURHOLM/klagomål/A 14108-2023.docx", "A 14108-2023")</f>
        <v/>
      </c>
      <c r="W218">
        <f>HYPERLINK("https://klasma.github.io/Logging_BJURHOLM/klagomålsmail/A 14108-2023.docx", "A 14108-2023")</f>
        <v/>
      </c>
      <c r="X218">
        <f>HYPERLINK("https://klasma.github.io/Logging_BJURHOLM/tillsyn/A 14108-2023.docx", "A 14108-2023")</f>
        <v/>
      </c>
      <c r="Y218">
        <f>HYPERLINK("https://klasma.github.io/Logging_BJURHOLM/tillsynsmail/A 14108-2023.docx", "A 14108-2023")</f>
        <v/>
      </c>
    </row>
    <row r="219" ht="15" customHeight="1">
      <c r="A219" t="inlineStr">
        <is>
          <t>A 21553-2023</t>
        </is>
      </c>
      <c r="B219" s="1" t="n">
        <v>45061</v>
      </c>
      <c r="C219" s="1" t="n">
        <v>45204</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HYPERLINK("https://klasma.github.io/Logging_SKELLEFTEA/artfynd/A 21553-2023.xlsx", "A 21553-2023")</f>
        <v/>
      </c>
      <c r="T219">
        <f>HYPERLINK("https://klasma.github.io/Logging_SKELLEFTEA/kartor/A 21553-2023.png", "A 21553-2023")</f>
        <v/>
      </c>
      <c r="V219">
        <f>HYPERLINK("https://klasma.github.io/Logging_SKELLEFTEA/klagomål/A 21553-2023.docx", "A 21553-2023")</f>
        <v/>
      </c>
      <c r="W219">
        <f>HYPERLINK("https://klasma.github.io/Logging_SKELLEFTEA/klagomålsmail/A 21553-2023.docx", "A 21553-2023")</f>
        <v/>
      </c>
      <c r="X219">
        <f>HYPERLINK("https://klasma.github.io/Logging_SKELLEFTEA/tillsyn/A 21553-2023.docx", "A 21553-2023")</f>
        <v/>
      </c>
      <c r="Y219">
        <f>HYPERLINK("https://klasma.github.io/Logging_SKELLEFTEA/tillsynsmail/A 21553-2023.docx", "A 21553-2023")</f>
        <v/>
      </c>
    </row>
    <row r="220" ht="15" customHeight="1">
      <c r="A220" t="inlineStr">
        <is>
          <t>A 33659-2023</t>
        </is>
      </c>
      <c r="B220" s="1" t="n">
        <v>45119</v>
      </c>
      <c r="C220" s="1" t="n">
        <v>45204</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HYPERLINK("https://klasma.github.io/Logging_DOROTEA/artfynd/A 33659-2023.xlsx", "A 33659-2023")</f>
        <v/>
      </c>
      <c r="T220">
        <f>HYPERLINK("https://klasma.github.io/Logging_DOROTEA/kartor/A 33659-2023.png", "A 33659-2023")</f>
        <v/>
      </c>
      <c r="V220">
        <f>HYPERLINK("https://klasma.github.io/Logging_DOROTEA/klagomål/A 33659-2023.docx", "A 33659-2023")</f>
        <v/>
      </c>
      <c r="W220">
        <f>HYPERLINK("https://klasma.github.io/Logging_DOROTEA/klagomålsmail/A 33659-2023.docx", "A 33659-2023")</f>
        <v/>
      </c>
      <c r="X220">
        <f>HYPERLINK("https://klasma.github.io/Logging_DOROTEA/tillsyn/A 33659-2023.docx", "A 33659-2023")</f>
        <v/>
      </c>
      <c r="Y220">
        <f>HYPERLINK("https://klasma.github.io/Logging_DOROTEA/tillsynsmail/A 33659-2023.docx", "A 33659-2023")</f>
        <v/>
      </c>
    </row>
    <row r="221" ht="15" customHeight="1">
      <c r="A221" t="inlineStr">
        <is>
          <t>A 32625-2023</t>
        </is>
      </c>
      <c r="B221" s="1" t="n">
        <v>45121</v>
      </c>
      <c r="C221" s="1" t="n">
        <v>45204</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HYPERLINK("https://klasma.github.io/Logging_LYCKSELE/artfynd/A 32625-2023.xlsx", "A 32625-2023")</f>
        <v/>
      </c>
      <c r="T221">
        <f>HYPERLINK("https://klasma.github.io/Logging_LYCKSELE/kartor/A 32625-2023.png", "A 32625-2023")</f>
        <v/>
      </c>
      <c r="V221">
        <f>HYPERLINK("https://klasma.github.io/Logging_LYCKSELE/klagomål/A 32625-2023.docx", "A 32625-2023")</f>
        <v/>
      </c>
      <c r="W221">
        <f>HYPERLINK("https://klasma.github.io/Logging_LYCKSELE/klagomålsmail/A 32625-2023.docx", "A 32625-2023")</f>
        <v/>
      </c>
      <c r="X221">
        <f>HYPERLINK("https://klasma.github.io/Logging_LYCKSELE/tillsyn/A 32625-2023.docx", "A 32625-2023")</f>
        <v/>
      </c>
      <c r="Y221">
        <f>HYPERLINK("https://klasma.github.io/Logging_LYCKSELE/tillsynsmail/A 32625-2023.docx", "A 32625-2023")</f>
        <v/>
      </c>
    </row>
    <row r="222" ht="15" customHeight="1">
      <c r="A222" t="inlineStr">
        <is>
          <t>A 36140-2023</t>
        </is>
      </c>
      <c r="B222" s="1" t="n">
        <v>45149</v>
      </c>
      <c r="C222" s="1" t="n">
        <v>45204</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HYPERLINK("https://klasma.github.io/Logging_SKELLEFTEA/artfynd/A 36140-2023.xlsx", "A 36140-2023")</f>
        <v/>
      </c>
      <c r="T222">
        <f>HYPERLINK("https://klasma.github.io/Logging_SKELLEFTEA/kartor/A 36140-2023.png", "A 36140-2023")</f>
        <v/>
      </c>
      <c r="V222">
        <f>HYPERLINK("https://klasma.github.io/Logging_SKELLEFTEA/klagomål/A 36140-2023.docx", "A 36140-2023")</f>
        <v/>
      </c>
      <c r="W222">
        <f>HYPERLINK("https://klasma.github.io/Logging_SKELLEFTEA/klagomålsmail/A 36140-2023.docx", "A 36140-2023")</f>
        <v/>
      </c>
      <c r="X222">
        <f>HYPERLINK("https://klasma.github.io/Logging_SKELLEFTEA/tillsyn/A 36140-2023.docx", "A 36140-2023")</f>
        <v/>
      </c>
      <c r="Y222">
        <f>HYPERLINK("https://klasma.github.io/Logging_SKELLEFTEA/tillsynsmail/A 36140-2023.docx", "A 36140-2023")</f>
        <v/>
      </c>
    </row>
    <row r="223" ht="15" customHeight="1">
      <c r="A223" t="inlineStr">
        <is>
          <t>A 36446-2018</t>
        </is>
      </c>
      <c r="B223" s="1" t="n">
        <v>43329</v>
      </c>
      <c r="C223" s="1" t="n">
        <v>45204</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HYPERLINK("https://klasma.github.io/Logging_STORUMAN/artfynd/A 36446-2018.xlsx", "A 36446-2018")</f>
        <v/>
      </c>
      <c r="T223">
        <f>HYPERLINK("https://klasma.github.io/Logging_STORUMAN/kartor/A 36446-2018.png", "A 36446-2018")</f>
        <v/>
      </c>
      <c r="V223">
        <f>HYPERLINK("https://klasma.github.io/Logging_STORUMAN/klagomål/A 36446-2018.docx", "A 36446-2018")</f>
        <v/>
      </c>
      <c r="W223">
        <f>HYPERLINK("https://klasma.github.io/Logging_STORUMAN/klagomålsmail/A 36446-2018.docx", "A 36446-2018")</f>
        <v/>
      </c>
      <c r="X223">
        <f>HYPERLINK("https://klasma.github.io/Logging_STORUMAN/tillsyn/A 36446-2018.docx", "A 36446-2018")</f>
        <v/>
      </c>
      <c r="Y223">
        <f>HYPERLINK("https://klasma.github.io/Logging_STORUMAN/tillsynsmail/A 36446-2018.docx", "A 36446-2018")</f>
        <v/>
      </c>
    </row>
    <row r="224" ht="15" customHeight="1">
      <c r="A224" t="inlineStr">
        <is>
          <t>A 37062-2018</t>
        </is>
      </c>
      <c r="B224" s="1" t="n">
        <v>43333</v>
      </c>
      <c r="C224" s="1" t="n">
        <v>45204</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HYPERLINK("https://klasma.github.io/Logging_UMEA/artfynd/A 37062-2018.xlsx", "A 37062-2018")</f>
        <v/>
      </c>
      <c r="T224">
        <f>HYPERLINK("https://klasma.github.io/Logging_UMEA/kartor/A 37062-2018.png", "A 37062-2018")</f>
        <v/>
      </c>
      <c r="V224">
        <f>HYPERLINK("https://klasma.github.io/Logging_UMEA/klagomål/A 37062-2018.docx", "A 37062-2018")</f>
        <v/>
      </c>
      <c r="W224">
        <f>HYPERLINK("https://klasma.github.io/Logging_UMEA/klagomålsmail/A 37062-2018.docx", "A 37062-2018")</f>
        <v/>
      </c>
      <c r="X224">
        <f>HYPERLINK("https://klasma.github.io/Logging_UMEA/tillsyn/A 37062-2018.docx", "A 37062-2018")</f>
        <v/>
      </c>
      <c r="Y224">
        <f>HYPERLINK("https://klasma.github.io/Logging_UMEA/tillsynsmail/A 37062-2018.docx", "A 37062-2018")</f>
        <v/>
      </c>
    </row>
    <row r="225" ht="15" customHeight="1">
      <c r="A225" t="inlineStr">
        <is>
          <t>A 57183-2018</t>
        </is>
      </c>
      <c r="B225" s="1" t="n">
        <v>43403</v>
      </c>
      <c r="C225" s="1" t="n">
        <v>45204</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HYPERLINK("https://klasma.github.io/Logging_SKELLEFTEA/artfynd/A 57183-2018.xlsx", "A 57183-2018")</f>
        <v/>
      </c>
      <c r="T225">
        <f>HYPERLINK("https://klasma.github.io/Logging_SKELLEFTEA/kartor/A 57183-2018.png", "A 57183-2018")</f>
        <v/>
      </c>
      <c r="V225">
        <f>HYPERLINK("https://klasma.github.io/Logging_SKELLEFTEA/klagomål/A 57183-2018.docx", "A 57183-2018")</f>
        <v/>
      </c>
      <c r="W225">
        <f>HYPERLINK("https://klasma.github.io/Logging_SKELLEFTEA/klagomålsmail/A 57183-2018.docx", "A 57183-2018")</f>
        <v/>
      </c>
      <c r="X225">
        <f>HYPERLINK("https://klasma.github.io/Logging_SKELLEFTEA/tillsyn/A 57183-2018.docx", "A 57183-2018")</f>
        <v/>
      </c>
      <c r="Y225">
        <f>HYPERLINK("https://klasma.github.io/Logging_SKELLEFTEA/tillsynsmail/A 57183-2018.docx", "A 57183-2018")</f>
        <v/>
      </c>
    </row>
    <row r="226" ht="15" customHeight="1">
      <c r="A226" t="inlineStr">
        <is>
          <t>A 10351-2019</t>
        </is>
      </c>
      <c r="B226" s="1" t="n">
        <v>43511</v>
      </c>
      <c r="C226" s="1" t="n">
        <v>45204</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HYPERLINK("https://klasma.github.io/Logging_STORUMAN/artfynd/A 10351-2019.xlsx", "A 10351-2019")</f>
        <v/>
      </c>
      <c r="T226">
        <f>HYPERLINK("https://klasma.github.io/Logging_STORUMAN/kartor/A 10351-2019.png", "A 10351-2019")</f>
        <v/>
      </c>
      <c r="V226">
        <f>HYPERLINK("https://klasma.github.io/Logging_STORUMAN/klagomål/A 10351-2019.docx", "A 10351-2019")</f>
        <v/>
      </c>
      <c r="W226">
        <f>HYPERLINK("https://klasma.github.io/Logging_STORUMAN/klagomålsmail/A 10351-2019.docx", "A 10351-2019")</f>
        <v/>
      </c>
      <c r="X226">
        <f>HYPERLINK("https://klasma.github.io/Logging_STORUMAN/tillsyn/A 10351-2019.docx", "A 10351-2019")</f>
        <v/>
      </c>
      <c r="Y226">
        <f>HYPERLINK("https://klasma.github.io/Logging_STORUMAN/tillsynsmail/A 10351-2019.docx", "A 10351-2019")</f>
        <v/>
      </c>
    </row>
    <row r="227" ht="15" customHeight="1">
      <c r="A227" t="inlineStr">
        <is>
          <t>A 26888-2019</t>
        </is>
      </c>
      <c r="B227" s="1" t="n">
        <v>43608</v>
      </c>
      <c r="C227" s="1" t="n">
        <v>45204</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HYPERLINK("https://klasma.github.io/Logging_VILHELMINA/artfynd/A 26888-2019.xlsx", "A 26888-2019")</f>
        <v/>
      </c>
      <c r="T227">
        <f>HYPERLINK("https://klasma.github.io/Logging_VILHELMINA/kartor/A 26888-2019.png", "A 26888-2019")</f>
        <v/>
      </c>
      <c r="V227">
        <f>HYPERLINK("https://klasma.github.io/Logging_VILHELMINA/klagomål/A 26888-2019.docx", "A 26888-2019")</f>
        <v/>
      </c>
      <c r="W227">
        <f>HYPERLINK("https://klasma.github.io/Logging_VILHELMINA/klagomålsmail/A 26888-2019.docx", "A 26888-2019")</f>
        <v/>
      </c>
      <c r="X227">
        <f>HYPERLINK("https://klasma.github.io/Logging_VILHELMINA/tillsyn/A 26888-2019.docx", "A 26888-2019")</f>
        <v/>
      </c>
      <c r="Y227">
        <f>HYPERLINK("https://klasma.github.io/Logging_VILHELMINA/tillsynsmail/A 26888-2019.docx", "A 26888-2019")</f>
        <v/>
      </c>
    </row>
    <row r="228" ht="15" customHeight="1">
      <c r="A228" t="inlineStr">
        <is>
          <t>A 48237-2019</t>
        </is>
      </c>
      <c r="B228" s="1" t="n">
        <v>43726</v>
      </c>
      <c r="C228" s="1" t="n">
        <v>45204</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HYPERLINK("https://klasma.github.io/Logging_VILHELMINA/artfynd/A 48237-2019.xlsx", "A 48237-2019")</f>
        <v/>
      </c>
      <c r="T228">
        <f>HYPERLINK("https://klasma.github.io/Logging_VILHELMINA/kartor/A 48237-2019.png", "A 48237-2019")</f>
        <v/>
      </c>
      <c r="V228">
        <f>HYPERLINK("https://klasma.github.io/Logging_VILHELMINA/klagomål/A 48237-2019.docx", "A 48237-2019")</f>
        <v/>
      </c>
      <c r="W228">
        <f>HYPERLINK("https://klasma.github.io/Logging_VILHELMINA/klagomålsmail/A 48237-2019.docx", "A 48237-2019")</f>
        <v/>
      </c>
      <c r="X228">
        <f>HYPERLINK("https://klasma.github.io/Logging_VILHELMINA/tillsyn/A 48237-2019.docx", "A 48237-2019")</f>
        <v/>
      </c>
      <c r="Y228">
        <f>HYPERLINK("https://klasma.github.io/Logging_VILHELMINA/tillsynsmail/A 48237-2019.docx", "A 48237-2019")</f>
        <v/>
      </c>
    </row>
    <row r="229" ht="15" customHeight="1">
      <c r="A229" t="inlineStr">
        <is>
          <t>A 23485-2020</t>
        </is>
      </c>
      <c r="B229" s="1" t="n">
        <v>43966</v>
      </c>
      <c r="C229" s="1" t="n">
        <v>45204</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HYPERLINK("https://klasma.github.io/Logging_SKELLEFTEA/artfynd/A 23485-2020.xlsx", "A 23485-2020")</f>
        <v/>
      </c>
      <c r="T229">
        <f>HYPERLINK("https://klasma.github.io/Logging_SKELLEFTEA/kartor/A 23485-2020.png", "A 23485-2020")</f>
        <v/>
      </c>
      <c r="V229">
        <f>HYPERLINK("https://klasma.github.io/Logging_SKELLEFTEA/klagomål/A 23485-2020.docx", "A 23485-2020")</f>
        <v/>
      </c>
      <c r="W229">
        <f>HYPERLINK("https://klasma.github.io/Logging_SKELLEFTEA/klagomålsmail/A 23485-2020.docx", "A 23485-2020")</f>
        <v/>
      </c>
      <c r="X229">
        <f>HYPERLINK("https://klasma.github.io/Logging_SKELLEFTEA/tillsyn/A 23485-2020.docx", "A 23485-2020")</f>
        <v/>
      </c>
      <c r="Y229">
        <f>HYPERLINK("https://klasma.github.io/Logging_SKELLEFTEA/tillsynsmail/A 23485-2020.docx", "A 23485-2020")</f>
        <v/>
      </c>
    </row>
    <row r="230" ht="15" customHeight="1">
      <c r="A230" t="inlineStr">
        <is>
          <t>A 30834-2020</t>
        </is>
      </c>
      <c r="B230" s="1" t="n">
        <v>44011</v>
      </c>
      <c r="C230" s="1" t="n">
        <v>45204</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HYPERLINK("https://klasma.github.io/Logging_SKELLEFTEA/artfynd/A 30834-2020.xlsx", "A 30834-2020")</f>
        <v/>
      </c>
      <c r="T230">
        <f>HYPERLINK("https://klasma.github.io/Logging_SKELLEFTEA/kartor/A 30834-2020.png", "A 30834-2020")</f>
        <v/>
      </c>
      <c r="V230">
        <f>HYPERLINK("https://klasma.github.io/Logging_SKELLEFTEA/klagomål/A 30834-2020.docx", "A 30834-2020")</f>
        <v/>
      </c>
      <c r="W230">
        <f>HYPERLINK("https://klasma.github.io/Logging_SKELLEFTEA/klagomålsmail/A 30834-2020.docx", "A 30834-2020")</f>
        <v/>
      </c>
      <c r="X230">
        <f>HYPERLINK("https://klasma.github.io/Logging_SKELLEFTEA/tillsyn/A 30834-2020.docx", "A 30834-2020")</f>
        <v/>
      </c>
      <c r="Y230">
        <f>HYPERLINK("https://klasma.github.io/Logging_SKELLEFTEA/tillsynsmail/A 30834-2020.docx", "A 30834-2020")</f>
        <v/>
      </c>
    </row>
    <row r="231" ht="15" customHeight="1">
      <c r="A231" t="inlineStr">
        <is>
          <t>A 33768-2020</t>
        </is>
      </c>
      <c r="B231" s="1" t="n">
        <v>44026</v>
      </c>
      <c r="C231" s="1" t="n">
        <v>45204</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HYPERLINK("https://klasma.github.io/Logging_ASELE/artfynd/A 33768-2020.xlsx", "A 33768-2020")</f>
        <v/>
      </c>
      <c r="T231">
        <f>HYPERLINK("https://klasma.github.io/Logging_ASELE/kartor/A 33768-2020.png", "A 33768-2020")</f>
        <v/>
      </c>
      <c r="V231">
        <f>HYPERLINK("https://klasma.github.io/Logging_ASELE/klagomål/A 33768-2020.docx", "A 33768-2020")</f>
        <v/>
      </c>
      <c r="W231">
        <f>HYPERLINK("https://klasma.github.io/Logging_ASELE/klagomålsmail/A 33768-2020.docx", "A 33768-2020")</f>
        <v/>
      </c>
      <c r="X231">
        <f>HYPERLINK("https://klasma.github.io/Logging_ASELE/tillsyn/A 33768-2020.docx", "A 33768-2020")</f>
        <v/>
      </c>
      <c r="Y231">
        <f>HYPERLINK("https://klasma.github.io/Logging_ASELE/tillsynsmail/A 33768-2020.docx", "A 33768-2020")</f>
        <v/>
      </c>
    </row>
    <row r="232" ht="15" customHeight="1">
      <c r="A232" t="inlineStr">
        <is>
          <t>A 61439-2020</t>
        </is>
      </c>
      <c r="B232" s="1" t="n">
        <v>44157</v>
      </c>
      <c r="C232" s="1" t="n">
        <v>45204</v>
      </c>
      <c r="D232" t="inlineStr">
        <is>
          <t>VÄSTERBOTTENS LÄN</t>
        </is>
      </c>
      <c r="E232" t="inlineStr">
        <is>
          <t>UMEÅ</t>
        </is>
      </c>
      <c r="G232" t="n">
        <v>11.8</v>
      </c>
      <c r="H232" t="n">
        <v>1</v>
      </c>
      <c r="I232" t="n">
        <v>0</v>
      </c>
      <c r="J232" t="n">
        <v>5</v>
      </c>
      <c r="K232" t="n">
        <v>0</v>
      </c>
      <c r="L232" t="n">
        <v>0</v>
      </c>
      <c r="M232" t="n">
        <v>0</v>
      </c>
      <c r="N232" t="n">
        <v>0</v>
      </c>
      <c r="O232" t="n">
        <v>5</v>
      </c>
      <c r="P232" t="n">
        <v>0</v>
      </c>
      <c r="Q232" t="n">
        <v>5</v>
      </c>
      <c r="R232" s="2" t="inlineStr">
        <is>
          <t>Gammelgransskål
Garnlav
Spillkråka
Ullticka
Vitgrynig nållav</t>
        </is>
      </c>
      <c r="S232">
        <f>HYPERLINK("https://klasma.github.io/Logging_UMEA/artfynd/A 61439-2020.xlsx", "A 61439-2020")</f>
        <v/>
      </c>
      <c r="T232">
        <f>HYPERLINK("https://klasma.github.io/Logging_UMEA/kartor/A 61439-2020.png", "A 61439-2020")</f>
        <v/>
      </c>
      <c r="V232">
        <f>HYPERLINK("https://klasma.github.io/Logging_UMEA/klagomål/A 61439-2020.docx", "A 61439-2020")</f>
        <v/>
      </c>
      <c r="W232">
        <f>HYPERLINK("https://klasma.github.io/Logging_UMEA/klagomålsmail/A 61439-2020.docx", "A 61439-2020")</f>
        <v/>
      </c>
      <c r="X232">
        <f>HYPERLINK("https://klasma.github.io/Logging_UMEA/tillsyn/A 61439-2020.docx", "A 61439-2020")</f>
        <v/>
      </c>
      <c r="Y232">
        <f>HYPERLINK("https://klasma.github.io/Logging_UMEA/tillsynsmail/A 61439-2020.docx", "A 61439-2020")</f>
        <v/>
      </c>
    </row>
    <row r="233" ht="15" customHeight="1">
      <c r="A233" t="inlineStr">
        <is>
          <t>A 63239-2020</t>
        </is>
      </c>
      <c r="B233" s="1" t="n">
        <v>44163</v>
      </c>
      <c r="C233" s="1" t="n">
        <v>45204</v>
      </c>
      <c r="D233" t="inlineStr">
        <is>
          <t>VÄSTERBOTTENS LÄN</t>
        </is>
      </c>
      <c r="E233" t="inlineStr">
        <is>
          <t>ROBERTSFORS</t>
        </is>
      </c>
      <c r="F233" t="inlineStr">
        <is>
          <t>Sveaskog</t>
        </is>
      </c>
      <c r="G233" t="n">
        <v>6.1</v>
      </c>
      <c r="H233" t="n">
        <v>0</v>
      </c>
      <c r="I233" t="n">
        <v>2</v>
      </c>
      <c r="J233" t="n">
        <v>3</v>
      </c>
      <c r="K233" t="n">
        <v>0</v>
      </c>
      <c r="L233" t="n">
        <v>0</v>
      </c>
      <c r="M233" t="n">
        <v>0</v>
      </c>
      <c r="N233" t="n">
        <v>0</v>
      </c>
      <c r="O233" t="n">
        <v>3</v>
      </c>
      <c r="P233" t="n">
        <v>0</v>
      </c>
      <c r="Q233" t="n">
        <v>5</v>
      </c>
      <c r="R233" s="2" t="inlineStr">
        <is>
          <t>Gammelgransskål
Stjärntagging
Ullticka
Bronshjon
Vedticka</t>
        </is>
      </c>
      <c r="S233">
        <f>HYPERLINK("https://klasma.github.io/Logging_ROBERTSFORS/artfynd/A 63239-2020.xlsx", "A 63239-2020")</f>
        <v/>
      </c>
      <c r="T233">
        <f>HYPERLINK("https://klasma.github.io/Logging_ROBERTSFORS/kartor/A 63239-2020.png", "A 63239-2020")</f>
        <v/>
      </c>
      <c r="V233">
        <f>HYPERLINK("https://klasma.github.io/Logging_ROBERTSFORS/klagomål/A 63239-2020.docx", "A 63239-2020")</f>
        <v/>
      </c>
      <c r="W233">
        <f>HYPERLINK("https://klasma.github.io/Logging_ROBERTSFORS/klagomålsmail/A 63239-2020.docx", "A 63239-2020")</f>
        <v/>
      </c>
      <c r="X233">
        <f>HYPERLINK("https://klasma.github.io/Logging_ROBERTSFORS/tillsyn/A 63239-2020.docx", "A 63239-2020")</f>
        <v/>
      </c>
      <c r="Y233">
        <f>HYPERLINK("https://klasma.github.io/Logging_ROBERTSFORS/tillsynsmail/A 63239-2020.docx", "A 63239-2020")</f>
        <v/>
      </c>
    </row>
    <row r="234" ht="15" customHeight="1">
      <c r="A234" t="inlineStr">
        <is>
          <t>A 5106-2021</t>
        </is>
      </c>
      <c r="B234" s="1" t="n">
        <v>44228</v>
      </c>
      <c r="C234" s="1" t="n">
        <v>45204</v>
      </c>
      <c r="D234" t="inlineStr">
        <is>
          <t>VÄSTERBOTTENS LÄN</t>
        </is>
      </c>
      <c r="E234" t="inlineStr">
        <is>
          <t>STORUMAN</t>
        </is>
      </c>
      <c r="F234" t="inlineStr">
        <is>
          <t>Sveaskog</t>
        </is>
      </c>
      <c r="G234" t="n">
        <v>15.5</v>
      </c>
      <c r="H234" t="n">
        <v>0</v>
      </c>
      <c r="I234" t="n">
        <v>0</v>
      </c>
      <c r="J234" t="n">
        <v>4</v>
      </c>
      <c r="K234" t="n">
        <v>1</v>
      </c>
      <c r="L234" t="n">
        <v>0</v>
      </c>
      <c r="M234" t="n">
        <v>0</v>
      </c>
      <c r="N234" t="n">
        <v>0</v>
      </c>
      <c r="O234" t="n">
        <v>5</v>
      </c>
      <c r="P234" t="n">
        <v>1</v>
      </c>
      <c r="Q234" t="n">
        <v>5</v>
      </c>
      <c r="R234" s="2" t="inlineStr">
        <is>
          <t>Tallgråticka
Garnlav
Motaggsvamp
Skrovlig taggsvamp
Tallticka</t>
        </is>
      </c>
      <c r="S234">
        <f>HYPERLINK("https://klasma.github.io/Logging_STORUMAN/artfynd/A 5106-2021.xlsx", "A 5106-2021")</f>
        <v/>
      </c>
      <c r="T234">
        <f>HYPERLINK("https://klasma.github.io/Logging_STORUMAN/kartor/A 5106-2021.png", "A 5106-2021")</f>
        <v/>
      </c>
      <c r="V234">
        <f>HYPERLINK("https://klasma.github.io/Logging_STORUMAN/klagomål/A 5106-2021.docx", "A 5106-2021")</f>
        <v/>
      </c>
      <c r="W234">
        <f>HYPERLINK("https://klasma.github.io/Logging_STORUMAN/klagomålsmail/A 5106-2021.docx", "A 5106-2021")</f>
        <v/>
      </c>
      <c r="X234">
        <f>HYPERLINK("https://klasma.github.io/Logging_STORUMAN/tillsyn/A 5106-2021.docx", "A 5106-2021")</f>
        <v/>
      </c>
      <c r="Y234">
        <f>HYPERLINK("https://klasma.github.io/Logging_STORUMAN/tillsynsmail/A 5106-2021.docx", "A 5106-2021")</f>
        <v/>
      </c>
    </row>
    <row r="235" ht="15" customHeight="1">
      <c r="A235" t="inlineStr">
        <is>
          <t>A 24279-2021</t>
        </is>
      </c>
      <c r="B235" s="1" t="n">
        <v>44336</v>
      </c>
      <c r="C235" s="1" t="n">
        <v>45204</v>
      </c>
      <c r="D235" t="inlineStr">
        <is>
          <t>VÄSTERBOTTENS LÄN</t>
        </is>
      </c>
      <c r="E235" t="inlineStr">
        <is>
          <t>SORSELE</t>
        </is>
      </c>
      <c r="G235" t="n">
        <v>47.2</v>
      </c>
      <c r="H235" t="n">
        <v>0</v>
      </c>
      <c r="I235" t="n">
        <v>2</v>
      </c>
      <c r="J235" t="n">
        <v>2</v>
      </c>
      <c r="K235" t="n">
        <v>1</v>
      </c>
      <c r="L235" t="n">
        <v>0</v>
      </c>
      <c r="M235" t="n">
        <v>0</v>
      </c>
      <c r="N235" t="n">
        <v>0</v>
      </c>
      <c r="O235" t="n">
        <v>3</v>
      </c>
      <c r="P235" t="n">
        <v>1</v>
      </c>
      <c r="Q235" t="n">
        <v>5</v>
      </c>
      <c r="R235" s="2" t="inlineStr">
        <is>
          <t>Grenlav
Garnlav
Granticka
Skinnlav
Vedticka</t>
        </is>
      </c>
      <c r="S235">
        <f>HYPERLINK("https://klasma.github.io/Logging_SORSELE/artfynd/A 24279-2021.xlsx", "A 24279-2021")</f>
        <v/>
      </c>
      <c r="T235">
        <f>HYPERLINK("https://klasma.github.io/Logging_SORSELE/kartor/A 24279-2021.png", "A 24279-2021")</f>
        <v/>
      </c>
      <c r="V235">
        <f>HYPERLINK("https://klasma.github.io/Logging_SORSELE/klagomål/A 24279-2021.docx", "A 24279-2021")</f>
        <v/>
      </c>
      <c r="W235">
        <f>HYPERLINK("https://klasma.github.io/Logging_SORSELE/klagomålsmail/A 24279-2021.docx", "A 24279-2021")</f>
        <v/>
      </c>
      <c r="X235">
        <f>HYPERLINK("https://klasma.github.io/Logging_SORSELE/tillsyn/A 24279-2021.docx", "A 24279-2021")</f>
        <v/>
      </c>
      <c r="Y235">
        <f>HYPERLINK("https://klasma.github.io/Logging_SORSELE/tillsynsmail/A 24279-2021.docx", "A 24279-2021")</f>
        <v/>
      </c>
    </row>
    <row r="236" ht="15" customHeight="1">
      <c r="A236" t="inlineStr">
        <is>
          <t>A 25468-2021</t>
        </is>
      </c>
      <c r="B236" s="1" t="n">
        <v>44342</v>
      </c>
      <c r="C236" s="1" t="n">
        <v>45204</v>
      </c>
      <c r="D236" t="inlineStr">
        <is>
          <t>VÄSTERBOTTENS LÄN</t>
        </is>
      </c>
      <c r="E236" t="inlineStr">
        <is>
          <t>SKELLEFTEÅ</t>
        </is>
      </c>
      <c r="G236" t="n">
        <v>3.2</v>
      </c>
      <c r="H236" t="n">
        <v>2</v>
      </c>
      <c r="I236" t="n">
        <v>2</v>
      </c>
      <c r="J236" t="n">
        <v>3</v>
      </c>
      <c r="K236" t="n">
        <v>0</v>
      </c>
      <c r="L236" t="n">
        <v>0</v>
      </c>
      <c r="M236" t="n">
        <v>0</v>
      </c>
      <c r="N236" t="n">
        <v>0</v>
      </c>
      <c r="O236" t="n">
        <v>3</v>
      </c>
      <c r="P236" t="n">
        <v>0</v>
      </c>
      <c r="Q236" t="n">
        <v>5</v>
      </c>
      <c r="R236" s="2" t="inlineStr">
        <is>
          <t>Garnlav
Spillkråka
Ärtsångare
Skinnlav
Stuplav</t>
        </is>
      </c>
      <c r="S236">
        <f>HYPERLINK("https://klasma.github.io/Logging_SKELLEFTEA/artfynd/A 25468-2021.xlsx", "A 25468-2021")</f>
        <v/>
      </c>
      <c r="T236">
        <f>HYPERLINK("https://klasma.github.io/Logging_SKELLEFTEA/kartor/A 25468-2021.png", "A 25468-2021")</f>
        <v/>
      </c>
      <c r="V236">
        <f>HYPERLINK("https://klasma.github.io/Logging_SKELLEFTEA/klagomål/A 25468-2021.docx", "A 25468-2021")</f>
        <v/>
      </c>
      <c r="W236">
        <f>HYPERLINK("https://klasma.github.io/Logging_SKELLEFTEA/klagomålsmail/A 25468-2021.docx", "A 25468-2021")</f>
        <v/>
      </c>
      <c r="X236">
        <f>HYPERLINK("https://klasma.github.io/Logging_SKELLEFTEA/tillsyn/A 25468-2021.docx", "A 25468-2021")</f>
        <v/>
      </c>
      <c r="Y236">
        <f>HYPERLINK("https://klasma.github.io/Logging_SKELLEFTEA/tillsynsmail/A 25468-2021.docx", "A 25468-2021")</f>
        <v/>
      </c>
    </row>
    <row r="237" ht="15" customHeight="1">
      <c r="A237" t="inlineStr">
        <is>
          <t>A 39032-2021</t>
        </is>
      </c>
      <c r="B237" s="1" t="n">
        <v>44412</v>
      </c>
      <c r="C237" s="1" t="n">
        <v>45204</v>
      </c>
      <c r="D237" t="inlineStr">
        <is>
          <t>VÄSTERBOTTENS LÄN</t>
        </is>
      </c>
      <c r="E237" t="inlineStr">
        <is>
          <t>LYCKSELE</t>
        </is>
      </c>
      <c r="F237" t="inlineStr">
        <is>
          <t>Sveaskog</t>
        </is>
      </c>
      <c r="G237" t="n">
        <v>9.300000000000001</v>
      </c>
      <c r="H237" t="n">
        <v>0</v>
      </c>
      <c r="I237" t="n">
        <v>1</v>
      </c>
      <c r="J237" t="n">
        <v>4</v>
      </c>
      <c r="K237" t="n">
        <v>0</v>
      </c>
      <c r="L237" t="n">
        <v>0</v>
      </c>
      <c r="M237" t="n">
        <v>0</v>
      </c>
      <c r="N237" t="n">
        <v>0</v>
      </c>
      <c r="O237" t="n">
        <v>4</v>
      </c>
      <c r="P237" t="n">
        <v>0</v>
      </c>
      <c r="Q237" t="n">
        <v>5</v>
      </c>
      <c r="R237" s="2" t="inlineStr">
        <is>
          <t>Dvärgbägarlav
Skrovlig taggsvamp
Talltaggsvamp
Vaddporing
Dropptaggsvamp</t>
        </is>
      </c>
      <c r="S237">
        <f>HYPERLINK("https://klasma.github.io/Logging_LYCKSELE/artfynd/A 39032-2021.xlsx", "A 39032-2021")</f>
        <v/>
      </c>
      <c r="T237">
        <f>HYPERLINK("https://klasma.github.io/Logging_LYCKSELE/kartor/A 39032-2021.png", "A 39032-2021")</f>
        <v/>
      </c>
      <c r="V237">
        <f>HYPERLINK("https://klasma.github.io/Logging_LYCKSELE/klagomål/A 39032-2021.docx", "A 39032-2021")</f>
        <v/>
      </c>
      <c r="W237">
        <f>HYPERLINK("https://klasma.github.io/Logging_LYCKSELE/klagomålsmail/A 39032-2021.docx", "A 39032-2021")</f>
        <v/>
      </c>
      <c r="X237">
        <f>HYPERLINK("https://klasma.github.io/Logging_LYCKSELE/tillsyn/A 39032-2021.docx", "A 39032-2021")</f>
        <v/>
      </c>
      <c r="Y237">
        <f>HYPERLINK("https://klasma.github.io/Logging_LYCKSELE/tillsynsmail/A 39032-2021.docx", "A 39032-2021")</f>
        <v/>
      </c>
    </row>
    <row r="238" ht="15" customHeight="1">
      <c r="A238" t="inlineStr">
        <is>
          <t>A 54981-2021</t>
        </is>
      </c>
      <c r="B238" s="1" t="n">
        <v>44474</v>
      </c>
      <c r="C238" s="1" t="n">
        <v>45204</v>
      </c>
      <c r="D238" t="inlineStr">
        <is>
          <t>VÄSTERBOTTENS LÄN</t>
        </is>
      </c>
      <c r="E238" t="inlineStr">
        <is>
          <t>DOROTEA</t>
        </is>
      </c>
      <c r="F238" t="inlineStr">
        <is>
          <t>Övriga statliga verk och myndigheter</t>
        </is>
      </c>
      <c r="G238" t="n">
        <v>15.6</v>
      </c>
      <c r="H238" t="n">
        <v>0</v>
      </c>
      <c r="I238" t="n">
        <v>0</v>
      </c>
      <c r="J238" t="n">
        <v>2</v>
      </c>
      <c r="K238" t="n">
        <v>2</v>
      </c>
      <c r="L238" t="n">
        <v>1</v>
      </c>
      <c r="M238" t="n">
        <v>0</v>
      </c>
      <c r="N238" t="n">
        <v>0</v>
      </c>
      <c r="O238" t="n">
        <v>5</v>
      </c>
      <c r="P238" t="n">
        <v>3</v>
      </c>
      <c r="Q238" t="n">
        <v>5</v>
      </c>
      <c r="R238" s="2" t="inlineStr">
        <is>
          <t>Urskogsporing
Gräddporing
Lateritticka
Nordtagging
Stjärntagging</t>
        </is>
      </c>
      <c r="S238">
        <f>HYPERLINK("https://klasma.github.io/Logging_DOROTEA/artfynd/A 54981-2021.xlsx", "A 54981-2021")</f>
        <v/>
      </c>
      <c r="T238">
        <f>HYPERLINK("https://klasma.github.io/Logging_DOROTEA/kartor/A 54981-2021.png", "A 54981-2021")</f>
        <v/>
      </c>
      <c r="V238">
        <f>HYPERLINK("https://klasma.github.io/Logging_DOROTEA/klagomål/A 54981-2021.docx", "A 54981-2021")</f>
        <v/>
      </c>
      <c r="W238">
        <f>HYPERLINK("https://klasma.github.io/Logging_DOROTEA/klagomålsmail/A 54981-2021.docx", "A 54981-2021")</f>
        <v/>
      </c>
      <c r="X238">
        <f>HYPERLINK("https://klasma.github.io/Logging_DOROTEA/tillsyn/A 54981-2021.docx", "A 54981-2021")</f>
        <v/>
      </c>
      <c r="Y238">
        <f>HYPERLINK("https://klasma.github.io/Logging_DOROTEA/tillsynsmail/A 54981-2021.docx", "A 54981-2021")</f>
        <v/>
      </c>
    </row>
    <row r="239" ht="15" customHeight="1">
      <c r="A239" t="inlineStr">
        <is>
          <t>A 61848-2021</t>
        </is>
      </c>
      <c r="B239" s="1" t="n">
        <v>44501</v>
      </c>
      <c r="C239" s="1" t="n">
        <v>45204</v>
      </c>
      <c r="D239" t="inlineStr">
        <is>
          <t>VÄSTERBOTTENS LÄN</t>
        </is>
      </c>
      <c r="E239" t="inlineStr">
        <is>
          <t>SKELLEFTEÅ</t>
        </is>
      </c>
      <c r="G239" t="n">
        <v>6.4</v>
      </c>
      <c r="H239" t="n">
        <v>1</v>
      </c>
      <c r="I239" t="n">
        <v>2</v>
      </c>
      <c r="J239" t="n">
        <v>2</v>
      </c>
      <c r="K239" t="n">
        <v>0</v>
      </c>
      <c r="L239" t="n">
        <v>0</v>
      </c>
      <c r="M239" t="n">
        <v>0</v>
      </c>
      <c r="N239" t="n">
        <v>0</v>
      </c>
      <c r="O239" t="n">
        <v>2</v>
      </c>
      <c r="P239" t="n">
        <v>0</v>
      </c>
      <c r="Q239" t="n">
        <v>5</v>
      </c>
      <c r="R239" s="2" t="inlineStr">
        <is>
          <t>Koralltaggsvamp
Lunglav
Bårdlav
Stuplav
Fläcknycklar</t>
        </is>
      </c>
      <c r="S239">
        <f>HYPERLINK("https://klasma.github.io/Logging_SKELLEFTEA/artfynd/A 61848-2021.xlsx", "A 61848-2021")</f>
        <v/>
      </c>
      <c r="T239">
        <f>HYPERLINK("https://klasma.github.io/Logging_SKELLEFTEA/kartor/A 61848-2021.png", "A 61848-2021")</f>
        <v/>
      </c>
      <c r="V239">
        <f>HYPERLINK("https://klasma.github.io/Logging_SKELLEFTEA/klagomål/A 61848-2021.docx", "A 61848-2021")</f>
        <v/>
      </c>
      <c r="W239">
        <f>HYPERLINK("https://klasma.github.io/Logging_SKELLEFTEA/klagomålsmail/A 61848-2021.docx", "A 61848-2021")</f>
        <v/>
      </c>
      <c r="X239">
        <f>HYPERLINK("https://klasma.github.io/Logging_SKELLEFTEA/tillsyn/A 61848-2021.docx", "A 61848-2021")</f>
        <v/>
      </c>
      <c r="Y239">
        <f>HYPERLINK("https://klasma.github.io/Logging_SKELLEFTEA/tillsynsmail/A 61848-2021.docx", "A 61848-2021")</f>
        <v/>
      </c>
    </row>
    <row r="240" ht="15" customHeight="1">
      <c r="A240" t="inlineStr">
        <is>
          <t>A 72326-2021</t>
        </is>
      </c>
      <c r="B240" s="1" t="n">
        <v>44545</v>
      </c>
      <c r="C240" s="1" t="n">
        <v>45204</v>
      </c>
      <c r="D240" t="inlineStr">
        <is>
          <t>VÄSTERBOTTENS LÄN</t>
        </is>
      </c>
      <c r="E240" t="inlineStr">
        <is>
          <t>NORSJÖ</t>
        </is>
      </c>
      <c r="F240" t="inlineStr">
        <is>
          <t>Sveaskog</t>
        </is>
      </c>
      <c r="G240" t="n">
        <v>13.8</v>
      </c>
      <c r="H240" t="n">
        <v>2</v>
      </c>
      <c r="I240" t="n">
        <v>3</v>
      </c>
      <c r="J240" t="n">
        <v>2</v>
      </c>
      <c r="K240" t="n">
        <v>0</v>
      </c>
      <c r="L240" t="n">
        <v>0</v>
      </c>
      <c r="M240" t="n">
        <v>0</v>
      </c>
      <c r="N240" t="n">
        <v>0</v>
      </c>
      <c r="O240" t="n">
        <v>2</v>
      </c>
      <c r="P240" t="n">
        <v>0</v>
      </c>
      <c r="Q240" t="n">
        <v>5</v>
      </c>
      <c r="R240" s="2" t="inlineStr">
        <is>
          <t>Granticka
Lunglav
Lappranunkel
Spindelblomster
Stuplav</t>
        </is>
      </c>
      <c r="S240">
        <f>HYPERLINK("https://klasma.github.io/Logging_NORSJO/artfynd/A 72326-2021.xlsx", "A 72326-2021")</f>
        <v/>
      </c>
      <c r="T240">
        <f>HYPERLINK("https://klasma.github.io/Logging_NORSJO/kartor/A 72326-2021.png", "A 72326-2021")</f>
        <v/>
      </c>
      <c r="V240">
        <f>HYPERLINK("https://klasma.github.io/Logging_NORSJO/klagomål/A 72326-2021.docx", "A 72326-2021")</f>
        <v/>
      </c>
      <c r="W240">
        <f>HYPERLINK("https://klasma.github.io/Logging_NORSJO/klagomålsmail/A 72326-2021.docx", "A 72326-2021")</f>
        <v/>
      </c>
      <c r="X240">
        <f>HYPERLINK("https://klasma.github.io/Logging_NORSJO/tillsyn/A 72326-2021.docx", "A 72326-2021")</f>
        <v/>
      </c>
      <c r="Y240">
        <f>HYPERLINK("https://klasma.github.io/Logging_NORSJO/tillsynsmail/A 72326-2021.docx", "A 72326-2021")</f>
        <v/>
      </c>
    </row>
    <row r="241" ht="15" customHeight="1">
      <c r="A241" t="inlineStr">
        <is>
          <t>A 8255-2022</t>
        </is>
      </c>
      <c r="B241" s="1" t="n">
        <v>44609</v>
      </c>
      <c r="C241" s="1" t="n">
        <v>45204</v>
      </c>
      <c r="D241" t="inlineStr">
        <is>
          <t>VÄSTERBOTTENS LÄN</t>
        </is>
      </c>
      <c r="E241" t="inlineStr">
        <is>
          <t>VILHELMINA</t>
        </is>
      </c>
      <c r="G241" t="n">
        <v>14.9</v>
      </c>
      <c r="H241" t="n">
        <v>0</v>
      </c>
      <c r="I241" t="n">
        <v>1</v>
      </c>
      <c r="J241" t="n">
        <v>4</v>
      </c>
      <c r="K241" t="n">
        <v>0</v>
      </c>
      <c r="L241" t="n">
        <v>0</v>
      </c>
      <c r="M241" t="n">
        <v>0</v>
      </c>
      <c r="N241" t="n">
        <v>0</v>
      </c>
      <c r="O241" t="n">
        <v>4</v>
      </c>
      <c r="P241" t="n">
        <v>0</v>
      </c>
      <c r="Q241" t="n">
        <v>5</v>
      </c>
      <c r="R241" s="2" t="inlineStr">
        <is>
          <t>Gammelgransskål
Granticka
Rosenticka
Skrovellav
Trådticka</t>
        </is>
      </c>
      <c r="S241">
        <f>HYPERLINK("https://klasma.github.io/Logging_VILHELMINA/artfynd/A 8255-2022.xlsx", "A 8255-2022")</f>
        <v/>
      </c>
      <c r="T241">
        <f>HYPERLINK("https://klasma.github.io/Logging_VILHELMINA/kartor/A 8255-2022.png", "A 8255-2022")</f>
        <v/>
      </c>
      <c r="V241">
        <f>HYPERLINK("https://klasma.github.io/Logging_VILHELMINA/klagomål/A 8255-2022.docx", "A 8255-2022")</f>
        <v/>
      </c>
      <c r="W241">
        <f>HYPERLINK("https://klasma.github.io/Logging_VILHELMINA/klagomålsmail/A 8255-2022.docx", "A 8255-2022")</f>
        <v/>
      </c>
      <c r="X241">
        <f>HYPERLINK("https://klasma.github.io/Logging_VILHELMINA/tillsyn/A 8255-2022.docx", "A 8255-2022")</f>
        <v/>
      </c>
      <c r="Y241">
        <f>HYPERLINK("https://klasma.github.io/Logging_VILHELMINA/tillsynsmail/A 8255-2022.docx", "A 8255-2022")</f>
        <v/>
      </c>
    </row>
    <row r="242" ht="15" customHeight="1">
      <c r="A242" t="inlineStr">
        <is>
          <t>A 9196-2022</t>
        </is>
      </c>
      <c r="B242" s="1" t="n">
        <v>44615</v>
      </c>
      <c r="C242" s="1" t="n">
        <v>45204</v>
      </c>
      <c r="D242" t="inlineStr">
        <is>
          <t>VÄSTERBOTTENS LÄN</t>
        </is>
      </c>
      <c r="E242" t="inlineStr">
        <is>
          <t>DOROTEA</t>
        </is>
      </c>
      <c r="G242" t="n">
        <v>12.7</v>
      </c>
      <c r="H242" t="n">
        <v>0</v>
      </c>
      <c r="I242" t="n">
        <v>1</v>
      </c>
      <c r="J242" t="n">
        <v>4</v>
      </c>
      <c r="K242" t="n">
        <v>0</v>
      </c>
      <c r="L242" t="n">
        <v>0</v>
      </c>
      <c r="M242" t="n">
        <v>0</v>
      </c>
      <c r="N242" t="n">
        <v>0</v>
      </c>
      <c r="O242" t="n">
        <v>4</v>
      </c>
      <c r="P242" t="n">
        <v>0</v>
      </c>
      <c r="Q242" t="n">
        <v>5</v>
      </c>
      <c r="R242" s="2" t="inlineStr">
        <is>
          <t>Granticka
Gränsticka
Rosenticka
Ullticka
Vedticka</t>
        </is>
      </c>
      <c r="S242">
        <f>HYPERLINK("https://klasma.github.io/Logging_DOROTEA/artfynd/A 9196-2022.xlsx", "A 9196-2022")</f>
        <v/>
      </c>
      <c r="T242">
        <f>HYPERLINK("https://klasma.github.io/Logging_DOROTEA/kartor/A 9196-2022.png", "A 9196-2022")</f>
        <v/>
      </c>
      <c r="V242">
        <f>HYPERLINK("https://klasma.github.io/Logging_DOROTEA/klagomål/A 9196-2022.docx", "A 9196-2022")</f>
        <v/>
      </c>
      <c r="W242">
        <f>HYPERLINK("https://klasma.github.io/Logging_DOROTEA/klagomålsmail/A 9196-2022.docx", "A 9196-2022")</f>
        <v/>
      </c>
      <c r="X242">
        <f>HYPERLINK("https://klasma.github.io/Logging_DOROTEA/tillsyn/A 9196-2022.docx", "A 9196-2022")</f>
        <v/>
      </c>
      <c r="Y242">
        <f>HYPERLINK("https://klasma.github.io/Logging_DOROTEA/tillsynsmail/A 9196-2022.docx", "A 9196-2022")</f>
        <v/>
      </c>
    </row>
    <row r="243" ht="15" customHeight="1">
      <c r="A243" t="inlineStr">
        <is>
          <t>A 9499-2022</t>
        </is>
      </c>
      <c r="B243" s="1" t="n">
        <v>44616</v>
      </c>
      <c r="C243" s="1" t="n">
        <v>45204</v>
      </c>
      <c r="D243" t="inlineStr">
        <is>
          <t>VÄSTERBOTTENS LÄN</t>
        </is>
      </c>
      <c r="E243" t="inlineStr">
        <is>
          <t>SKELLEFTEÅ</t>
        </is>
      </c>
      <c r="F243" t="inlineStr">
        <is>
          <t>SCA</t>
        </is>
      </c>
      <c r="G243" t="n">
        <v>3.2</v>
      </c>
      <c r="H243" t="n">
        <v>0</v>
      </c>
      <c r="I243" t="n">
        <v>1</v>
      </c>
      <c r="J243" t="n">
        <v>2</v>
      </c>
      <c r="K243" t="n">
        <v>2</v>
      </c>
      <c r="L243" t="n">
        <v>0</v>
      </c>
      <c r="M243" t="n">
        <v>0</v>
      </c>
      <c r="N243" t="n">
        <v>0</v>
      </c>
      <c r="O243" t="n">
        <v>4</v>
      </c>
      <c r="P243" t="n">
        <v>2</v>
      </c>
      <c r="Q243" t="n">
        <v>5</v>
      </c>
      <c r="R243" s="2" t="inlineStr">
        <is>
          <t>Tajgataggsvamp
Tallgråticka
Motaggsvamp
Talltaggsvamp
Dropptaggsvamp</t>
        </is>
      </c>
      <c r="S243">
        <f>HYPERLINK("https://klasma.github.io/Logging_SKELLEFTEA/artfynd/A 9499-2022.xlsx", "A 9499-2022")</f>
        <v/>
      </c>
      <c r="T243">
        <f>HYPERLINK("https://klasma.github.io/Logging_SKELLEFTEA/kartor/A 9499-2022.png", "A 9499-2022")</f>
        <v/>
      </c>
      <c r="V243">
        <f>HYPERLINK("https://klasma.github.io/Logging_SKELLEFTEA/klagomål/A 9499-2022.docx", "A 9499-2022")</f>
        <v/>
      </c>
      <c r="W243">
        <f>HYPERLINK("https://klasma.github.io/Logging_SKELLEFTEA/klagomålsmail/A 9499-2022.docx", "A 9499-2022")</f>
        <v/>
      </c>
      <c r="X243">
        <f>HYPERLINK("https://klasma.github.io/Logging_SKELLEFTEA/tillsyn/A 9499-2022.docx", "A 9499-2022")</f>
        <v/>
      </c>
      <c r="Y243">
        <f>HYPERLINK("https://klasma.github.io/Logging_SKELLEFTEA/tillsynsmail/A 9499-2022.docx", "A 9499-2022")</f>
        <v/>
      </c>
    </row>
    <row r="244" ht="15" customHeight="1">
      <c r="A244" t="inlineStr">
        <is>
          <t>A 12956-2022</t>
        </is>
      </c>
      <c r="B244" s="1" t="n">
        <v>44642</v>
      </c>
      <c r="C244" s="1" t="n">
        <v>45204</v>
      </c>
      <c r="D244" t="inlineStr">
        <is>
          <t>VÄSTERBOTTENS LÄN</t>
        </is>
      </c>
      <c r="E244" t="inlineStr">
        <is>
          <t>SKELLEFTEÅ</t>
        </is>
      </c>
      <c r="G244" t="n">
        <v>18.7</v>
      </c>
      <c r="H244" t="n">
        <v>1</v>
      </c>
      <c r="I244" t="n">
        <v>2</v>
      </c>
      <c r="J244" t="n">
        <v>3</v>
      </c>
      <c r="K244" t="n">
        <v>0</v>
      </c>
      <c r="L244" t="n">
        <v>0</v>
      </c>
      <c r="M244" t="n">
        <v>0</v>
      </c>
      <c r="N244" t="n">
        <v>0</v>
      </c>
      <c r="O244" t="n">
        <v>3</v>
      </c>
      <c r="P244" t="n">
        <v>0</v>
      </c>
      <c r="Q244" t="n">
        <v>5</v>
      </c>
      <c r="R244" s="2" t="inlineStr">
        <is>
          <t>Kortskaftad ärgspik
Spillkråka
Ullticka
Dropptaggsvamp
Vedticka</t>
        </is>
      </c>
      <c r="S244">
        <f>HYPERLINK("https://klasma.github.io/Logging_SKELLEFTEA/artfynd/A 12956-2022.xlsx", "A 12956-2022")</f>
        <v/>
      </c>
      <c r="T244">
        <f>HYPERLINK("https://klasma.github.io/Logging_SKELLEFTEA/kartor/A 12956-2022.png", "A 12956-2022")</f>
        <v/>
      </c>
      <c r="V244">
        <f>HYPERLINK("https://klasma.github.io/Logging_SKELLEFTEA/klagomål/A 12956-2022.docx", "A 12956-2022")</f>
        <v/>
      </c>
      <c r="W244">
        <f>HYPERLINK("https://klasma.github.io/Logging_SKELLEFTEA/klagomålsmail/A 12956-2022.docx", "A 12956-2022")</f>
        <v/>
      </c>
      <c r="X244">
        <f>HYPERLINK("https://klasma.github.io/Logging_SKELLEFTEA/tillsyn/A 12956-2022.docx", "A 12956-2022")</f>
        <v/>
      </c>
      <c r="Y244">
        <f>HYPERLINK("https://klasma.github.io/Logging_SKELLEFTEA/tillsynsmail/A 12956-2022.docx", "A 12956-2022")</f>
        <v/>
      </c>
    </row>
    <row r="245" ht="15" customHeight="1">
      <c r="A245" t="inlineStr">
        <is>
          <t>A 13479-2022</t>
        </is>
      </c>
      <c r="B245" s="1" t="n">
        <v>44645</v>
      </c>
      <c r="C245" s="1" t="n">
        <v>45204</v>
      </c>
      <c r="D245" t="inlineStr">
        <is>
          <t>VÄSTERBOTTENS LÄN</t>
        </is>
      </c>
      <c r="E245" t="inlineStr">
        <is>
          <t>UMEÅ</t>
        </is>
      </c>
      <c r="G245" t="n">
        <v>6.2</v>
      </c>
      <c r="H245" t="n">
        <v>5</v>
      </c>
      <c r="I245" t="n">
        <v>0</v>
      </c>
      <c r="J245" t="n">
        <v>3</v>
      </c>
      <c r="K245" t="n">
        <v>0</v>
      </c>
      <c r="L245" t="n">
        <v>0</v>
      </c>
      <c r="M245" t="n">
        <v>0</v>
      </c>
      <c r="N245" t="n">
        <v>0</v>
      </c>
      <c r="O245" t="n">
        <v>3</v>
      </c>
      <c r="P245" t="n">
        <v>0</v>
      </c>
      <c r="Q245" t="n">
        <v>5</v>
      </c>
      <c r="R245" s="2" t="inlineStr">
        <is>
          <t>Dammfladdermus
Fransfladdermus
Nordfladdermus
Trollpipistrell
Vattenfladdermus</t>
        </is>
      </c>
      <c r="S245">
        <f>HYPERLINK("https://klasma.github.io/Logging_UMEA/artfynd/A 13479-2022.xlsx", "A 13479-2022")</f>
        <v/>
      </c>
      <c r="T245">
        <f>HYPERLINK("https://klasma.github.io/Logging_UMEA/kartor/A 13479-2022.png", "A 13479-2022")</f>
        <v/>
      </c>
      <c r="V245">
        <f>HYPERLINK("https://klasma.github.io/Logging_UMEA/klagomål/A 13479-2022.docx", "A 13479-2022")</f>
        <v/>
      </c>
      <c r="W245">
        <f>HYPERLINK("https://klasma.github.io/Logging_UMEA/klagomålsmail/A 13479-2022.docx", "A 13479-2022")</f>
        <v/>
      </c>
      <c r="X245">
        <f>HYPERLINK("https://klasma.github.io/Logging_UMEA/tillsyn/A 13479-2022.docx", "A 13479-2022")</f>
        <v/>
      </c>
      <c r="Y245">
        <f>HYPERLINK("https://klasma.github.io/Logging_UMEA/tillsynsmail/A 13479-2022.docx", "A 13479-2022")</f>
        <v/>
      </c>
    </row>
    <row r="246" ht="15" customHeight="1">
      <c r="A246" t="inlineStr">
        <is>
          <t>A 19007-2022</t>
        </is>
      </c>
      <c r="B246" s="1" t="n">
        <v>44690</v>
      </c>
      <c r="C246" s="1" t="n">
        <v>45204</v>
      </c>
      <c r="D246" t="inlineStr">
        <is>
          <t>VÄSTERBOTTENS LÄN</t>
        </is>
      </c>
      <c r="E246" t="inlineStr">
        <is>
          <t>VINDELN</t>
        </is>
      </c>
      <c r="F246" t="inlineStr">
        <is>
          <t>SCA</t>
        </is>
      </c>
      <c r="G246" t="n">
        <v>5.1</v>
      </c>
      <c r="H246" t="n">
        <v>0</v>
      </c>
      <c r="I246" t="n">
        <v>1</v>
      </c>
      <c r="J246" t="n">
        <v>4</v>
      </c>
      <c r="K246" t="n">
        <v>0</v>
      </c>
      <c r="L246" t="n">
        <v>0</v>
      </c>
      <c r="M246" t="n">
        <v>0</v>
      </c>
      <c r="N246" t="n">
        <v>0</v>
      </c>
      <c r="O246" t="n">
        <v>4</v>
      </c>
      <c r="P246" t="n">
        <v>0</v>
      </c>
      <c r="Q246" t="n">
        <v>5</v>
      </c>
      <c r="R246" s="2" t="inlineStr">
        <is>
          <t>Blå taggsvamp
Motaggsvamp
Orange taggsvamp
Svart taggsvamp
Dropptaggsvamp</t>
        </is>
      </c>
      <c r="S246">
        <f>HYPERLINK("https://klasma.github.io/Logging_VINDELN/artfynd/A 19007-2022.xlsx", "A 19007-2022")</f>
        <v/>
      </c>
      <c r="T246">
        <f>HYPERLINK("https://klasma.github.io/Logging_VINDELN/kartor/A 19007-2022.png", "A 19007-2022")</f>
        <v/>
      </c>
      <c r="V246">
        <f>HYPERLINK("https://klasma.github.io/Logging_VINDELN/klagomål/A 19007-2022.docx", "A 19007-2022")</f>
        <v/>
      </c>
      <c r="W246">
        <f>HYPERLINK("https://klasma.github.io/Logging_VINDELN/klagomålsmail/A 19007-2022.docx", "A 19007-2022")</f>
        <v/>
      </c>
      <c r="X246">
        <f>HYPERLINK("https://klasma.github.io/Logging_VINDELN/tillsyn/A 19007-2022.docx", "A 19007-2022")</f>
        <v/>
      </c>
      <c r="Y246">
        <f>HYPERLINK("https://klasma.github.io/Logging_VINDELN/tillsynsmail/A 19007-2022.docx", "A 19007-2022")</f>
        <v/>
      </c>
    </row>
    <row r="247" ht="15" customHeight="1">
      <c r="A247" t="inlineStr">
        <is>
          <t>A 33004-2022</t>
        </is>
      </c>
      <c r="B247" s="1" t="n">
        <v>44785</v>
      </c>
      <c r="C247" s="1" t="n">
        <v>45204</v>
      </c>
      <c r="D247" t="inlineStr">
        <is>
          <t>VÄSTERBOTTENS LÄN</t>
        </is>
      </c>
      <c r="E247" t="inlineStr">
        <is>
          <t>UMEÅ</t>
        </is>
      </c>
      <c r="F247" t="inlineStr">
        <is>
          <t>Kommuner</t>
        </is>
      </c>
      <c r="G247" t="n">
        <v>2</v>
      </c>
      <c r="H247" t="n">
        <v>1</v>
      </c>
      <c r="I247" t="n">
        <v>1</v>
      </c>
      <c r="J247" t="n">
        <v>4</v>
      </c>
      <c r="K247" t="n">
        <v>0</v>
      </c>
      <c r="L247" t="n">
        <v>0</v>
      </c>
      <c r="M247" t="n">
        <v>0</v>
      </c>
      <c r="N247" t="n">
        <v>0</v>
      </c>
      <c r="O247" t="n">
        <v>4</v>
      </c>
      <c r="P247" t="n">
        <v>0</v>
      </c>
      <c r="Q247" t="n">
        <v>5</v>
      </c>
      <c r="R247" s="2" t="inlineStr">
        <is>
          <t>Granticka
Spillkråka
Stjärntagging
Ullticka
Thomsons trägnagare</t>
        </is>
      </c>
      <c r="S247">
        <f>HYPERLINK("https://klasma.github.io/Logging_UMEA/artfynd/A 33004-2022.xlsx", "A 33004-2022")</f>
        <v/>
      </c>
      <c r="T247">
        <f>HYPERLINK("https://klasma.github.io/Logging_UMEA/kartor/A 33004-2022.png", "A 33004-2022")</f>
        <v/>
      </c>
      <c r="V247">
        <f>HYPERLINK("https://klasma.github.io/Logging_UMEA/klagomål/A 33004-2022.docx", "A 33004-2022")</f>
        <v/>
      </c>
      <c r="W247">
        <f>HYPERLINK("https://klasma.github.io/Logging_UMEA/klagomålsmail/A 33004-2022.docx", "A 33004-2022")</f>
        <v/>
      </c>
      <c r="X247">
        <f>HYPERLINK("https://klasma.github.io/Logging_UMEA/tillsyn/A 33004-2022.docx", "A 33004-2022")</f>
        <v/>
      </c>
      <c r="Y247">
        <f>HYPERLINK("https://klasma.github.io/Logging_UMEA/tillsynsmail/A 33004-2022.docx", "A 33004-2022")</f>
        <v/>
      </c>
    </row>
    <row r="248" ht="15" customHeight="1">
      <c r="A248" t="inlineStr">
        <is>
          <t>A 39912-2022</t>
        </is>
      </c>
      <c r="B248" s="1" t="n">
        <v>44819</v>
      </c>
      <c r="C248" s="1" t="n">
        <v>45204</v>
      </c>
      <c r="D248" t="inlineStr">
        <is>
          <t>VÄSTERBOTTENS LÄN</t>
        </is>
      </c>
      <c r="E248" t="inlineStr">
        <is>
          <t>UMEÅ</t>
        </is>
      </c>
      <c r="F248" t="inlineStr">
        <is>
          <t>Holmen skog AB</t>
        </is>
      </c>
      <c r="G248" t="n">
        <v>26.3</v>
      </c>
      <c r="H248" t="n">
        <v>1</v>
      </c>
      <c r="I248" t="n">
        <v>0</v>
      </c>
      <c r="J248" t="n">
        <v>5</v>
      </c>
      <c r="K248" t="n">
        <v>0</v>
      </c>
      <c r="L248" t="n">
        <v>0</v>
      </c>
      <c r="M248" t="n">
        <v>0</v>
      </c>
      <c r="N248" t="n">
        <v>0</v>
      </c>
      <c r="O248" t="n">
        <v>5</v>
      </c>
      <c r="P248" t="n">
        <v>0</v>
      </c>
      <c r="Q248" t="n">
        <v>5</v>
      </c>
      <c r="R248" s="2" t="inlineStr">
        <is>
          <t>Garnlav
Granticka
Lunglav
Spillkråka
Ullticka</t>
        </is>
      </c>
      <c r="S248">
        <f>HYPERLINK("https://klasma.github.io/Logging_UMEA/artfynd/A 39912-2022.xlsx", "A 39912-2022")</f>
        <v/>
      </c>
      <c r="T248">
        <f>HYPERLINK("https://klasma.github.io/Logging_UMEA/kartor/A 39912-2022.png", "A 39912-2022")</f>
        <v/>
      </c>
      <c r="V248">
        <f>HYPERLINK("https://klasma.github.io/Logging_UMEA/klagomål/A 39912-2022.docx", "A 39912-2022")</f>
        <v/>
      </c>
      <c r="W248">
        <f>HYPERLINK("https://klasma.github.io/Logging_UMEA/klagomålsmail/A 39912-2022.docx", "A 39912-2022")</f>
        <v/>
      </c>
      <c r="X248">
        <f>HYPERLINK("https://klasma.github.io/Logging_UMEA/tillsyn/A 39912-2022.docx", "A 39912-2022")</f>
        <v/>
      </c>
      <c r="Y248">
        <f>HYPERLINK("https://klasma.github.io/Logging_UMEA/tillsynsmail/A 39912-2022.docx", "A 39912-2022")</f>
        <v/>
      </c>
    </row>
    <row r="249" ht="15" customHeight="1">
      <c r="A249" t="inlineStr">
        <is>
          <t>A 47955-2022</t>
        </is>
      </c>
      <c r="B249" s="1" t="n">
        <v>44853</v>
      </c>
      <c r="C249" s="1" t="n">
        <v>45204</v>
      </c>
      <c r="D249" t="inlineStr">
        <is>
          <t>VÄSTERBOTTENS LÄN</t>
        </is>
      </c>
      <c r="E249" t="inlineStr">
        <is>
          <t>DOROTEA</t>
        </is>
      </c>
      <c r="G249" t="n">
        <v>16.3</v>
      </c>
      <c r="H249" t="n">
        <v>0</v>
      </c>
      <c r="I249" t="n">
        <v>0</v>
      </c>
      <c r="J249" t="n">
        <v>5</v>
      </c>
      <c r="K249" t="n">
        <v>0</v>
      </c>
      <c r="L249" t="n">
        <v>0</v>
      </c>
      <c r="M249" t="n">
        <v>0</v>
      </c>
      <c r="N249" t="n">
        <v>0</v>
      </c>
      <c r="O249" t="n">
        <v>5</v>
      </c>
      <c r="P249" t="n">
        <v>0</v>
      </c>
      <c r="Q249" t="n">
        <v>5</v>
      </c>
      <c r="R249" s="2" t="inlineStr">
        <is>
          <t>Doftskinn
Granticka
Gränsticka
Harticka
Ullticka</t>
        </is>
      </c>
      <c r="S249">
        <f>HYPERLINK("https://klasma.github.io/Logging_DOROTEA/artfynd/A 47955-2022.xlsx", "A 47955-2022")</f>
        <v/>
      </c>
      <c r="T249">
        <f>HYPERLINK("https://klasma.github.io/Logging_DOROTEA/kartor/A 47955-2022.png", "A 47955-2022")</f>
        <v/>
      </c>
      <c r="V249">
        <f>HYPERLINK("https://klasma.github.io/Logging_DOROTEA/klagomål/A 47955-2022.docx", "A 47955-2022")</f>
        <v/>
      </c>
      <c r="W249">
        <f>HYPERLINK("https://klasma.github.io/Logging_DOROTEA/klagomålsmail/A 47955-2022.docx", "A 47955-2022")</f>
        <v/>
      </c>
      <c r="X249">
        <f>HYPERLINK("https://klasma.github.io/Logging_DOROTEA/tillsyn/A 47955-2022.docx", "A 47955-2022")</f>
        <v/>
      </c>
      <c r="Y249">
        <f>HYPERLINK("https://klasma.github.io/Logging_DOROTEA/tillsynsmail/A 47955-2022.docx", "A 47955-2022")</f>
        <v/>
      </c>
    </row>
    <row r="250" ht="15" customHeight="1">
      <c r="A250" t="inlineStr">
        <is>
          <t>A 55009-2022</t>
        </is>
      </c>
      <c r="B250" s="1" t="n">
        <v>44881</v>
      </c>
      <c r="C250" s="1" t="n">
        <v>45204</v>
      </c>
      <c r="D250" t="inlineStr">
        <is>
          <t>VÄSTERBOTTENS LÄN</t>
        </is>
      </c>
      <c r="E250" t="inlineStr">
        <is>
          <t>BJURHOLM</t>
        </is>
      </c>
      <c r="G250" t="n">
        <v>11.2</v>
      </c>
      <c r="H250" t="n">
        <v>0</v>
      </c>
      <c r="I250" t="n">
        <v>3</v>
      </c>
      <c r="J250" t="n">
        <v>2</v>
      </c>
      <c r="K250" t="n">
        <v>0</v>
      </c>
      <c r="L250" t="n">
        <v>0</v>
      </c>
      <c r="M250" t="n">
        <v>0</v>
      </c>
      <c r="N250" t="n">
        <v>0</v>
      </c>
      <c r="O250" t="n">
        <v>2</v>
      </c>
      <c r="P250" t="n">
        <v>0</v>
      </c>
      <c r="Q250" t="n">
        <v>5</v>
      </c>
      <c r="R250" s="2" t="inlineStr">
        <is>
          <t>Lunglav
Mörk kolflarnlav
Skinnlav
Stuplav
Vedticka</t>
        </is>
      </c>
      <c r="S250">
        <f>HYPERLINK("https://klasma.github.io/Logging_BJURHOLM/artfynd/A 55009-2022.xlsx", "A 55009-2022")</f>
        <v/>
      </c>
      <c r="T250">
        <f>HYPERLINK("https://klasma.github.io/Logging_BJURHOLM/kartor/A 55009-2022.png", "A 55009-2022")</f>
        <v/>
      </c>
      <c r="V250">
        <f>HYPERLINK("https://klasma.github.io/Logging_BJURHOLM/klagomål/A 55009-2022.docx", "A 55009-2022")</f>
        <v/>
      </c>
      <c r="W250">
        <f>HYPERLINK("https://klasma.github.io/Logging_BJURHOLM/klagomålsmail/A 55009-2022.docx", "A 55009-2022")</f>
        <v/>
      </c>
      <c r="X250">
        <f>HYPERLINK("https://klasma.github.io/Logging_BJURHOLM/tillsyn/A 55009-2022.docx", "A 55009-2022")</f>
        <v/>
      </c>
      <c r="Y250">
        <f>HYPERLINK("https://klasma.github.io/Logging_BJURHOLM/tillsynsmail/A 55009-2022.docx", "A 55009-2022")</f>
        <v/>
      </c>
    </row>
    <row r="251" ht="15" customHeight="1">
      <c r="A251" t="inlineStr">
        <is>
          <t>A 12427-2023</t>
        </is>
      </c>
      <c r="B251" s="1" t="n">
        <v>44995</v>
      </c>
      <c r="C251" s="1" t="n">
        <v>45204</v>
      </c>
      <c r="D251" t="inlineStr">
        <is>
          <t>VÄSTERBOTTENS LÄN</t>
        </is>
      </c>
      <c r="E251" t="inlineStr">
        <is>
          <t>STORUMAN</t>
        </is>
      </c>
      <c r="F251" t="inlineStr">
        <is>
          <t>Allmännings- och besparingsskogar</t>
        </is>
      </c>
      <c r="G251" t="n">
        <v>344.5</v>
      </c>
      <c r="H251" t="n">
        <v>2</v>
      </c>
      <c r="I251" t="n">
        <v>1</v>
      </c>
      <c r="J251" t="n">
        <v>3</v>
      </c>
      <c r="K251" t="n">
        <v>0</v>
      </c>
      <c r="L251" t="n">
        <v>0</v>
      </c>
      <c r="M251" t="n">
        <v>1</v>
      </c>
      <c r="N251" t="n">
        <v>0</v>
      </c>
      <c r="O251" t="n">
        <v>4</v>
      </c>
      <c r="P251" t="n">
        <v>1</v>
      </c>
      <c r="Q251" t="n">
        <v>5</v>
      </c>
      <c r="R251" s="2" t="inlineStr">
        <is>
          <t>Vedtrådmossa
Doftskinn
Garnlav
Tretåig hackspett
Mörk husmossa</t>
        </is>
      </c>
      <c r="S251">
        <f>HYPERLINK("https://klasma.github.io/Logging_STORUMAN/artfynd/A 12427-2023.xlsx", "A 12427-2023")</f>
        <v/>
      </c>
      <c r="T251">
        <f>HYPERLINK("https://klasma.github.io/Logging_STORUMAN/kartor/A 12427-2023.png", "A 12427-2023")</f>
        <v/>
      </c>
      <c r="V251">
        <f>HYPERLINK("https://klasma.github.io/Logging_STORUMAN/klagomål/A 12427-2023.docx", "A 12427-2023")</f>
        <v/>
      </c>
      <c r="W251">
        <f>HYPERLINK("https://klasma.github.io/Logging_STORUMAN/klagomålsmail/A 12427-2023.docx", "A 12427-2023")</f>
        <v/>
      </c>
      <c r="X251">
        <f>HYPERLINK("https://klasma.github.io/Logging_STORUMAN/tillsyn/A 12427-2023.docx", "A 12427-2023")</f>
        <v/>
      </c>
      <c r="Y251">
        <f>HYPERLINK("https://klasma.github.io/Logging_STORUMAN/tillsynsmail/A 12427-2023.docx", "A 12427-2023")</f>
        <v/>
      </c>
    </row>
    <row r="252" ht="15" customHeight="1">
      <c r="A252" t="inlineStr">
        <is>
          <t>A 14927-2023</t>
        </is>
      </c>
      <c r="B252" s="1" t="n">
        <v>45014</v>
      </c>
      <c r="C252" s="1" t="n">
        <v>45204</v>
      </c>
      <c r="D252" t="inlineStr">
        <is>
          <t>VÄSTERBOTTENS LÄN</t>
        </is>
      </c>
      <c r="E252" t="inlineStr">
        <is>
          <t>UMEÅ</t>
        </is>
      </c>
      <c r="F252" t="inlineStr">
        <is>
          <t>Kommuner</t>
        </is>
      </c>
      <c r="G252" t="n">
        <v>6.3</v>
      </c>
      <c r="H252" t="n">
        <v>2</v>
      </c>
      <c r="I252" t="n">
        <v>2</v>
      </c>
      <c r="J252" t="n">
        <v>3</v>
      </c>
      <c r="K252" t="n">
        <v>0</v>
      </c>
      <c r="L252" t="n">
        <v>0</v>
      </c>
      <c r="M252" t="n">
        <v>0</v>
      </c>
      <c r="N252" t="n">
        <v>0</v>
      </c>
      <c r="O252" t="n">
        <v>3</v>
      </c>
      <c r="P252" t="n">
        <v>0</v>
      </c>
      <c r="Q252" t="n">
        <v>5</v>
      </c>
      <c r="R252" s="2" t="inlineStr">
        <is>
          <t>Motaggsvamp
Spillkråka
Talltita
Dropptaggsvamp
Vedticka</t>
        </is>
      </c>
      <c r="S252">
        <f>HYPERLINK("https://klasma.github.io/Logging_UMEA/artfynd/A 14927-2023.xlsx", "A 14927-2023")</f>
        <v/>
      </c>
      <c r="T252">
        <f>HYPERLINK("https://klasma.github.io/Logging_UMEA/kartor/A 14927-2023.png", "A 14927-2023")</f>
        <v/>
      </c>
      <c r="V252">
        <f>HYPERLINK("https://klasma.github.io/Logging_UMEA/klagomål/A 14927-2023.docx", "A 14927-2023")</f>
        <v/>
      </c>
      <c r="W252">
        <f>HYPERLINK("https://klasma.github.io/Logging_UMEA/klagomålsmail/A 14927-2023.docx", "A 14927-2023")</f>
        <v/>
      </c>
      <c r="X252">
        <f>HYPERLINK("https://klasma.github.io/Logging_UMEA/tillsyn/A 14927-2023.docx", "A 14927-2023")</f>
        <v/>
      </c>
      <c r="Y252">
        <f>HYPERLINK("https://klasma.github.io/Logging_UMEA/tillsynsmail/A 14927-2023.docx", "A 14927-2023")</f>
        <v/>
      </c>
    </row>
    <row r="253" ht="15" customHeight="1">
      <c r="A253" t="inlineStr">
        <is>
          <t>A 15648-2023</t>
        </is>
      </c>
      <c r="B253" s="1" t="n">
        <v>45019</v>
      </c>
      <c r="C253" s="1" t="n">
        <v>45204</v>
      </c>
      <c r="D253" t="inlineStr">
        <is>
          <t>VÄSTERBOTTENS LÄN</t>
        </is>
      </c>
      <c r="E253" t="inlineStr">
        <is>
          <t>UMEÅ</t>
        </is>
      </c>
      <c r="F253" t="inlineStr">
        <is>
          <t>Kommuner</t>
        </is>
      </c>
      <c r="G253" t="n">
        <v>6.9</v>
      </c>
      <c r="H253" t="n">
        <v>0</v>
      </c>
      <c r="I253" t="n">
        <v>1</v>
      </c>
      <c r="J253" t="n">
        <v>4</v>
      </c>
      <c r="K253" t="n">
        <v>0</v>
      </c>
      <c r="L253" t="n">
        <v>0</v>
      </c>
      <c r="M253" t="n">
        <v>0</v>
      </c>
      <c r="N253" t="n">
        <v>0</v>
      </c>
      <c r="O253" t="n">
        <v>4</v>
      </c>
      <c r="P253" t="n">
        <v>0</v>
      </c>
      <c r="Q253" t="n">
        <v>5</v>
      </c>
      <c r="R253" s="2" t="inlineStr">
        <is>
          <t>Gammelgransskål
Garnlav
Granticka
Ullticka
Bollvitmossa</t>
        </is>
      </c>
      <c r="S253">
        <f>HYPERLINK("https://klasma.github.io/Logging_UMEA/artfynd/A 15648-2023.xlsx", "A 15648-2023")</f>
        <v/>
      </c>
      <c r="T253">
        <f>HYPERLINK("https://klasma.github.io/Logging_UMEA/kartor/A 15648-2023.png", "A 15648-2023")</f>
        <v/>
      </c>
      <c r="V253">
        <f>HYPERLINK("https://klasma.github.io/Logging_UMEA/klagomål/A 15648-2023.docx", "A 15648-2023")</f>
        <v/>
      </c>
      <c r="W253">
        <f>HYPERLINK("https://klasma.github.io/Logging_UMEA/klagomålsmail/A 15648-2023.docx", "A 15648-2023")</f>
        <v/>
      </c>
      <c r="X253">
        <f>HYPERLINK("https://klasma.github.io/Logging_UMEA/tillsyn/A 15648-2023.docx", "A 15648-2023")</f>
        <v/>
      </c>
      <c r="Y253">
        <f>HYPERLINK("https://klasma.github.io/Logging_UMEA/tillsynsmail/A 15648-2023.docx", "A 15648-2023")</f>
        <v/>
      </c>
    </row>
    <row r="254" ht="15" customHeight="1">
      <c r="A254" t="inlineStr">
        <is>
          <t>A 18951-2023</t>
        </is>
      </c>
      <c r="B254" s="1" t="n">
        <v>45043</v>
      </c>
      <c r="C254" s="1" t="n">
        <v>45204</v>
      </c>
      <c r="D254" t="inlineStr">
        <is>
          <t>VÄSTERBOTTENS LÄN</t>
        </is>
      </c>
      <c r="E254" t="inlineStr">
        <is>
          <t>BJURHOLM</t>
        </is>
      </c>
      <c r="G254" t="n">
        <v>0.7</v>
      </c>
      <c r="H254" t="n">
        <v>0</v>
      </c>
      <c r="I254" t="n">
        <v>2</v>
      </c>
      <c r="J254" t="n">
        <v>3</v>
      </c>
      <c r="K254" t="n">
        <v>0</v>
      </c>
      <c r="L254" t="n">
        <v>0</v>
      </c>
      <c r="M254" t="n">
        <v>0</v>
      </c>
      <c r="N254" t="n">
        <v>0</v>
      </c>
      <c r="O254" t="n">
        <v>3</v>
      </c>
      <c r="P254" t="n">
        <v>0</v>
      </c>
      <c r="Q254" t="n">
        <v>5</v>
      </c>
      <c r="R254" s="2" t="inlineStr">
        <is>
          <t>Lunglav
Småflikig brosklav
Violettgrå tagellav
Stuplav
Vedticka</t>
        </is>
      </c>
      <c r="S254">
        <f>HYPERLINK("https://klasma.github.io/Logging_BJURHOLM/artfynd/A 18951-2023.xlsx", "A 18951-2023")</f>
        <v/>
      </c>
      <c r="T254">
        <f>HYPERLINK("https://klasma.github.io/Logging_BJURHOLM/kartor/A 18951-2023.png", "A 18951-2023")</f>
        <v/>
      </c>
      <c r="V254">
        <f>HYPERLINK("https://klasma.github.io/Logging_BJURHOLM/klagomål/A 18951-2023.docx", "A 18951-2023")</f>
        <v/>
      </c>
      <c r="W254">
        <f>HYPERLINK("https://klasma.github.io/Logging_BJURHOLM/klagomålsmail/A 18951-2023.docx", "A 18951-2023")</f>
        <v/>
      </c>
      <c r="X254">
        <f>HYPERLINK("https://klasma.github.io/Logging_BJURHOLM/tillsyn/A 18951-2023.docx", "A 18951-2023")</f>
        <v/>
      </c>
      <c r="Y254">
        <f>HYPERLINK("https://klasma.github.io/Logging_BJURHOLM/tillsynsmail/A 18951-2023.docx", "A 18951-2023")</f>
        <v/>
      </c>
    </row>
    <row r="255" ht="15" customHeight="1">
      <c r="A255" t="inlineStr">
        <is>
          <t>A 19727-2023</t>
        </is>
      </c>
      <c r="B255" s="1" t="n">
        <v>45050</v>
      </c>
      <c r="C255" s="1" t="n">
        <v>45204</v>
      </c>
      <c r="D255" t="inlineStr">
        <is>
          <t>VÄSTERBOTTENS LÄN</t>
        </is>
      </c>
      <c r="E255" t="inlineStr">
        <is>
          <t>VILHELMINA</t>
        </is>
      </c>
      <c r="G255" t="n">
        <v>11.9</v>
      </c>
      <c r="H255" t="n">
        <v>2</v>
      </c>
      <c r="I255" t="n">
        <v>0</v>
      </c>
      <c r="J255" t="n">
        <v>5</v>
      </c>
      <c r="K255" t="n">
        <v>0</v>
      </c>
      <c r="L255" t="n">
        <v>0</v>
      </c>
      <c r="M255" t="n">
        <v>0</v>
      </c>
      <c r="N255" t="n">
        <v>0</v>
      </c>
      <c r="O255" t="n">
        <v>5</v>
      </c>
      <c r="P255" t="n">
        <v>0</v>
      </c>
      <c r="Q255" t="n">
        <v>5</v>
      </c>
      <c r="R255" s="2" t="inlineStr">
        <is>
          <t>Gammelgransskål
Garnlav
Harticka
Spillkråka
Tretåig hackspett</t>
        </is>
      </c>
      <c r="S255">
        <f>HYPERLINK("https://klasma.github.io/Logging_VILHELMINA/artfynd/A 19727-2023.xlsx", "A 19727-2023")</f>
        <v/>
      </c>
      <c r="T255">
        <f>HYPERLINK("https://klasma.github.io/Logging_VILHELMINA/kartor/A 19727-2023.png", "A 19727-2023")</f>
        <v/>
      </c>
      <c r="V255">
        <f>HYPERLINK("https://klasma.github.io/Logging_VILHELMINA/klagomål/A 19727-2023.docx", "A 19727-2023")</f>
        <v/>
      </c>
      <c r="W255">
        <f>HYPERLINK("https://klasma.github.io/Logging_VILHELMINA/klagomålsmail/A 19727-2023.docx", "A 19727-2023")</f>
        <v/>
      </c>
      <c r="X255">
        <f>HYPERLINK("https://klasma.github.io/Logging_VILHELMINA/tillsyn/A 19727-2023.docx", "A 19727-2023")</f>
        <v/>
      </c>
      <c r="Y255">
        <f>HYPERLINK("https://klasma.github.io/Logging_VILHELMINA/tillsynsmail/A 19727-2023.docx", "A 19727-2023")</f>
        <v/>
      </c>
    </row>
    <row r="256" ht="15" customHeight="1">
      <c r="A256" t="inlineStr">
        <is>
          <t>A 20701-2023</t>
        </is>
      </c>
      <c r="B256" s="1" t="n">
        <v>45055</v>
      </c>
      <c r="C256" s="1" t="n">
        <v>45204</v>
      </c>
      <c r="D256" t="inlineStr">
        <is>
          <t>VÄSTERBOTTENS LÄN</t>
        </is>
      </c>
      <c r="E256" t="inlineStr">
        <is>
          <t>STORUMAN</t>
        </is>
      </c>
      <c r="G256" t="n">
        <v>12.7</v>
      </c>
      <c r="H256" t="n">
        <v>1</v>
      </c>
      <c r="I256" t="n">
        <v>2</v>
      </c>
      <c r="J256" t="n">
        <v>3</v>
      </c>
      <c r="K256" t="n">
        <v>0</v>
      </c>
      <c r="L256" t="n">
        <v>0</v>
      </c>
      <c r="M256" t="n">
        <v>0</v>
      </c>
      <c r="N256" t="n">
        <v>0</v>
      </c>
      <c r="O256" t="n">
        <v>3</v>
      </c>
      <c r="P256" t="n">
        <v>0</v>
      </c>
      <c r="Q256" t="n">
        <v>5</v>
      </c>
      <c r="R256" s="2" t="inlineStr">
        <is>
          <t>Garnlav
Skrovellav
Tretåig hackspett
Blodticka
Luddlav</t>
        </is>
      </c>
      <c r="S256">
        <f>HYPERLINK("https://klasma.github.io/Logging_STORUMAN/artfynd/A 20701-2023.xlsx", "A 20701-2023")</f>
        <v/>
      </c>
      <c r="T256">
        <f>HYPERLINK("https://klasma.github.io/Logging_STORUMAN/kartor/A 20701-2023.png", "A 20701-2023")</f>
        <v/>
      </c>
      <c r="V256">
        <f>HYPERLINK("https://klasma.github.io/Logging_STORUMAN/klagomål/A 20701-2023.docx", "A 20701-2023")</f>
        <v/>
      </c>
      <c r="W256">
        <f>HYPERLINK("https://klasma.github.io/Logging_STORUMAN/klagomålsmail/A 20701-2023.docx", "A 20701-2023")</f>
        <v/>
      </c>
      <c r="X256">
        <f>HYPERLINK("https://klasma.github.io/Logging_STORUMAN/tillsyn/A 20701-2023.docx", "A 20701-2023")</f>
        <v/>
      </c>
      <c r="Y256">
        <f>HYPERLINK("https://klasma.github.io/Logging_STORUMAN/tillsynsmail/A 20701-2023.docx", "A 20701-2023")</f>
        <v/>
      </c>
    </row>
    <row r="257" ht="15" customHeight="1">
      <c r="A257" t="inlineStr">
        <is>
          <t>A 22203-2023</t>
        </is>
      </c>
      <c r="B257" s="1" t="n">
        <v>45069</v>
      </c>
      <c r="C257" s="1" t="n">
        <v>45204</v>
      </c>
      <c r="D257" t="inlineStr">
        <is>
          <t>VÄSTERBOTTENS LÄN</t>
        </is>
      </c>
      <c r="E257" t="inlineStr">
        <is>
          <t>UMEÅ</t>
        </is>
      </c>
      <c r="G257" t="n">
        <v>6.2</v>
      </c>
      <c r="H257" t="n">
        <v>0</v>
      </c>
      <c r="I257" t="n">
        <v>1</v>
      </c>
      <c r="J257" t="n">
        <v>4</v>
      </c>
      <c r="K257" t="n">
        <v>0</v>
      </c>
      <c r="L257" t="n">
        <v>0</v>
      </c>
      <c r="M257" t="n">
        <v>0</v>
      </c>
      <c r="N257" t="n">
        <v>0</v>
      </c>
      <c r="O257" t="n">
        <v>4</v>
      </c>
      <c r="P257" t="n">
        <v>0</v>
      </c>
      <c r="Q257" t="n">
        <v>5</v>
      </c>
      <c r="R257" s="2" t="inlineStr">
        <is>
          <t>Garnlav
Granticka
Ullticka
Violettgrå tagellav
Skinnlav</t>
        </is>
      </c>
      <c r="S257">
        <f>HYPERLINK("https://klasma.github.io/Logging_UMEA/artfynd/A 22203-2023.xlsx", "A 22203-2023")</f>
        <v/>
      </c>
      <c r="T257">
        <f>HYPERLINK("https://klasma.github.io/Logging_UMEA/kartor/A 22203-2023.png", "A 22203-2023")</f>
        <v/>
      </c>
      <c r="V257">
        <f>HYPERLINK("https://klasma.github.io/Logging_UMEA/klagomål/A 22203-2023.docx", "A 22203-2023")</f>
        <v/>
      </c>
      <c r="W257">
        <f>HYPERLINK("https://klasma.github.io/Logging_UMEA/klagomålsmail/A 22203-2023.docx", "A 22203-2023")</f>
        <v/>
      </c>
      <c r="X257">
        <f>HYPERLINK("https://klasma.github.io/Logging_UMEA/tillsyn/A 22203-2023.docx", "A 22203-2023")</f>
        <v/>
      </c>
      <c r="Y257">
        <f>HYPERLINK("https://klasma.github.io/Logging_UMEA/tillsynsmail/A 22203-2023.docx", "A 22203-2023")</f>
        <v/>
      </c>
    </row>
    <row r="258" ht="15" customHeight="1">
      <c r="A258" t="inlineStr">
        <is>
          <t>A 31594-2023</t>
        </is>
      </c>
      <c r="B258" s="1" t="n">
        <v>45117</v>
      </c>
      <c r="C258" s="1" t="n">
        <v>45204</v>
      </c>
      <c r="D258" t="inlineStr">
        <is>
          <t>VÄSTERBOTTENS LÄN</t>
        </is>
      </c>
      <c r="E258" t="inlineStr">
        <is>
          <t>SKELLEFTEÅ</t>
        </is>
      </c>
      <c r="F258" t="inlineStr">
        <is>
          <t>Holmen skog AB</t>
        </is>
      </c>
      <c r="G258" t="n">
        <v>11.3</v>
      </c>
      <c r="H258" t="n">
        <v>1</v>
      </c>
      <c r="I258" t="n">
        <v>2</v>
      </c>
      <c r="J258" t="n">
        <v>2</v>
      </c>
      <c r="K258" t="n">
        <v>1</v>
      </c>
      <c r="L258" t="n">
        <v>0</v>
      </c>
      <c r="M258" t="n">
        <v>0</v>
      </c>
      <c r="N258" t="n">
        <v>0</v>
      </c>
      <c r="O258" t="n">
        <v>3</v>
      </c>
      <c r="P258" t="n">
        <v>1</v>
      </c>
      <c r="Q258" t="n">
        <v>5</v>
      </c>
      <c r="R258" s="2" t="inlineStr">
        <is>
          <t>Doftticka
Garnlav
Lunglav
Bårdlav
Stuplav</t>
        </is>
      </c>
      <c r="S258">
        <f>HYPERLINK("https://klasma.github.io/Logging_SKELLEFTEA/artfynd/A 31594-2023.xlsx", "A 31594-2023")</f>
        <v/>
      </c>
      <c r="T258">
        <f>HYPERLINK("https://klasma.github.io/Logging_SKELLEFTEA/kartor/A 31594-2023.png", "A 31594-2023")</f>
        <v/>
      </c>
      <c r="V258">
        <f>HYPERLINK("https://klasma.github.io/Logging_SKELLEFTEA/klagomål/A 31594-2023.docx", "A 31594-2023")</f>
        <v/>
      </c>
      <c r="W258">
        <f>HYPERLINK("https://klasma.github.io/Logging_SKELLEFTEA/klagomålsmail/A 31594-2023.docx", "A 31594-2023")</f>
        <v/>
      </c>
      <c r="X258">
        <f>HYPERLINK("https://klasma.github.io/Logging_SKELLEFTEA/tillsyn/A 31594-2023.docx", "A 31594-2023")</f>
        <v/>
      </c>
      <c r="Y258">
        <f>HYPERLINK("https://klasma.github.io/Logging_SKELLEFTEA/tillsynsmail/A 31594-2023.docx", "A 31594-2023")</f>
        <v/>
      </c>
    </row>
    <row r="259" ht="15" customHeight="1">
      <c r="A259" t="inlineStr">
        <is>
          <t>A 46729-2018</t>
        </is>
      </c>
      <c r="B259" s="1" t="n">
        <v>43368</v>
      </c>
      <c r="C259" s="1" t="n">
        <v>45204</v>
      </c>
      <c r="D259" t="inlineStr">
        <is>
          <t>VÄSTERBOTTENS LÄN</t>
        </is>
      </c>
      <c r="E259" t="inlineStr">
        <is>
          <t>STORUMAN</t>
        </is>
      </c>
      <c r="G259" t="n">
        <v>11.3</v>
      </c>
      <c r="H259" t="n">
        <v>0</v>
      </c>
      <c r="I259" t="n">
        <v>0</v>
      </c>
      <c r="J259" t="n">
        <v>1</v>
      </c>
      <c r="K259" t="n">
        <v>3</v>
      </c>
      <c r="L259" t="n">
        <v>0</v>
      </c>
      <c r="M259" t="n">
        <v>0</v>
      </c>
      <c r="N259" t="n">
        <v>0</v>
      </c>
      <c r="O259" t="n">
        <v>4</v>
      </c>
      <c r="P259" t="n">
        <v>3</v>
      </c>
      <c r="Q259" t="n">
        <v>4</v>
      </c>
      <c r="R259" s="2" t="inlineStr">
        <is>
          <t>Liten sotlav
Ostticka
Rynkskinn
Rosenticka</t>
        </is>
      </c>
      <c r="S259">
        <f>HYPERLINK("https://klasma.github.io/Logging_STORUMAN/artfynd/A 46729-2018.xlsx", "A 46729-2018")</f>
        <v/>
      </c>
      <c r="T259">
        <f>HYPERLINK("https://klasma.github.io/Logging_STORUMAN/kartor/A 46729-2018.png", "A 46729-2018")</f>
        <v/>
      </c>
      <c r="V259">
        <f>HYPERLINK("https://klasma.github.io/Logging_STORUMAN/klagomål/A 46729-2018.docx", "A 46729-2018")</f>
        <v/>
      </c>
      <c r="W259">
        <f>HYPERLINK("https://klasma.github.io/Logging_STORUMAN/klagomålsmail/A 46729-2018.docx", "A 46729-2018")</f>
        <v/>
      </c>
      <c r="X259">
        <f>HYPERLINK("https://klasma.github.io/Logging_STORUMAN/tillsyn/A 46729-2018.docx", "A 46729-2018")</f>
        <v/>
      </c>
      <c r="Y259">
        <f>HYPERLINK("https://klasma.github.io/Logging_STORUMAN/tillsynsmail/A 46729-2018.docx", "A 46729-2018")</f>
        <v/>
      </c>
    </row>
    <row r="260" ht="15" customHeight="1">
      <c r="A260" t="inlineStr">
        <is>
          <t>A 69071-2018</t>
        </is>
      </c>
      <c r="B260" s="1" t="n">
        <v>43445</v>
      </c>
      <c r="C260" s="1" t="n">
        <v>45204</v>
      </c>
      <c r="D260" t="inlineStr">
        <is>
          <t>VÄSTERBOTTENS LÄN</t>
        </is>
      </c>
      <c r="E260" t="inlineStr">
        <is>
          <t>BJURHOLM</t>
        </is>
      </c>
      <c r="G260" t="n">
        <v>1.2</v>
      </c>
      <c r="H260" t="n">
        <v>0</v>
      </c>
      <c r="I260" t="n">
        <v>1</v>
      </c>
      <c r="J260" t="n">
        <v>3</v>
      </c>
      <c r="K260" t="n">
        <v>0</v>
      </c>
      <c r="L260" t="n">
        <v>0</v>
      </c>
      <c r="M260" t="n">
        <v>0</v>
      </c>
      <c r="N260" t="n">
        <v>0</v>
      </c>
      <c r="O260" t="n">
        <v>3</v>
      </c>
      <c r="P260" t="n">
        <v>0</v>
      </c>
      <c r="Q260" t="n">
        <v>4</v>
      </c>
      <c r="R260" s="2" t="inlineStr">
        <is>
          <t>Granticka
Lunglav
Violettgrå tagellav
Luddlav</t>
        </is>
      </c>
      <c r="S260">
        <f>HYPERLINK("https://klasma.github.io/Logging_BJURHOLM/artfynd/A 69071-2018.xlsx", "A 69071-2018")</f>
        <v/>
      </c>
      <c r="T260">
        <f>HYPERLINK("https://klasma.github.io/Logging_BJURHOLM/kartor/A 69071-2018.png", "A 69071-2018")</f>
        <v/>
      </c>
      <c r="V260">
        <f>HYPERLINK("https://klasma.github.io/Logging_BJURHOLM/klagomål/A 69071-2018.docx", "A 69071-2018")</f>
        <v/>
      </c>
      <c r="W260">
        <f>HYPERLINK("https://klasma.github.io/Logging_BJURHOLM/klagomålsmail/A 69071-2018.docx", "A 69071-2018")</f>
        <v/>
      </c>
      <c r="X260">
        <f>HYPERLINK("https://klasma.github.io/Logging_BJURHOLM/tillsyn/A 69071-2018.docx", "A 69071-2018")</f>
        <v/>
      </c>
      <c r="Y260">
        <f>HYPERLINK("https://klasma.github.io/Logging_BJURHOLM/tillsynsmail/A 69071-2018.docx", "A 69071-2018")</f>
        <v/>
      </c>
    </row>
    <row r="261" ht="15" customHeight="1">
      <c r="A261" t="inlineStr">
        <is>
          <t>A 5617-2019</t>
        </is>
      </c>
      <c r="B261" s="1" t="n">
        <v>43482</v>
      </c>
      <c r="C261" s="1" t="n">
        <v>45204</v>
      </c>
      <c r="D261" t="inlineStr">
        <is>
          <t>VÄSTERBOTTENS LÄN</t>
        </is>
      </c>
      <c r="E261" t="inlineStr">
        <is>
          <t>LYCKSELE</t>
        </is>
      </c>
      <c r="G261" t="n">
        <v>8.699999999999999</v>
      </c>
      <c r="H261" t="n">
        <v>3</v>
      </c>
      <c r="I261" t="n">
        <v>1</v>
      </c>
      <c r="J261" t="n">
        <v>1</v>
      </c>
      <c r="K261" t="n">
        <v>0</v>
      </c>
      <c r="L261" t="n">
        <v>0</v>
      </c>
      <c r="M261" t="n">
        <v>0</v>
      </c>
      <c r="N261" t="n">
        <v>0</v>
      </c>
      <c r="O261" t="n">
        <v>1</v>
      </c>
      <c r="P261" t="n">
        <v>0</v>
      </c>
      <c r="Q261" t="n">
        <v>4</v>
      </c>
      <c r="R261" s="2" t="inlineStr">
        <is>
          <t>Garnlav
Spindelblomster
Fläcknycklar
Revlummer</t>
        </is>
      </c>
      <c r="S261">
        <f>HYPERLINK("https://klasma.github.io/Logging_LYCKSELE/artfynd/A 5617-2019.xlsx", "A 5617-2019")</f>
        <v/>
      </c>
      <c r="T261">
        <f>HYPERLINK("https://klasma.github.io/Logging_LYCKSELE/kartor/A 5617-2019.png", "A 5617-2019")</f>
        <v/>
      </c>
      <c r="V261">
        <f>HYPERLINK("https://klasma.github.io/Logging_LYCKSELE/klagomål/A 5617-2019.docx", "A 5617-2019")</f>
        <v/>
      </c>
      <c r="W261">
        <f>HYPERLINK("https://klasma.github.io/Logging_LYCKSELE/klagomålsmail/A 5617-2019.docx", "A 5617-2019")</f>
        <v/>
      </c>
      <c r="X261">
        <f>HYPERLINK("https://klasma.github.io/Logging_LYCKSELE/tillsyn/A 5617-2019.docx", "A 5617-2019")</f>
        <v/>
      </c>
      <c r="Y261">
        <f>HYPERLINK("https://klasma.github.io/Logging_LYCKSELE/tillsynsmail/A 5617-2019.docx", "A 5617-2019")</f>
        <v/>
      </c>
    </row>
    <row r="262" ht="15" customHeight="1">
      <c r="A262" t="inlineStr">
        <is>
          <t>A 7819-2019</t>
        </is>
      </c>
      <c r="B262" s="1" t="n">
        <v>43500</v>
      </c>
      <c r="C262" s="1" t="n">
        <v>45204</v>
      </c>
      <c r="D262" t="inlineStr">
        <is>
          <t>VÄSTERBOTTENS LÄN</t>
        </is>
      </c>
      <c r="E262" t="inlineStr">
        <is>
          <t>STORUMAN</t>
        </is>
      </c>
      <c r="G262" t="n">
        <v>17.6</v>
      </c>
      <c r="H262" t="n">
        <v>1</v>
      </c>
      <c r="I262" t="n">
        <v>0</v>
      </c>
      <c r="J262" t="n">
        <v>4</v>
      </c>
      <c r="K262" t="n">
        <v>0</v>
      </c>
      <c r="L262" t="n">
        <v>0</v>
      </c>
      <c r="M262" t="n">
        <v>0</v>
      </c>
      <c r="N262" t="n">
        <v>0</v>
      </c>
      <c r="O262" t="n">
        <v>4</v>
      </c>
      <c r="P262" t="n">
        <v>0</v>
      </c>
      <c r="Q262" t="n">
        <v>4</v>
      </c>
      <c r="R262" s="2" t="inlineStr">
        <is>
          <t>Granticka
Harticka
Rödbrun blekspik
Tretåig hackspett</t>
        </is>
      </c>
      <c r="S262">
        <f>HYPERLINK("https://klasma.github.io/Logging_STORUMAN/artfynd/A 7819-2019.xlsx", "A 7819-2019")</f>
        <v/>
      </c>
      <c r="T262">
        <f>HYPERLINK("https://klasma.github.io/Logging_STORUMAN/kartor/A 7819-2019.png", "A 7819-2019")</f>
        <v/>
      </c>
      <c r="V262">
        <f>HYPERLINK("https://klasma.github.io/Logging_STORUMAN/klagomål/A 7819-2019.docx", "A 7819-2019")</f>
        <v/>
      </c>
      <c r="W262">
        <f>HYPERLINK("https://klasma.github.io/Logging_STORUMAN/klagomålsmail/A 7819-2019.docx", "A 7819-2019")</f>
        <v/>
      </c>
      <c r="X262">
        <f>HYPERLINK("https://klasma.github.io/Logging_STORUMAN/tillsyn/A 7819-2019.docx", "A 7819-2019")</f>
        <v/>
      </c>
      <c r="Y262">
        <f>HYPERLINK("https://klasma.github.io/Logging_STORUMAN/tillsynsmail/A 7819-2019.docx", "A 7819-2019")</f>
        <v/>
      </c>
    </row>
    <row r="263" ht="15" customHeight="1">
      <c r="A263" t="inlineStr">
        <is>
          <t>A 32689-2019</t>
        </is>
      </c>
      <c r="B263" s="1" t="n">
        <v>43647</v>
      </c>
      <c r="C263" s="1" t="n">
        <v>45204</v>
      </c>
      <c r="D263" t="inlineStr">
        <is>
          <t>VÄSTERBOTTENS LÄN</t>
        </is>
      </c>
      <c r="E263" t="inlineStr">
        <is>
          <t>SKELLEFTEÅ</t>
        </is>
      </c>
      <c r="G263" t="n">
        <v>46.9</v>
      </c>
      <c r="H263" t="n">
        <v>0</v>
      </c>
      <c r="I263" t="n">
        <v>2</v>
      </c>
      <c r="J263" t="n">
        <v>2</v>
      </c>
      <c r="K263" t="n">
        <v>0</v>
      </c>
      <c r="L263" t="n">
        <v>0</v>
      </c>
      <c r="M263" t="n">
        <v>0</v>
      </c>
      <c r="N263" t="n">
        <v>0</v>
      </c>
      <c r="O263" t="n">
        <v>2</v>
      </c>
      <c r="P263" t="n">
        <v>0</v>
      </c>
      <c r="Q263" t="n">
        <v>4</v>
      </c>
      <c r="R263" s="2" t="inlineStr">
        <is>
          <t>Dvärgbägarlav
Lunglav
Luddlav
Stuplav</t>
        </is>
      </c>
      <c r="S263">
        <f>HYPERLINK("https://klasma.github.io/Logging_SKELLEFTEA/artfynd/A 32689-2019.xlsx", "A 32689-2019")</f>
        <v/>
      </c>
      <c r="T263">
        <f>HYPERLINK("https://klasma.github.io/Logging_SKELLEFTEA/kartor/A 32689-2019.png", "A 32689-2019")</f>
        <v/>
      </c>
      <c r="V263">
        <f>HYPERLINK("https://klasma.github.io/Logging_SKELLEFTEA/klagomål/A 32689-2019.docx", "A 32689-2019")</f>
        <v/>
      </c>
      <c r="W263">
        <f>HYPERLINK("https://klasma.github.io/Logging_SKELLEFTEA/klagomålsmail/A 32689-2019.docx", "A 32689-2019")</f>
        <v/>
      </c>
      <c r="X263">
        <f>HYPERLINK("https://klasma.github.io/Logging_SKELLEFTEA/tillsyn/A 32689-2019.docx", "A 32689-2019")</f>
        <v/>
      </c>
      <c r="Y263">
        <f>HYPERLINK("https://klasma.github.io/Logging_SKELLEFTEA/tillsynsmail/A 32689-2019.docx", "A 32689-2019")</f>
        <v/>
      </c>
    </row>
    <row r="264" ht="15" customHeight="1">
      <c r="A264" t="inlineStr">
        <is>
          <t>A 52731-2019</t>
        </is>
      </c>
      <c r="B264" s="1" t="n">
        <v>43739</v>
      </c>
      <c r="C264" s="1" t="n">
        <v>45204</v>
      </c>
      <c r="D264" t="inlineStr">
        <is>
          <t>VÄSTERBOTTENS LÄN</t>
        </is>
      </c>
      <c r="E264" t="inlineStr">
        <is>
          <t>SKELLEFTEÅ</t>
        </is>
      </c>
      <c r="G264" t="n">
        <v>6.5</v>
      </c>
      <c r="H264" t="n">
        <v>0</v>
      </c>
      <c r="I264" t="n">
        <v>0</v>
      </c>
      <c r="J264" t="n">
        <v>4</v>
      </c>
      <c r="K264" t="n">
        <v>0</v>
      </c>
      <c r="L264" t="n">
        <v>0</v>
      </c>
      <c r="M264" t="n">
        <v>0</v>
      </c>
      <c r="N264" t="n">
        <v>0</v>
      </c>
      <c r="O264" t="n">
        <v>4</v>
      </c>
      <c r="P264" t="n">
        <v>0</v>
      </c>
      <c r="Q264" t="n">
        <v>4</v>
      </c>
      <c r="R264" s="2" t="inlineStr">
        <is>
          <t>Granticka
Lunglav
Ullticka
Violettgrå tagellav</t>
        </is>
      </c>
      <c r="S264">
        <f>HYPERLINK("https://klasma.github.io/Logging_SKELLEFTEA/artfynd/A 52731-2019.xlsx", "A 52731-2019")</f>
        <v/>
      </c>
      <c r="T264">
        <f>HYPERLINK("https://klasma.github.io/Logging_SKELLEFTEA/kartor/A 52731-2019.png", "A 52731-2019")</f>
        <v/>
      </c>
      <c r="V264">
        <f>HYPERLINK("https://klasma.github.io/Logging_SKELLEFTEA/klagomål/A 52731-2019.docx", "A 52731-2019")</f>
        <v/>
      </c>
      <c r="W264">
        <f>HYPERLINK("https://klasma.github.io/Logging_SKELLEFTEA/klagomålsmail/A 52731-2019.docx", "A 52731-2019")</f>
        <v/>
      </c>
      <c r="X264">
        <f>HYPERLINK("https://klasma.github.io/Logging_SKELLEFTEA/tillsyn/A 52731-2019.docx", "A 52731-2019")</f>
        <v/>
      </c>
      <c r="Y264">
        <f>HYPERLINK("https://klasma.github.io/Logging_SKELLEFTEA/tillsynsmail/A 52731-2019.docx", "A 52731-2019")</f>
        <v/>
      </c>
    </row>
    <row r="265" ht="15" customHeight="1">
      <c r="A265" t="inlineStr">
        <is>
          <t>A 55630-2019</t>
        </is>
      </c>
      <c r="B265" s="1" t="n">
        <v>43755</v>
      </c>
      <c r="C265" s="1" t="n">
        <v>45204</v>
      </c>
      <c r="D265" t="inlineStr">
        <is>
          <t>VÄSTERBOTTENS LÄN</t>
        </is>
      </c>
      <c r="E265" t="inlineStr">
        <is>
          <t>SKELLEFTEÅ</t>
        </is>
      </c>
      <c r="G265" t="n">
        <v>20.2</v>
      </c>
      <c r="H265" t="n">
        <v>0</v>
      </c>
      <c r="I265" t="n">
        <v>0</v>
      </c>
      <c r="J265" t="n">
        <v>4</v>
      </c>
      <c r="K265" t="n">
        <v>0</v>
      </c>
      <c r="L265" t="n">
        <v>0</v>
      </c>
      <c r="M265" t="n">
        <v>0</v>
      </c>
      <c r="N265" t="n">
        <v>0</v>
      </c>
      <c r="O265" t="n">
        <v>4</v>
      </c>
      <c r="P265" t="n">
        <v>0</v>
      </c>
      <c r="Q265" t="n">
        <v>4</v>
      </c>
      <c r="R265" s="2" t="inlineStr">
        <is>
          <t>Gammelgransskål
Garnlav
Granticka
Violettgrå tagellav</t>
        </is>
      </c>
      <c r="S265">
        <f>HYPERLINK("https://klasma.github.io/Logging_SKELLEFTEA/artfynd/A 55630-2019.xlsx", "A 55630-2019")</f>
        <v/>
      </c>
      <c r="T265">
        <f>HYPERLINK("https://klasma.github.io/Logging_SKELLEFTEA/kartor/A 55630-2019.png", "A 55630-2019")</f>
        <v/>
      </c>
      <c r="V265">
        <f>HYPERLINK("https://klasma.github.io/Logging_SKELLEFTEA/klagomål/A 55630-2019.docx", "A 55630-2019")</f>
        <v/>
      </c>
      <c r="W265">
        <f>HYPERLINK("https://klasma.github.io/Logging_SKELLEFTEA/klagomålsmail/A 55630-2019.docx", "A 55630-2019")</f>
        <v/>
      </c>
      <c r="X265">
        <f>HYPERLINK("https://klasma.github.io/Logging_SKELLEFTEA/tillsyn/A 55630-2019.docx", "A 55630-2019")</f>
        <v/>
      </c>
      <c r="Y265">
        <f>HYPERLINK("https://klasma.github.io/Logging_SKELLEFTEA/tillsynsmail/A 55630-2019.docx", "A 55630-2019")</f>
        <v/>
      </c>
    </row>
    <row r="266" ht="15" customHeight="1">
      <c r="A266" t="inlineStr">
        <is>
          <t>A 2336-2020</t>
        </is>
      </c>
      <c r="B266" s="1" t="n">
        <v>43846</v>
      </c>
      <c r="C266" s="1" t="n">
        <v>45204</v>
      </c>
      <c r="D266" t="inlineStr">
        <is>
          <t>VÄSTERBOTTENS LÄN</t>
        </is>
      </c>
      <c r="E266" t="inlineStr">
        <is>
          <t>UMEÅ</t>
        </is>
      </c>
      <c r="G266" t="n">
        <v>4.7</v>
      </c>
      <c r="H266" t="n">
        <v>0</v>
      </c>
      <c r="I266" t="n">
        <v>0</v>
      </c>
      <c r="J266" t="n">
        <v>4</v>
      </c>
      <c r="K266" t="n">
        <v>0</v>
      </c>
      <c r="L266" t="n">
        <v>0</v>
      </c>
      <c r="M266" t="n">
        <v>0</v>
      </c>
      <c r="N266" t="n">
        <v>0</v>
      </c>
      <c r="O266" t="n">
        <v>4</v>
      </c>
      <c r="P266" t="n">
        <v>0</v>
      </c>
      <c r="Q266" t="n">
        <v>4</v>
      </c>
      <c r="R266" s="2" t="inlineStr">
        <is>
          <t>Gammelgransskål
Garnlav
Stjärntagging
Vedflikmossa</t>
        </is>
      </c>
      <c r="S266">
        <f>HYPERLINK("https://klasma.github.io/Logging_UMEA/artfynd/A 2336-2020.xlsx", "A 2336-2020")</f>
        <v/>
      </c>
      <c r="T266">
        <f>HYPERLINK("https://klasma.github.io/Logging_UMEA/kartor/A 2336-2020.png", "A 2336-2020")</f>
        <v/>
      </c>
      <c r="V266">
        <f>HYPERLINK("https://klasma.github.io/Logging_UMEA/klagomål/A 2336-2020.docx", "A 2336-2020")</f>
        <v/>
      </c>
      <c r="W266">
        <f>HYPERLINK("https://klasma.github.io/Logging_UMEA/klagomålsmail/A 2336-2020.docx", "A 2336-2020")</f>
        <v/>
      </c>
      <c r="X266">
        <f>HYPERLINK("https://klasma.github.io/Logging_UMEA/tillsyn/A 2336-2020.docx", "A 2336-2020")</f>
        <v/>
      </c>
      <c r="Y266">
        <f>HYPERLINK("https://klasma.github.io/Logging_UMEA/tillsynsmail/A 2336-2020.docx", "A 2336-2020")</f>
        <v/>
      </c>
    </row>
    <row r="267" ht="15" customHeight="1">
      <c r="A267" t="inlineStr">
        <is>
          <t>A 8741-2020</t>
        </is>
      </c>
      <c r="B267" s="1" t="n">
        <v>43878</v>
      </c>
      <c r="C267" s="1" t="n">
        <v>45204</v>
      </c>
      <c r="D267" t="inlineStr">
        <is>
          <t>VÄSTERBOTTENS LÄN</t>
        </is>
      </c>
      <c r="E267" t="inlineStr">
        <is>
          <t>VINDELN</t>
        </is>
      </c>
      <c r="G267" t="n">
        <v>2.9</v>
      </c>
      <c r="H267" t="n">
        <v>0</v>
      </c>
      <c r="I267" t="n">
        <v>1</v>
      </c>
      <c r="J267" t="n">
        <v>3</v>
      </c>
      <c r="K267" t="n">
        <v>0</v>
      </c>
      <c r="L267" t="n">
        <v>0</v>
      </c>
      <c r="M267" t="n">
        <v>0</v>
      </c>
      <c r="N267" t="n">
        <v>0</v>
      </c>
      <c r="O267" t="n">
        <v>3</v>
      </c>
      <c r="P267" t="n">
        <v>0</v>
      </c>
      <c r="Q267" t="n">
        <v>4</v>
      </c>
      <c r="R267" s="2" t="inlineStr">
        <is>
          <t>Corticaria interstitialis
Granbarkmögelbagge
Scaphisoma subalpinum
Dorcatoma dresdensis</t>
        </is>
      </c>
      <c r="S267">
        <f>HYPERLINK("https://klasma.github.io/Logging_VINDELN/artfynd/A 8741-2020.xlsx", "A 8741-2020")</f>
        <v/>
      </c>
      <c r="T267">
        <f>HYPERLINK("https://klasma.github.io/Logging_VINDELN/kartor/A 8741-2020.png", "A 8741-2020")</f>
        <v/>
      </c>
      <c r="V267">
        <f>HYPERLINK("https://klasma.github.io/Logging_VINDELN/klagomål/A 8741-2020.docx", "A 8741-2020")</f>
        <v/>
      </c>
      <c r="W267">
        <f>HYPERLINK("https://klasma.github.io/Logging_VINDELN/klagomålsmail/A 8741-2020.docx", "A 8741-2020")</f>
        <v/>
      </c>
      <c r="X267">
        <f>HYPERLINK("https://klasma.github.io/Logging_VINDELN/tillsyn/A 8741-2020.docx", "A 8741-2020")</f>
        <v/>
      </c>
      <c r="Y267">
        <f>HYPERLINK("https://klasma.github.io/Logging_VINDELN/tillsynsmail/A 8741-2020.docx", "A 8741-2020")</f>
        <v/>
      </c>
    </row>
    <row r="268" ht="15" customHeight="1">
      <c r="A268" t="inlineStr">
        <is>
          <t>A 9856-2020</t>
        </is>
      </c>
      <c r="B268" s="1" t="n">
        <v>43882</v>
      </c>
      <c r="C268" s="1" t="n">
        <v>45204</v>
      </c>
      <c r="D268" t="inlineStr">
        <is>
          <t>VÄSTERBOTTENS LÄN</t>
        </is>
      </c>
      <c r="E268" t="inlineStr">
        <is>
          <t>NORDMALING</t>
        </is>
      </c>
      <c r="G268" t="n">
        <v>1</v>
      </c>
      <c r="H268" t="n">
        <v>0</v>
      </c>
      <c r="I268" t="n">
        <v>1</v>
      </c>
      <c r="J268" t="n">
        <v>2</v>
      </c>
      <c r="K268" t="n">
        <v>1</v>
      </c>
      <c r="L268" t="n">
        <v>0</v>
      </c>
      <c r="M268" t="n">
        <v>0</v>
      </c>
      <c r="N268" t="n">
        <v>0</v>
      </c>
      <c r="O268" t="n">
        <v>3</v>
      </c>
      <c r="P268" t="n">
        <v>1</v>
      </c>
      <c r="Q268" t="n">
        <v>4</v>
      </c>
      <c r="R268" s="2" t="inlineStr">
        <is>
          <t>Aspfjädermossa
Lunglav
Stiftgelélav
Luddlav</t>
        </is>
      </c>
      <c r="S268">
        <f>HYPERLINK("https://klasma.github.io/Logging_NORDMALING/artfynd/A 9856-2020.xlsx", "A 9856-2020")</f>
        <v/>
      </c>
      <c r="T268">
        <f>HYPERLINK("https://klasma.github.io/Logging_NORDMALING/kartor/A 9856-2020.png", "A 9856-2020")</f>
        <v/>
      </c>
      <c r="V268">
        <f>HYPERLINK("https://klasma.github.io/Logging_NORDMALING/klagomål/A 9856-2020.docx", "A 9856-2020")</f>
        <v/>
      </c>
      <c r="W268">
        <f>HYPERLINK("https://klasma.github.io/Logging_NORDMALING/klagomålsmail/A 9856-2020.docx", "A 9856-2020")</f>
        <v/>
      </c>
      <c r="X268">
        <f>HYPERLINK("https://klasma.github.io/Logging_NORDMALING/tillsyn/A 9856-2020.docx", "A 9856-2020")</f>
        <v/>
      </c>
      <c r="Y268">
        <f>HYPERLINK("https://klasma.github.io/Logging_NORDMALING/tillsynsmail/A 9856-2020.docx", "A 9856-2020")</f>
        <v/>
      </c>
    </row>
    <row r="269" ht="15" customHeight="1">
      <c r="A269" t="inlineStr">
        <is>
          <t>A 13048-2020</t>
        </is>
      </c>
      <c r="B269" s="1" t="n">
        <v>43900</v>
      </c>
      <c r="C269" s="1" t="n">
        <v>45204</v>
      </c>
      <c r="D269" t="inlineStr">
        <is>
          <t>VÄSTERBOTTENS LÄN</t>
        </is>
      </c>
      <c r="E269" t="inlineStr">
        <is>
          <t>UMEÅ</t>
        </is>
      </c>
      <c r="F269" t="inlineStr">
        <is>
          <t>Holmen skog AB</t>
        </is>
      </c>
      <c r="G269" t="n">
        <v>2</v>
      </c>
      <c r="H269" t="n">
        <v>2</v>
      </c>
      <c r="I269" t="n">
        <v>0</v>
      </c>
      <c r="J269" t="n">
        <v>4</v>
      </c>
      <c r="K269" t="n">
        <v>0</v>
      </c>
      <c r="L269" t="n">
        <v>0</v>
      </c>
      <c r="M269" t="n">
        <v>0</v>
      </c>
      <c r="N269" t="n">
        <v>0</v>
      </c>
      <c r="O269" t="n">
        <v>4</v>
      </c>
      <c r="P269" t="n">
        <v>0</v>
      </c>
      <c r="Q269" t="n">
        <v>4</v>
      </c>
      <c r="R269" s="2" t="inlineStr">
        <is>
          <t>Drillsnäppa
Granticka
Spillkråka
Veckticka</t>
        </is>
      </c>
      <c r="S269">
        <f>HYPERLINK("https://klasma.github.io/Logging_UMEA/artfynd/A 13048-2020.xlsx", "A 13048-2020")</f>
        <v/>
      </c>
      <c r="T269">
        <f>HYPERLINK("https://klasma.github.io/Logging_UMEA/kartor/A 13048-2020.png", "A 13048-2020")</f>
        <v/>
      </c>
      <c r="V269">
        <f>HYPERLINK("https://klasma.github.io/Logging_UMEA/klagomål/A 13048-2020.docx", "A 13048-2020")</f>
        <v/>
      </c>
      <c r="W269">
        <f>HYPERLINK("https://klasma.github.io/Logging_UMEA/klagomålsmail/A 13048-2020.docx", "A 13048-2020")</f>
        <v/>
      </c>
      <c r="X269">
        <f>HYPERLINK("https://klasma.github.io/Logging_UMEA/tillsyn/A 13048-2020.docx", "A 13048-2020")</f>
        <v/>
      </c>
      <c r="Y269">
        <f>HYPERLINK("https://klasma.github.io/Logging_UMEA/tillsynsmail/A 13048-2020.docx", "A 13048-2020")</f>
        <v/>
      </c>
    </row>
    <row r="270" ht="15" customHeight="1">
      <c r="A270" t="inlineStr">
        <is>
          <t>A 26906-2020</t>
        </is>
      </c>
      <c r="B270" s="1" t="n">
        <v>43990</v>
      </c>
      <c r="C270" s="1" t="n">
        <v>45204</v>
      </c>
      <c r="D270" t="inlineStr">
        <is>
          <t>VÄSTERBOTTENS LÄN</t>
        </is>
      </c>
      <c r="E270" t="inlineStr">
        <is>
          <t>SKELLEFTEÅ</t>
        </is>
      </c>
      <c r="F270" t="inlineStr">
        <is>
          <t>Holmen skog AB</t>
        </is>
      </c>
      <c r="G270" t="n">
        <v>5.2</v>
      </c>
      <c r="H270" t="n">
        <v>0</v>
      </c>
      <c r="I270" t="n">
        <v>2</v>
      </c>
      <c r="J270" t="n">
        <v>2</v>
      </c>
      <c r="K270" t="n">
        <v>0</v>
      </c>
      <c r="L270" t="n">
        <v>0</v>
      </c>
      <c r="M270" t="n">
        <v>0</v>
      </c>
      <c r="N270" t="n">
        <v>0</v>
      </c>
      <c r="O270" t="n">
        <v>2</v>
      </c>
      <c r="P270" t="n">
        <v>0</v>
      </c>
      <c r="Q270" t="n">
        <v>4</v>
      </c>
      <c r="R270" s="2" t="inlineStr">
        <is>
          <t>Granticka
Lunglav
Bårdlav
Luddlav</t>
        </is>
      </c>
      <c r="S270">
        <f>HYPERLINK("https://klasma.github.io/Logging_SKELLEFTEA/artfynd/A 26906-2020.xlsx", "A 26906-2020")</f>
        <v/>
      </c>
      <c r="T270">
        <f>HYPERLINK("https://klasma.github.io/Logging_SKELLEFTEA/kartor/A 26906-2020.png", "A 26906-2020")</f>
        <v/>
      </c>
      <c r="V270">
        <f>HYPERLINK("https://klasma.github.io/Logging_SKELLEFTEA/klagomål/A 26906-2020.docx", "A 26906-2020")</f>
        <v/>
      </c>
      <c r="W270">
        <f>HYPERLINK("https://klasma.github.io/Logging_SKELLEFTEA/klagomålsmail/A 26906-2020.docx", "A 26906-2020")</f>
        <v/>
      </c>
      <c r="X270">
        <f>HYPERLINK("https://klasma.github.io/Logging_SKELLEFTEA/tillsyn/A 26906-2020.docx", "A 26906-2020")</f>
        <v/>
      </c>
      <c r="Y270">
        <f>HYPERLINK("https://klasma.github.io/Logging_SKELLEFTEA/tillsynsmail/A 26906-2020.docx", "A 26906-2020")</f>
        <v/>
      </c>
    </row>
    <row r="271" ht="15" customHeight="1">
      <c r="A271" t="inlineStr">
        <is>
          <t>A 29234-2020</t>
        </is>
      </c>
      <c r="B271" s="1" t="n">
        <v>44000</v>
      </c>
      <c r="C271" s="1" t="n">
        <v>45204</v>
      </c>
      <c r="D271" t="inlineStr">
        <is>
          <t>VÄSTERBOTTENS LÄN</t>
        </is>
      </c>
      <c r="E271" t="inlineStr">
        <is>
          <t>VILHELMINA</t>
        </is>
      </c>
      <c r="F271" t="inlineStr">
        <is>
          <t>Allmännings- och besparingsskogar</t>
        </is>
      </c>
      <c r="G271" t="n">
        <v>14.1</v>
      </c>
      <c r="H271" t="n">
        <v>0</v>
      </c>
      <c r="I271" t="n">
        <v>1</v>
      </c>
      <c r="J271" t="n">
        <v>3</v>
      </c>
      <c r="K271" t="n">
        <v>0</v>
      </c>
      <c r="L271" t="n">
        <v>0</v>
      </c>
      <c r="M271" t="n">
        <v>0</v>
      </c>
      <c r="N271" t="n">
        <v>0</v>
      </c>
      <c r="O271" t="n">
        <v>3</v>
      </c>
      <c r="P271" t="n">
        <v>0</v>
      </c>
      <c r="Q271" t="n">
        <v>4</v>
      </c>
      <c r="R271" s="2" t="inlineStr">
        <is>
          <t>Garnlav
Granticka
Gränsticka
Stuplav</t>
        </is>
      </c>
      <c r="S271">
        <f>HYPERLINK("https://klasma.github.io/Logging_VILHELMINA/artfynd/A 29234-2020.xlsx", "A 29234-2020")</f>
        <v/>
      </c>
      <c r="T271">
        <f>HYPERLINK("https://klasma.github.io/Logging_VILHELMINA/kartor/A 29234-2020.png", "A 29234-2020")</f>
        <v/>
      </c>
      <c r="V271">
        <f>HYPERLINK("https://klasma.github.io/Logging_VILHELMINA/klagomål/A 29234-2020.docx", "A 29234-2020")</f>
        <v/>
      </c>
      <c r="W271">
        <f>HYPERLINK("https://klasma.github.io/Logging_VILHELMINA/klagomålsmail/A 29234-2020.docx", "A 29234-2020")</f>
        <v/>
      </c>
      <c r="X271">
        <f>HYPERLINK("https://klasma.github.io/Logging_VILHELMINA/tillsyn/A 29234-2020.docx", "A 29234-2020")</f>
        <v/>
      </c>
      <c r="Y271">
        <f>HYPERLINK("https://klasma.github.io/Logging_VILHELMINA/tillsynsmail/A 29234-2020.docx", "A 29234-2020")</f>
        <v/>
      </c>
    </row>
    <row r="272" ht="15" customHeight="1">
      <c r="A272" t="inlineStr">
        <is>
          <t>A 38314-2020</t>
        </is>
      </c>
      <c r="B272" s="1" t="n">
        <v>44060</v>
      </c>
      <c r="C272" s="1" t="n">
        <v>45204</v>
      </c>
      <c r="D272" t="inlineStr">
        <is>
          <t>VÄSTERBOTTENS LÄN</t>
        </is>
      </c>
      <c r="E272" t="inlineStr">
        <is>
          <t>UMEÅ</t>
        </is>
      </c>
      <c r="F272" t="inlineStr">
        <is>
          <t>Övriga Aktiebolag</t>
        </is>
      </c>
      <c r="G272" t="n">
        <v>5</v>
      </c>
      <c r="H272" t="n">
        <v>1</v>
      </c>
      <c r="I272" t="n">
        <v>1</v>
      </c>
      <c r="J272" t="n">
        <v>3</v>
      </c>
      <c r="K272" t="n">
        <v>0</v>
      </c>
      <c r="L272" t="n">
        <v>0</v>
      </c>
      <c r="M272" t="n">
        <v>0</v>
      </c>
      <c r="N272" t="n">
        <v>0</v>
      </c>
      <c r="O272" t="n">
        <v>3</v>
      </c>
      <c r="P272" t="n">
        <v>0</v>
      </c>
      <c r="Q272" t="n">
        <v>4</v>
      </c>
      <c r="R272" s="2" t="inlineStr">
        <is>
          <t>Garnlav
Granticka
Spillkråka
Dropptaggsvamp</t>
        </is>
      </c>
      <c r="S272">
        <f>HYPERLINK("https://klasma.github.io/Logging_UMEA/artfynd/A 38314-2020.xlsx", "A 38314-2020")</f>
        <v/>
      </c>
      <c r="T272">
        <f>HYPERLINK("https://klasma.github.io/Logging_UMEA/kartor/A 38314-2020.png", "A 38314-2020")</f>
        <v/>
      </c>
      <c r="V272">
        <f>HYPERLINK("https://klasma.github.io/Logging_UMEA/klagomål/A 38314-2020.docx", "A 38314-2020")</f>
        <v/>
      </c>
      <c r="W272">
        <f>HYPERLINK("https://klasma.github.io/Logging_UMEA/klagomålsmail/A 38314-2020.docx", "A 38314-2020")</f>
        <v/>
      </c>
      <c r="X272">
        <f>HYPERLINK("https://klasma.github.io/Logging_UMEA/tillsyn/A 38314-2020.docx", "A 38314-2020")</f>
        <v/>
      </c>
      <c r="Y272">
        <f>HYPERLINK("https://klasma.github.io/Logging_UMEA/tillsynsmail/A 38314-2020.docx", "A 38314-2020")</f>
        <v/>
      </c>
    </row>
    <row r="273" ht="15" customHeight="1">
      <c r="A273" t="inlineStr">
        <is>
          <t>A 45968-2020</t>
        </is>
      </c>
      <c r="B273" s="1" t="n">
        <v>44091</v>
      </c>
      <c r="C273" s="1" t="n">
        <v>45204</v>
      </c>
      <c r="D273" t="inlineStr">
        <is>
          <t>VÄSTERBOTTENS LÄN</t>
        </is>
      </c>
      <c r="E273" t="inlineStr">
        <is>
          <t>ROBERTSFORS</t>
        </is>
      </c>
      <c r="G273" t="n">
        <v>2.8</v>
      </c>
      <c r="H273" t="n">
        <v>1</v>
      </c>
      <c r="I273" t="n">
        <v>1</v>
      </c>
      <c r="J273" t="n">
        <v>2</v>
      </c>
      <c r="K273" t="n">
        <v>1</v>
      </c>
      <c r="L273" t="n">
        <v>0</v>
      </c>
      <c r="M273" t="n">
        <v>0</v>
      </c>
      <c r="N273" t="n">
        <v>0</v>
      </c>
      <c r="O273" t="n">
        <v>3</v>
      </c>
      <c r="P273" t="n">
        <v>1</v>
      </c>
      <c r="Q273" t="n">
        <v>4</v>
      </c>
      <c r="R273" s="2" t="inlineStr">
        <is>
          <t>Knärot
Gränsticka
Lunglav
Vedticka</t>
        </is>
      </c>
      <c r="S273">
        <f>HYPERLINK("https://klasma.github.io/Logging_ROBERTSFORS/artfynd/A 45968-2020.xlsx", "A 45968-2020")</f>
        <v/>
      </c>
      <c r="T273">
        <f>HYPERLINK("https://klasma.github.io/Logging_ROBERTSFORS/kartor/A 45968-2020.png", "A 45968-2020")</f>
        <v/>
      </c>
      <c r="U273">
        <f>HYPERLINK("https://klasma.github.io/Logging_ROBERTSFORS/knärot/A 45968-2020.png", "A 45968-2020")</f>
        <v/>
      </c>
      <c r="V273">
        <f>HYPERLINK("https://klasma.github.io/Logging_ROBERTSFORS/klagomål/A 45968-2020.docx", "A 45968-2020")</f>
        <v/>
      </c>
      <c r="W273">
        <f>HYPERLINK("https://klasma.github.io/Logging_ROBERTSFORS/klagomålsmail/A 45968-2020.docx", "A 45968-2020")</f>
        <v/>
      </c>
      <c r="X273">
        <f>HYPERLINK("https://klasma.github.io/Logging_ROBERTSFORS/tillsyn/A 45968-2020.docx", "A 45968-2020")</f>
        <v/>
      </c>
      <c r="Y273">
        <f>HYPERLINK("https://klasma.github.io/Logging_ROBERTSFORS/tillsynsmail/A 45968-2020.docx", "A 45968-2020")</f>
        <v/>
      </c>
    </row>
    <row r="274" ht="15" customHeight="1">
      <c r="A274" t="inlineStr">
        <is>
          <t>A 55631-2020</t>
        </is>
      </c>
      <c r="B274" s="1" t="n">
        <v>44131</v>
      </c>
      <c r="C274" s="1" t="n">
        <v>45204</v>
      </c>
      <c r="D274" t="inlineStr">
        <is>
          <t>VÄSTERBOTTENS LÄN</t>
        </is>
      </c>
      <c r="E274" t="inlineStr">
        <is>
          <t>SKELLEFTEÅ</t>
        </is>
      </c>
      <c r="F274" t="inlineStr">
        <is>
          <t>Sveaskog</t>
        </is>
      </c>
      <c r="G274" t="n">
        <v>4.3</v>
      </c>
      <c r="H274" t="n">
        <v>0</v>
      </c>
      <c r="I274" t="n">
        <v>1</v>
      </c>
      <c r="J274" t="n">
        <v>3</v>
      </c>
      <c r="K274" t="n">
        <v>0</v>
      </c>
      <c r="L274" t="n">
        <v>0</v>
      </c>
      <c r="M274" t="n">
        <v>0</v>
      </c>
      <c r="N274" t="n">
        <v>0</v>
      </c>
      <c r="O274" t="n">
        <v>3</v>
      </c>
      <c r="P274" t="n">
        <v>0</v>
      </c>
      <c r="Q274" t="n">
        <v>4</v>
      </c>
      <c r="R274" s="2" t="inlineStr">
        <is>
          <t>Garnlav
Lunglav
Ullticka
Stuplav</t>
        </is>
      </c>
      <c r="S274">
        <f>HYPERLINK("https://klasma.github.io/Logging_SKELLEFTEA/artfynd/A 55631-2020.xlsx", "A 55631-2020")</f>
        <v/>
      </c>
      <c r="T274">
        <f>HYPERLINK("https://klasma.github.io/Logging_SKELLEFTEA/kartor/A 55631-2020.png", "A 55631-2020")</f>
        <v/>
      </c>
      <c r="V274">
        <f>HYPERLINK("https://klasma.github.io/Logging_SKELLEFTEA/klagomål/A 55631-2020.docx", "A 55631-2020")</f>
        <v/>
      </c>
      <c r="W274">
        <f>HYPERLINK("https://klasma.github.io/Logging_SKELLEFTEA/klagomålsmail/A 55631-2020.docx", "A 55631-2020")</f>
        <v/>
      </c>
      <c r="X274">
        <f>HYPERLINK("https://klasma.github.io/Logging_SKELLEFTEA/tillsyn/A 55631-2020.docx", "A 55631-2020")</f>
        <v/>
      </c>
      <c r="Y274">
        <f>HYPERLINK("https://klasma.github.io/Logging_SKELLEFTEA/tillsynsmail/A 55631-2020.docx", "A 55631-2020")</f>
        <v/>
      </c>
    </row>
    <row r="275" ht="15" customHeight="1">
      <c r="A275" t="inlineStr">
        <is>
          <t>A 55889-2020</t>
        </is>
      </c>
      <c r="B275" s="1" t="n">
        <v>44132</v>
      </c>
      <c r="C275" s="1" t="n">
        <v>45204</v>
      </c>
      <c r="D275" t="inlineStr">
        <is>
          <t>VÄSTERBOTTENS LÄN</t>
        </is>
      </c>
      <c r="E275" t="inlineStr">
        <is>
          <t>LYCKSELE</t>
        </is>
      </c>
      <c r="F275" t="inlineStr">
        <is>
          <t>Holmen skog AB</t>
        </is>
      </c>
      <c r="G275" t="n">
        <v>11.3</v>
      </c>
      <c r="H275" t="n">
        <v>1</v>
      </c>
      <c r="I275" t="n">
        <v>0</v>
      </c>
      <c r="J275" t="n">
        <v>4</v>
      </c>
      <c r="K275" t="n">
        <v>0</v>
      </c>
      <c r="L275" t="n">
        <v>0</v>
      </c>
      <c r="M275" t="n">
        <v>0</v>
      </c>
      <c r="N275" t="n">
        <v>0</v>
      </c>
      <c r="O275" t="n">
        <v>4</v>
      </c>
      <c r="P275" t="n">
        <v>0</v>
      </c>
      <c r="Q275" t="n">
        <v>4</v>
      </c>
      <c r="R275" s="2" t="inlineStr">
        <is>
          <t>Garnlav
Granticka
Tretåig hackspett
Vitgrynig nållav</t>
        </is>
      </c>
      <c r="S275">
        <f>HYPERLINK("https://klasma.github.io/Logging_LYCKSELE/artfynd/A 55889-2020.xlsx", "A 55889-2020")</f>
        <v/>
      </c>
      <c r="T275">
        <f>HYPERLINK("https://klasma.github.io/Logging_LYCKSELE/kartor/A 55889-2020.png", "A 55889-2020")</f>
        <v/>
      </c>
      <c r="V275">
        <f>HYPERLINK("https://klasma.github.io/Logging_LYCKSELE/klagomål/A 55889-2020.docx", "A 55889-2020")</f>
        <v/>
      </c>
      <c r="W275">
        <f>HYPERLINK("https://klasma.github.io/Logging_LYCKSELE/klagomålsmail/A 55889-2020.docx", "A 55889-2020")</f>
        <v/>
      </c>
      <c r="X275">
        <f>HYPERLINK("https://klasma.github.io/Logging_LYCKSELE/tillsyn/A 55889-2020.docx", "A 55889-2020")</f>
        <v/>
      </c>
      <c r="Y275">
        <f>HYPERLINK("https://klasma.github.io/Logging_LYCKSELE/tillsynsmail/A 55889-2020.docx", "A 55889-2020")</f>
        <v/>
      </c>
    </row>
    <row r="276" ht="15" customHeight="1">
      <c r="A276" t="inlineStr">
        <is>
          <t>A 56894-2020</t>
        </is>
      </c>
      <c r="B276" s="1" t="n">
        <v>44137</v>
      </c>
      <c r="C276" s="1" t="n">
        <v>45204</v>
      </c>
      <c r="D276" t="inlineStr">
        <is>
          <t>VÄSTERBOTTENS LÄN</t>
        </is>
      </c>
      <c r="E276" t="inlineStr">
        <is>
          <t>VINDELN</t>
        </is>
      </c>
      <c r="G276" t="n">
        <v>11.1</v>
      </c>
      <c r="H276" t="n">
        <v>1</v>
      </c>
      <c r="I276" t="n">
        <v>0</v>
      </c>
      <c r="J276" t="n">
        <v>4</v>
      </c>
      <c r="K276" t="n">
        <v>0</v>
      </c>
      <c r="L276" t="n">
        <v>0</v>
      </c>
      <c r="M276" t="n">
        <v>0</v>
      </c>
      <c r="N276" t="n">
        <v>0</v>
      </c>
      <c r="O276" t="n">
        <v>4</v>
      </c>
      <c r="P276" t="n">
        <v>0</v>
      </c>
      <c r="Q276" t="n">
        <v>4</v>
      </c>
      <c r="R276" s="2" t="inlineStr">
        <is>
          <t>Granticka
Spillkråka
Ullticka
Violettgrå tagellav</t>
        </is>
      </c>
      <c r="S276">
        <f>HYPERLINK("https://klasma.github.io/Logging_VINDELN/artfynd/A 56894-2020.xlsx", "A 56894-2020")</f>
        <v/>
      </c>
      <c r="T276">
        <f>HYPERLINK("https://klasma.github.io/Logging_VINDELN/kartor/A 56894-2020.png", "A 56894-2020")</f>
        <v/>
      </c>
      <c r="V276">
        <f>HYPERLINK("https://klasma.github.io/Logging_VINDELN/klagomål/A 56894-2020.docx", "A 56894-2020")</f>
        <v/>
      </c>
      <c r="W276">
        <f>HYPERLINK("https://klasma.github.io/Logging_VINDELN/klagomålsmail/A 56894-2020.docx", "A 56894-2020")</f>
        <v/>
      </c>
      <c r="X276">
        <f>HYPERLINK("https://klasma.github.io/Logging_VINDELN/tillsyn/A 56894-2020.docx", "A 56894-2020")</f>
        <v/>
      </c>
      <c r="Y276">
        <f>HYPERLINK("https://klasma.github.io/Logging_VINDELN/tillsynsmail/A 56894-2020.docx", "A 56894-2020")</f>
        <v/>
      </c>
    </row>
    <row r="277" ht="15" customHeight="1">
      <c r="A277" t="inlineStr">
        <is>
          <t>A 68511-2020</t>
        </is>
      </c>
      <c r="B277" s="1" t="n">
        <v>44186</v>
      </c>
      <c r="C277" s="1" t="n">
        <v>45204</v>
      </c>
      <c r="D277" t="inlineStr">
        <is>
          <t>VÄSTERBOTTENS LÄN</t>
        </is>
      </c>
      <c r="E277" t="inlineStr">
        <is>
          <t>SKELLEFTEÅ</t>
        </is>
      </c>
      <c r="F277" t="inlineStr">
        <is>
          <t>Sveaskog</t>
        </is>
      </c>
      <c r="G277" t="n">
        <v>16.9</v>
      </c>
      <c r="H277" t="n">
        <v>0</v>
      </c>
      <c r="I277" t="n">
        <v>1</v>
      </c>
      <c r="J277" t="n">
        <v>3</v>
      </c>
      <c r="K277" t="n">
        <v>0</v>
      </c>
      <c r="L277" t="n">
        <v>0</v>
      </c>
      <c r="M277" t="n">
        <v>0</v>
      </c>
      <c r="N277" t="n">
        <v>0</v>
      </c>
      <c r="O277" t="n">
        <v>3</v>
      </c>
      <c r="P277" t="n">
        <v>0</v>
      </c>
      <c r="Q277" t="n">
        <v>4</v>
      </c>
      <c r="R277" s="2" t="inlineStr">
        <is>
          <t>Garnlav
Lunglav
Violettgrå tagellav
Stuplav</t>
        </is>
      </c>
      <c r="S277">
        <f>HYPERLINK("https://klasma.github.io/Logging_SKELLEFTEA/artfynd/A 68511-2020.xlsx", "A 68511-2020")</f>
        <v/>
      </c>
      <c r="T277">
        <f>HYPERLINK("https://klasma.github.io/Logging_SKELLEFTEA/kartor/A 68511-2020.png", "A 68511-2020")</f>
        <v/>
      </c>
      <c r="V277">
        <f>HYPERLINK("https://klasma.github.io/Logging_SKELLEFTEA/klagomål/A 68511-2020.docx", "A 68511-2020")</f>
        <v/>
      </c>
      <c r="W277">
        <f>HYPERLINK("https://klasma.github.io/Logging_SKELLEFTEA/klagomålsmail/A 68511-2020.docx", "A 68511-2020")</f>
        <v/>
      </c>
      <c r="X277">
        <f>HYPERLINK("https://klasma.github.io/Logging_SKELLEFTEA/tillsyn/A 68511-2020.docx", "A 68511-2020")</f>
        <v/>
      </c>
      <c r="Y277">
        <f>HYPERLINK("https://klasma.github.io/Logging_SKELLEFTEA/tillsynsmail/A 68511-2020.docx", "A 68511-2020")</f>
        <v/>
      </c>
    </row>
    <row r="278" ht="15" customHeight="1">
      <c r="A278" t="inlineStr">
        <is>
          <t>A 900-2021</t>
        </is>
      </c>
      <c r="B278" s="1" t="n">
        <v>44206</v>
      </c>
      <c r="C278" s="1" t="n">
        <v>45204</v>
      </c>
      <c r="D278" t="inlineStr">
        <is>
          <t>VÄSTERBOTTENS LÄN</t>
        </is>
      </c>
      <c r="E278" t="inlineStr">
        <is>
          <t>VILHELMINA</t>
        </is>
      </c>
      <c r="F278" t="inlineStr">
        <is>
          <t>SCA</t>
        </is>
      </c>
      <c r="G278" t="n">
        <v>2.3</v>
      </c>
      <c r="H278" t="n">
        <v>0</v>
      </c>
      <c r="I278" t="n">
        <v>3</v>
      </c>
      <c r="J278" t="n">
        <v>1</v>
      </c>
      <c r="K278" t="n">
        <v>0</v>
      </c>
      <c r="L278" t="n">
        <v>0</v>
      </c>
      <c r="M278" t="n">
        <v>0</v>
      </c>
      <c r="N278" t="n">
        <v>0</v>
      </c>
      <c r="O278" t="n">
        <v>1</v>
      </c>
      <c r="P278" t="n">
        <v>0</v>
      </c>
      <c r="Q278" t="n">
        <v>4</v>
      </c>
      <c r="R278" s="2" t="inlineStr">
        <is>
          <t>Lunglav
Bårdlav
Strutbräken
Stuplav</t>
        </is>
      </c>
      <c r="S278">
        <f>HYPERLINK("https://klasma.github.io/Logging_VILHELMINA/artfynd/A 900-2021.xlsx", "A 900-2021")</f>
        <v/>
      </c>
      <c r="T278">
        <f>HYPERLINK("https://klasma.github.io/Logging_VILHELMINA/kartor/A 900-2021.png", "A 900-2021")</f>
        <v/>
      </c>
      <c r="V278">
        <f>HYPERLINK("https://klasma.github.io/Logging_VILHELMINA/klagomål/A 900-2021.docx", "A 900-2021")</f>
        <v/>
      </c>
      <c r="W278">
        <f>HYPERLINK("https://klasma.github.io/Logging_VILHELMINA/klagomålsmail/A 900-2021.docx", "A 900-2021")</f>
        <v/>
      </c>
      <c r="X278">
        <f>HYPERLINK("https://klasma.github.io/Logging_VILHELMINA/tillsyn/A 900-2021.docx", "A 900-2021")</f>
        <v/>
      </c>
      <c r="Y278">
        <f>HYPERLINK("https://klasma.github.io/Logging_VILHELMINA/tillsynsmail/A 900-2021.docx", "A 900-2021")</f>
        <v/>
      </c>
    </row>
    <row r="279" ht="15" customHeight="1">
      <c r="A279" t="inlineStr">
        <is>
          <t>A 2776-2021</t>
        </is>
      </c>
      <c r="B279" s="1" t="n">
        <v>44215</v>
      </c>
      <c r="C279" s="1" t="n">
        <v>45204</v>
      </c>
      <c r="D279" t="inlineStr">
        <is>
          <t>VÄSTERBOTTENS LÄN</t>
        </is>
      </c>
      <c r="E279" t="inlineStr">
        <is>
          <t>SKELLEFTEÅ</t>
        </is>
      </c>
      <c r="F279" t="inlineStr">
        <is>
          <t>Sveaskog</t>
        </is>
      </c>
      <c r="G279" t="n">
        <v>4.4</v>
      </c>
      <c r="H279" t="n">
        <v>0</v>
      </c>
      <c r="I279" t="n">
        <v>1</v>
      </c>
      <c r="J279" t="n">
        <v>3</v>
      </c>
      <c r="K279" t="n">
        <v>0</v>
      </c>
      <c r="L279" t="n">
        <v>0</v>
      </c>
      <c r="M279" t="n">
        <v>0</v>
      </c>
      <c r="N279" t="n">
        <v>0</v>
      </c>
      <c r="O279" t="n">
        <v>3</v>
      </c>
      <c r="P279" t="n">
        <v>0</v>
      </c>
      <c r="Q279" t="n">
        <v>4</v>
      </c>
      <c r="R279" s="2" t="inlineStr">
        <is>
          <t>Garnlav
Granticka
Lunglav
Bårdlav</t>
        </is>
      </c>
      <c r="S279">
        <f>HYPERLINK("https://klasma.github.io/Logging_SKELLEFTEA/artfynd/A 2776-2021.xlsx", "A 2776-2021")</f>
        <v/>
      </c>
      <c r="T279">
        <f>HYPERLINK("https://klasma.github.io/Logging_SKELLEFTEA/kartor/A 2776-2021.png", "A 2776-2021")</f>
        <v/>
      </c>
      <c r="V279">
        <f>HYPERLINK("https://klasma.github.io/Logging_SKELLEFTEA/klagomål/A 2776-2021.docx", "A 2776-2021")</f>
        <v/>
      </c>
      <c r="W279">
        <f>HYPERLINK("https://klasma.github.io/Logging_SKELLEFTEA/klagomålsmail/A 2776-2021.docx", "A 2776-2021")</f>
        <v/>
      </c>
      <c r="X279">
        <f>HYPERLINK("https://klasma.github.io/Logging_SKELLEFTEA/tillsyn/A 2776-2021.docx", "A 2776-2021")</f>
        <v/>
      </c>
      <c r="Y279">
        <f>HYPERLINK("https://klasma.github.io/Logging_SKELLEFTEA/tillsynsmail/A 2776-2021.docx", "A 2776-2021")</f>
        <v/>
      </c>
    </row>
    <row r="280" ht="15" customHeight="1">
      <c r="A280" t="inlineStr">
        <is>
          <t>A 16687-2021</t>
        </is>
      </c>
      <c r="B280" s="1" t="n">
        <v>44295</v>
      </c>
      <c r="C280" s="1" t="n">
        <v>45204</v>
      </c>
      <c r="D280" t="inlineStr">
        <is>
          <t>VÄSTERBOTTENS LÄN</t>
        </is>
      </c>
      <c r="E280" t="inlineStr">
        <is>
          <t>SORSELE</t>
        </is>
      </c>
      <c r="F280" t="inlineStr">
        <is>
          <t>Övriga statliga verk och myndigheter</t>
        </is>
      </c>
      <c r="G280" t="n">
        <v>19.7</v>
      </c>
      <c r="H280" t="n">
        <v>0</v>
      </c>
      <c r="I280" t="n">
        <v>0</v>
      </c>
      <c r="J280" t="n">
        <v>4</v>
      </c>
      <c r="K280" t="n">
        <v>0</v>
      </c>
      <c r="L280" t="n">
        <v>0</v>
      </c>
      <c r="M280" t="n">
        <v>0</v>
      </c>
      <c r="N280" t="n">
        <v>0</v>
      </c>
      <c r="O280" t="n">
        <v>4</v>
      </c>
      <c r="P280" t="n">
        <v>0</v>
      </c>
      <c r="Q280" t="n">
        <v>4</v>
      </c>
      <c r="R280" s="2" t="inlineStr">
        <is>
          <t>Brunpudrad nållav
Gammelgransskål
Garnlav
Granticka</t>
        </is>
      </c>
      <c r="S280">
        <f>HYPERLINK("https://klasma.github.io/Logging_SORSELE/artfynd/A 16687-2021.xlsx", "A 16687-2021")</f>
        <v/>
      </c>
      <c r="T280">
        <f>HYPERLINK("https://klasma.github.io/Logging_SORSELE/kartor/A 16687-2021.png", "A 16687-2021")</f>
        <v/>
      </c>
      <c r="V280">
        <f>HYPERLINK("https://klasma.github.io/Logging_SORSELE/klagomål/A 16687-2021.docx", "A 16687-2021")</f>
        <v/>
      </c>
      <c r="W280">
        <f>HYPERLINK("https://klasma.github.io/Logging_SORSELE/klagomålsmail/A 16687-2021.docx", "A 16687-2021")</f>
        <v/>
      </c>
      <c r="X280">
        <f>HYPERLINK("https://klasma.github.io/Logging_SORSELE/tillsyn/A 16687-2021.docx", "A 16687-2021")</f>
        <v/>
      </c>
      <c r="Y280">
        <f>HYPERLINK("https://klasma.github.io/Logging_SORSELE/tillsynsmail/A 16687-2021.docx", "A 16687-2021")</f>
        <v/>
      </c>
    </row>
    <row r="281" ht="15" customHeight="1">
      <c r="A281" t="inlineStr">
        <is>
          <t>A 38686-2021</t>
        </is>
      </c>
      <c r="B281" s="1" t="n">
        <v>44407</v>
      </c>
      <c r="C281" s="1" t="n">
        <v>45204</v>
      </c>
      <c r="D281" t="inlineStr">
        <is>
          <t>VÄSTERBOTTENS LÄN</t>
        </is>
      </c>
      <c r="E281" t="inlineStr">
        <is>
          <t>UMEÅ</t>
        </is>
      </c>
      <c r="F281" t="inlineStr">
        <is>
          <t>Kommuner</t>
        </is>
      </c>
      <c r="G281" t="n">
        <v>1.1</v>
      </c>
      <c r="H281" t="n">
        <v>3</v>
      </c>
      <c r="I281" t="n">
        <v>1</v>
      </c>
      <c r="J281" t="n">
        <v>1</v>
      </c>
      <c r="K281" t="n">
        <v>0</v>
      </c>
      <c r="L281" t="n">
        <v>0</v>
      </c>
      <c r="M281" t="n">
        <v>0</v>
      </c>
      <c r="N281" t="n">
        <v>0</v>
      </c>
      <c r="O281" t="n">
        <v>1</v>
      </c>
      <c r="P281" t="n">
        <v>0</v>
      </c>
      <c r="Q281" t="n">
        <v>4</v>
      </c>
      <c r="R281" s="2" t="inlineStr">
        <is>
          <t>Björktrast
Gullgröppa
Skogsödla
Vanlig padda</t>
        </is>
      </c>
      <c r="S281">
        <f>HYPERLINK("https://klasma.github.io/Logging_UMEA/artfynd/A 38686-2021.xlsx", "A 38686-2021")</f>
        <v/>
      </c>
      <c r="T281">
        <f>HYPERLINK("https://klasma.github.io/Logging_UMEA/kartor/A 38686-2021.png", "A 38686-2021")</f>
        <v/>
      </c>
      <c r="V281">
        <f>HYPERLINK("https://klasma.github.io/Logging_UMEA/klagomål/A 38686-2021.docx", "A 38686-2021")</f>
        <v/>
      </c>
      <c r="W281">
        <f>HYPERLINK("https://klasma.github.io/Logging_UMEA/klagomålsmail/A 38686-2021.docx", "A 38686-2021")</f>
        <v/>
      </c>
      <c r="X281">
        <f>HYPERLINK("https://klasma.github.io/Logging_UMEA/tillsyn/A 38686-2021.docx", "A 38686-2021")</f>
        <v/>
      </c>
      <c r="Y281">
        <f>HYPERLINK("https://klasma.github.io/Logging_UMEA/tillsynsmail/A 38686-2021.docx", "A 38686-2021")</f>
        <v/>
      </c>
    </row>
    <row r="282" ht="15" customHeight="1">
      <c r="A282" t="inlineStr">
        <is>
          <t>A 38688-2021</t>
        </is>
      </c>
      <c r="B282" s="1" t="n">
        <v>44407</v>
      </c>
      <c r="C282" s="1" t="n">
        <v>45204</v>
      </c>
      <c r="D282" t="inlineStr">
        <is>
          <t>VÄSTERBOTTENS LÄN</t>
        </is>
      </c>
      <c r="E282" t="inlineStr">
        <is>
          <t>UMEÅ</t>
        </is>
      </c>
      <c r="F282" t="inlineStr">
        <is>
          <t>Kommuner</t>
        </is>
      </c>
      <c r="G282" t="n">
        <v>1.6</v>
      </c>
      <c r="H282" t="n">
        <v>1</v>
      </c>
      <c r="I282" t="n">
        <v>2</v>
      </c>
      <c r="J282" t="n">
        <v>1</v>
      </c>
      <c r="K282" t="n">
        <v>0</v>
      </c>
      <c r="L282" t="n">
        <v>0</v>
      </c>
      <c r="M282" t="n">
        <v>0</v>
      </c>
      <c r="N282" t="n">
        <v>0</v>
      </c>
      <c r="O282" t="n">
        <v>1</v>
      </c>
      <c r="P282" t="n">
        <v>0</v>
      </c>
      <c r="Q282" t="n">
        <v>4</v>
      </c>
      <c r="R282" s="2" t="inlineStr">
        <is>
          <t>Älvstarr
Köseven
Strutbräken
Blåsippa</t>
        </is>
      </c>
      <c r="S282">
        <f>HYPERLINK("https://klasma.github.io/Logging_UMEA/artfynd/A 38688-2021.xlsx", "A 38688-2021")</f>
        <v/>
      </c>
      <c r="T282">
        <f>HYPERLINK("https://klasma.github.io/Logging_UMEA/kartor/A 38688-2021.png", "A 38688-2021")</f>
        <v/>
      </c>
      <c r="V282">
        <f>HYPERLINK("https://klasma.github.io/Logging_UMEA/klagomål/A 38688-2021.docx", "A 38688-2021")</f>
        <v/>
      </c>
      <c r="W282">
        <f>HYPERLINK("https://klasma.github.io/Logging_UMEA/klagomålsmail/A 38688-2021.docx", "A 38688-2021")</f>
        <v/>
      </c>
      <c r="X282">
        <f>HYPERLINK("https://klasma.github.io/Logging_UMEA/tillsyn/A 38688-2021.docx", "A 38688-2021")</f>
        <v/>
      </c>
      <c r="Y282">
        <f>HYPERLINK("https://klasma.github.io/Logging_UMEA/tillsynsmail/A 38688-2021.docx", "A 38688-2021")</f>
        <v/>
      </c>
    </row>
    <row r="283" ht="15" customHeight="1">
      <c r="A283" t="inlineStr">
        <is>
          <t>A 54138-2021</t>
        </is>
      </c>
      <c r="B283" s="1" t="n">
        <v>44470</v>
      </c>
      <c r="C283" s="1" t="n">
        <v>45204</v>
      </c>
      <c r="D283" t="inlineStr">
        <is>
          <t>VÄSTERBOTTENS LÄN</t>
        </is>
      </c>
      <c r="E283" t="inlineStr">
        <is>
          <t>ÅSELE</t>
        </is>
      </c>
      <c r="F283" t="inlineStr">
        <is>
          <t>Sveaskog</t>
        </is>
      </c>
      <c r="G283" t="n">
        <v>22.1</v>
      </c>
      <c r="H283" t="n">
        <v>0</v>
      </c>
      <c r="I283" t="n">
        <v>1</v>
      </c>
      <c r="J283" t="n">
        <v>3</v>
      </c>
      <c r="K283" t="n">
        <v>0</v>
      </c>
      <c r="L283" t="n">
        <v>0</v>
      </c>
      <c r="M283" t="n">
        <v>0</v>
      </c>
      <c r="N283" t="n">
        <v>0</v>
      </c>
      <c r="O283" t="n">
        <v>3</v>
      </c>
      <c r="P283" t="n">
        <v>0</v>
      </c>
      <c r="Q283" t="n">
        <v>4</v>
      </c>
      <c r="R283" s="2" t="inlineStr">
        <is>
          <t>Lunglav
Motaggsvamp
Tallvägstekel
Skarp dropptaggsvamp</t>
        </is>
      </c>
      <c r="S283">
        <f>HYPERLINK("https://klasma.github.io/Logging_ASELE/artfynd/A 54138-2021.xlsx", "A 54138-2021")</f>
        <v/>
      </c>
      <c r="T283">
        <f>HYPERLINK("https://klasma.github.io/Logging_ASELE/kartor/A 54138-2021.png", "A 54138-2021")</f>
        <v/>
      </c>
      <c r="V283">
        <f>HYPERLINK("https://klasma.github.io/Logging_ASELE/klagomål/A 54138-2021.docx", "A 54138-2021")</f>
        <v/>
      </c>
      <c r="W283">
        <f>HYPERLINK("https://klasma.github.io/Logging_ASELE/klagomålsmail/A 54138-2021.docx", "A 54138-2021")</f>
        <v/>
      </c>
      <c r="X283">
        <f>HYPERLINK("https://klasma.github.io/Logging_ASELE/tillsyn/A 54138-2021.docx", "A 54138-2021")</f>
        <v/>
      </c>
      <c r="Y283">
        <f>HYPERLINK("https://klasma.github.io/Logging_ASELE/tillsynsmail/A 54138-2021.docx", "A 54138-2021")</f>
        <v/>
      </c>
    </row>
    <row r="284" ht="15" customHeight="1">
      <c r="A284" t="inlineStr">
        <is>
          <t>A 54434-2021</t>
        </is>
      </c>
      <c r="B284" s="1" t="n">
        <v>44473</v>
      </c>
      <c r="C284" s="1" t="n">
        <v>45204</v>
      </c>
      <c r="D284" t="inlineStr">
        <is>
          <t>VÄSTERBOTTENS LÄN</t>
        </is>
      </c>
      <c r="E284" t="inlineStr">
        <is>
          <t>LYCKSELE</t>
        </is>
      </c>
      <c r="F284" t="inlineStr">
        <is>
          <t>Sveaskog</t>
        </is>
      </c>
      <c r="G284" t="n">
        <v>20.5</v>
      </c>
      <c r="H284" t="n">
        <v>0</v>
      </c>
      <c r="I284" t="n">
        <v>0</v>
      </c>
      <c r="J284" t="n">
        <v>3</v>
      </c>
      <c r="K284" t="n">
        <v>1</v>
      </c>
      <c r="L284" t="n">
        <v>0</v>
      </c>
      <c r="M284" t="n">
        <v>0</v>
      </c>
      <c r="N284" t="n">
        <v>0</v>
      </c>
      <c r="O284" t="n">
        <v>4</v>
      </c>
      <c r="P284" t="n">
        <v>1</v>
      </c>
      <c r="Q284" t="n">
        <v>4</v>
      </c>
      <c r="R284" s="2" t="inlineStr">
        <is>
          <t>Rynkskinn
Doftskinn
Garnlav
Lunglav</t>
        </is>
      </c>
      <c r="S284">
        <f>HYPERLINK("https://klasma.github.io/Logging_LYCKSELE/artfynd/A 54434-2021.xlsx", "A 54434-2021")</f>
        <v/>
      </c>
      <c r="T284">
        <f>HYPERLINK("https://klasma.github.io/Logging_LYCKSELE/kartor/A 54434-2021.png", "A 54434-2021")</f>
        <v/>
      </c>
      <c r="V284">
        <f>HYPERLINK("https://klasma.github.io/Logging_LYCKSELE/klagomål/A 54434-2021.docx", "A 54434-2021")</f>
        <v/>
      </c>
      <c r="W284">
        <f>HYPERLINK("https://klasma.github.io/Logging_LYCKSELE/klagomålsmail/A 54434-2021.docx", "A 54434-2021")</f>
        <v/>
      </c>
      <c r="X284">
        <f>HYPERLINK("https://klasma.github.io/Logging_LYCKSELE/tillsyn/A 54434-2021.docx", "A 54434-2021")</f>
        <v/>
      </c>
      <c r="Y284">
        <f>HYPERLINK("https://klasma.github.io/Logging_LYCKSELE/tillsynsmail/A 54434-2021.docx", "A 54434-2021")</f>
        <v/>
      </c>
    </row>
    <row r="285" ht="15" customHeight="1">
      <c r="A285" t="inlineStr">
        <is>
          <t>A 57409-2021</t>
        </is>
      </c>
      <c r="B285" s="1" t="n">
        <v>44483</v>
      </c>
      <c r="C285" s="1" t="n">
        <v>45204</v>
      </c>
      <c r="D285" t="inlineStr">
        <is>
          <t>VÄSTERBOTTENS LÄN</t>
        </is>
      </c>
      <c r="E285" t="inlineStr">
        <is>
          <t>SKELLEFTEÅ</t>
        </is>
      </c>
      <c r="G285" t="n">
        <v>20.3</v>
      </c>
      <c r="H285" t="n">
        <v>0</v>
      </c>
      <c r="I285" t="n">
        <v>1</v>
      </c>
      <c r="J285" t="n">
        <v>3</v>
      </c>
      <c r="K285" t="n">
        <v>0</v>
      </c>
      <c r="L285" t="n">
        <v>0</v>
      </c>
      <c r="M285" t="n">
        <v>0</v>
      </c>
      <c r="N285" t="n">
        <v>0</v>
      </c>
      <c r="O285" t="n">
        <v>3</v>
      </c>
      <c r="P285" t="n">
        <v>0</v>
      </c>
      <c r="Q285" t="n">
        <v>4</v>
      </c>
      <c r="R285" s="2" t="inlineStr">
        <is>
          <t>Gammelgransskål
Garnlav
Ullticka
Vedticka</t>
        </is>
      </c>
      <c r="S285">
        <f>HYPERLINK("https://klasma.github.io/Logging_SKELLEFTEA/artfynd/A 57409-2021.xlsx", "A 57409-2021")</f>
        <v/>
      </c>
      <c r="T285">
        <f>HYPERLINK("https://klasma.github.io/Logging_SKELLEFTEA/kartor/A 57409-2021.png", "A 57409-2021")</f>
        <v/>
      </c>
      <c r="V285">
        <f>HYPERLINK("https://klasma.github.io/Logging_SKELLEFTEA/klagomål/A 57409-2021.docx", "A 57409-2021")</f>
        <v/>
      </c>
      <c r="W285">
        <f>HYPERLINK("https://klasma.github.io/Logging_SKELLEFTEA/klagomålsmail/A 57409-2021.docx", "A 57409-2021")</f>
        <v/>
      </c>
      <c r="X285">
        <f>HYPERLINK("https://klasma.github.io/Logging_SKELLEFTEA/tillsyn/A 57409-2021.docx", "A 57409-2021")</f>
        <v/>
      </c>
      <c r="Y285">
        <f>HYPERLINK("https://klasma.github.io/Logging_SKELLEFTEA/tillsynsmail/A 57409-2021.docx", "A 57409-2021")</f>
        <v/>
      </c>
    </row>
    <row r="286" ht="15" customHeight="1">
      <c r="A286" t="inlineStr">
        <is>
          <t>A 58835-2021</t>
        </is>
      </c>
      <c r="B286" s="1" t="n">
        <v>44489</v>
      </c>
      <c r="C286" s="1" t="n">
        <v>45204</v>
      </c>
      <c r="D286" t="inlineStr">
        <is>
          <t>VÄSTERBOTTENS LÄN</t>
        </is>
      </c>
      <c r="E286" t="inlineStr">
        <is>
          <t>SKELLEFTEÅ</t>
        </is>
      </c>
      <c r="G286" t="n">
        <v>10.2</v>
      </c>
      <c r="H286" t="n">
        <v>0</v>
      </c>
      <c r="I286" t="n">
        <v>0</v>
      </c>
      <c r="J286" t="n">
        <v>4</v>
      </c>
      <c r="K286" t="n">
        <v>0</v>
      </c>
      <c r="L286" t="n">
        <v>0</v>
      </c>
      <c r="M286" t="n">
        <v>0</v>
      </c>
      <c r="N286" t="n">
        <v>0</v>
      </c>
      <c r="O286" t="n">
        <v>4</v>
      </c>
      <c r="P286" t="n">
        <v>0</v>
      </c>
      <c r="Q286" t="n">
        <v>4</v>
      </c>
      <c r="R286" s="2" t="inlineStr">
        <is>
          <t>Doftskinn
Gammelgransskål
Stjärntagging
Ullticka</t>
        </is>
      </c>
      <c r="S286">
        <f>HYPERLINK("https://klasma.github.io/Logging_SKELLEFTEA/artfynd/A 58835-2021.xlsx", "A 58835-2021")</f>
        <v/>
      </c>
      <c r="T286">
        <f>HYPERLINK("https://klasma.github.io/Logging_SKELLEFTEA/kartor/A 58835-2021.png", "A 58835-2021")</f>
        <v/>
      </c>
      <c r="V286">
        <f>HYPERLINK("https://klasma.github.io/Logging_SKELLEFTEA/klagomål/A 58835-2021.docx", "A 58835-2021")</f>
        <v/>
      </c>
      <c r="W286">
        <f>HYPERLINK("https://klasma.github.io/Logging_SKELLEFTEA/klagomålsmail/A 58835-2021.docx", "A 58835-2021")</f>
        <v/>
      </c>
      <c r="X286">
        <f>HYPERLINK("https://klasma.github.io/Logging_SKELLEFTEA/tillsyn/A 58835-2021.docx", "A 58835-2021")</f>
        <v/>
      </c>
      <c r="Y286">
        <f>HYPERLINK("https://klasma.github.io/Logging_SKELLEFTEA/tillsynsmail/A 58835-2021.docx", "A 58835-2021")</f>
        <v/>
      </c>
    </row>
    <row r="287" ht="15" customHeight="1">
      <c r="A287" t="inlineStr">
        <is>
          <t>A 60124-2021</t>
        </is>
      </c>
      <c r="B287" s="1" t="n">
        <v>44494</v>
      </c>
      <c r="C287" s="1" t="n">
        <v>45204</v>
      </c>
      <c r="D287" t="inlineStr">
        <is>
          <t>VÄSTERBOTTENS LÄN</t>
        </is>
      </c>
      <c r="E287" t="inlineStr">
        <is>
          <t>DOROTEA</t>
        </is>
      </c>
      <c r="G287" t="n">
        <v>22.6</v>
      </c>
      <c r="H287" t="n">
        <v>0</v>
      </c>
      <c r="I287" t="n">
        <v>2</v>
      </c>
      <c r="J287" t="n">
        <v>2</v>
      </c>
      <c r="K287" t="n">
        <v>0</v>
      </c>
      <c r="L287" t="n">
        <v>0</v>
      </c>
      <c r="M287" t="n">
        <v>0</v>
      </c>
      <c r="N287" t="n">
        <v>0</v>
      </c>
      <c r="O287" t="n">
        <v>2</v>
      </c>
      <c r="P287" t="n">
        <v>0</v>
      </c>
      <c r="Q287" t="n">
        <v>4</v>
      </c>
      <c r="R287" s="2" t="inlineStr">
        <is>
          <t>Harticka
Lunglav
Stuplav
Trådticka</t>
        </is>
      </c>
      <c r="S287">
        <f>HYPERLINK("https://klasma.github.io/Logging_DOROTEA/artfynd/A 60124-2021.xlsx", "A 60124-2021")</f>
        <v/>
      </c>
      <c r="T287">
        <f>HYPERLINK("https://klasma.github.io/Logging_DOROTEA/kartor/A 60124-2021.png", "A 60124-2021")</f>
        <v/>
      </c>
      <c r="V287">
        <f>HYPERLINK("https://klasma.github.io/Logging_DOROTEA/klagomål/A 60124-2021.docx", "A 60124-2021")</f>
        <v/>
      </c>
      <c r="W287">
        <f>HYPERLINK("https://klasma.github.io/Logging_DOROTEA/klagomålsmail/A 60124-2021.docx", "A 60124-2021")</f>
        <v/>
      </c>
      <c r="X287">
        <f>HYPERLINK("https://klasma.github.io/Logging_DOROTEA/tillsyn/A 60124-2021.docx", "A 60124-2021")</f>
        <v/>
      </c>
      <c r="Y287">
        <f>HYPERLINK("https://klasma.github.io/Logging_DOROTEA/tillsynsmail/A 60124-2021.docx", "A 60124-2021")</f>
        <v/>
      </c>
    </row>
    <row r="288" ht="15" customHeight="1">
      <c r="A288" t="inlineStr">
        <is>
          <t>A 66443-2021</t>
        </is>
      </c>
      <c r="B288" s="1" t="n">
        <v>44518</v>
      </c>
      <c r="C288" s="1" t="n">
        <v>45204</v>
      </c>
      <c r="D288" t="inlineStr">
        <is>
          <t>VÄSTERBOTTENS LÄN</t>
        </is>
      </c>
      <c r="E288" t="inlineStr">
        <is>
          <t>SORSELE</t>
        </is>
      </c>
      <c r="G288" t="n">
        <v>15.5</v>
      </c>
      <c r="H288" t="n">
        <v>1</v>
      </c>
      <c r="I288" t="n">
        <v>0</v>
      </c>
      <c r="J288" t="n">
        <v>4</v>
      </c>
      <c r="K288" t="n">
        <v>0</v>
      </c>
      <c r="L288" t="n">
        <v>0</v>
      </c>
      <c r="M288" t="n">
        <v>0</v>
      </c>
      <c r="N288" t="n">
        <v>0</v>
      </c>
      <c r="O288" t="n">
        <v>4</v>
      </c>
      <c r="P288" t="n">
        <v>0</v>
      </c>
      <c r="Q288" t="n">
        <v>4</v>
      </c>
      <c r="R288" s="2" t="inlineStr">
        <is>
          <t>Dvärgbägarlav
Granticka
Harticka
Talltita</t>
        </is>
      </c>
      <c r="S288">
        <f>HYPERLINK("https://klasma.github.io/Logging_SORSELE/artfynd/A 66443-2021.xlsx", "A 66443-2021")</f>
        <v/>
      </c>
      <c r="T288">
        <f>HYPERLINK("https://klasma.github.io/Logging_SORSELE/kartor/A 66443-2021.png", "A 66443-2021")</f>
        <v/>
      </c>
      <c r="V288">
        <f>HYPERLINK("https://klasma.github.io/Logging_SORSELE/klagomål/A 66443-2021.docx", "A 66443-2021")</f>
        <v/>
      </c>
      <c r="W288">
        <f>HYPERLINK("https://klasma.github.io/Logging_SORSELE/klagomålsmail/A 66443-2021.docx", "A 66443-2021")</f>
        <v/>
      </c>
      <c r="X288">
        <f>HYPERLINK("https://klasma.github.io/Logging_SORSELE/tillsyn/A 66443-2021.docx", "A 66443-2021")</f>
        <v/>
      </c>
      <c r="Y288">
        <f>HYPERLINK("https://klasma.github.io/Logging_SORSELE/tillsynsmail/A 66443-2021.docx", "A 66443-2021")</f>
        <v/>
      </c>
    </row>
    <row r="289" ht="15" customHeight="1">
      <c r="A289" t="inlineStr">
        <is>
          <t>A 3212-2022</t>
        </is>
      </c>
      <c r="B289" s="1" t="n">
        <v>44582</v>
      </c>
      <c r="C289" s="1" t="n">
        <v>45204</v>
      </c>
      <c r="D289" t="inlineStr">
        <is>
          <t>VÄSTERBOTTENS LÄN</t>
        </is>
      </c>
      <c r="E289" t="inlineStr">
        <is>
          <t>SKELLEFTEÅ</t>
        </is>
      </c>
      <c r="G289" t="n">
        <v>1.4</v>
      </c>
      <c r="H289" t="n">
        <v>0</v>
      </c>
      <c r="I289" t="n">
        <v>1</v>
      </c>
      <c r="J289" t="n">
        <v>3</v>
      </c>
      <c r="K289" t="n">
        <v>0</v>
      </c>
      <c r="L289" t="n">
        <v>0</v>
      </c>
      <c r="M289" t="n">
        <v>0</v>
      </c>
      <c r="N289" t="n">
        <v>0</v>
      </c>
      <c r="O289" t="n">
        <v>3</v>
      </c>
      <c r="P289" t="n">
        <v>0</v>
      </c>
      <c r="Q289" t="n">
        <v>4</v>
      </c>
      <c r="R289" s="2" t="inlineStr">
        <is>
          <t>Garnlav
Granticka
Harticka
Vedticka</t>
        </is>
      </c>
      <c r="S289">
        <f>HYPERLINK("https://klasma.github.io/Logging_SKELLEFTEA/artfynd/A 3212-2022.xlsx", "A 3212-2022")</f>
        <v/>
      </c>
      <c r="T289">
        <f>HYPERLINK("https://klasma.github.io/Logging_SKELLEFTEA/kartor/A 3212-2022.png", "A 3212-2022")</f>
        <v/>
      </c>
      <c r="V289">
        <f>HYPERLINK("https://klasma.github.io/Logging_SKELLEFTEA/klagomål/A 3212-2022.docx", "A 3212-2022")</f>
        <v/>
      </c>
      <c r="W289">
        <f>HYPERLINK("https://klasma.github.io/Logging_SKELLEFTEA/klagomålsmail/A 3212-2022.docx", "A 3212-2022")</f>
        <v/>
      </c>
      <c r="X289">
        <f>HYPERLINK("https://klasma.github.io/Logging_SKELLEFTEA/tillsyn/A 3212-2022.docx", "A 3212-2022")</f>
        <v/>
      </c>
      <c r="Y289">
        <f>HYPERLINK("https://klasma.github.io/Logging_SKELLEFTEA/tillsynsmail/A 3212-2022.docx", "A 3212-2022")</f>
        <v/>
      </c>
    </row>
    <row r="290" ht="15" customHeight="1">
      <c r="A290" t="inlineStr">
        <is>
          <t>A 4365-2022</t>
        </is>
      </c>
      <c r="B290" s="1" t="n">
        <v>44588</v>
      </c>
      <c r="C290" s="1" t="n">
        <v>45204</v>
      </c>
      <c r="D290" t="inlineStr">
        <is>
          <t>VÄSTERBOTTENS LÄN</t>
        </is>
      </c>
      <c r="E290" t="inlineStr">
        <is>
          <t>BJURHOLM</t>
        </is>
      </c>
      <c r="G290" t="n">
        <v>14</v>
      </c>
      <c r="H290" t="n">
        <v>1</v>
      </c>
      <c r="I290" t="n">
        <v>0</v>
      </c>
      <c r="J290" t="n">
        <v>3</v>
      </c>
      <c r="K290" t="n">
        <v>1</v>
      </c>
      <c r="L290" t="n">
        <v>0</v>
      </c>
      <c r="M290" t="n">
        <v>0</v>
      </c>
      <c r="N290" t="n">
        <v>0</v>
      </c>
      <c r="O290" t="n">
        <v>4</v>
      </c>
      <c r="P290" t="n">
        <v>1</v>
      </c>
      <c r="Q290" t="n">
        <v>4</v>
      </c>
      <c r="R290" s="2" t="inlineStr">
        <is>
          <t>Rynkskinn
Garnlav
Spillkråka
Ullticka</t>
        </is>
      </c>
      <c r="S290">
        <f>HYPERLINK("https://klasma.github.io/Logging_BJURHOLM/artfynd/A 4365-2022.xlsx", "A 4365-2022")</f>
        <v/>
      </c>
      <c r="T290">
        <f>HYPERLINK("https://klasma.github.io/Logging_BJURHOLM/kartor/A 4365-2022.png", "A 4365-2022")</f>
        <v/>
      </c>
      <c r="V290">
        <f>HYPERLINK("https://klasma.github.io/Logging_BJURHOLM/klagomål/A 4365-2022.docx", "A 4365-2022")</f>
        <v/>
      </c>
      <c r="W290">
        <f>HYPERLINK("https://klasma.github.io/Logging_BJURHOLM/klagomålsmail/A 4365-2022.docx", "A 4365-2022")</f>
        <v/>
      </c>
      <c r="X290">
        <f>HYPERLINK("https://klasma.github.io/Logging_BJURHOLM/tillsyn/A 4365-2022.docx", "A 4365-2022")</f>
        <v/>
      </c>
      <c r="Y290">
        <f>HYPERLINK("https://klasma.github.io/Logging_BJURHOLM/tillsynsmail/A 4365-2022.docx", "A 4365-2022")</f>
        <v/>
      </c>
    </row>
    <row r="291" ht="15" customHeight="1">
      <c r="A291" t="inlineStr">
        <is>
          <t>A 33350-2022</t>
        </is>
      </c>
      <c r="B291" s="1" t="n">
        <v>44788</v>
      </c>
      <c r="C291" s="1" t="n">
        <v>45204</v>
      </c>
      <c r="D291" t="inlineStr">
        <is>
          <t>VÄSTERBOTTENS LÄN</t>
        </is>
      </c>
      <c r="E291" t="inlineStr">
        <is>
          <t>STORUMAN</t>
        </is>
      </c>
      <c r="F291" t="inlineStr">
        <is>
          <t>Sveaskog</t>
        </is>
      </c>
      <c r="G291" t="n">
        <v>6.6</v>
      </c>
      <c r="H291" t="n">
        <v>0</v>
      </c>
      <c r="I291" t="n">
        <v>1</v>
      </c>
      <c r="J291" t="n">
        <v>3</v>
      </c>
      <c r="K291" t="n">
        <v>0</v>
      </c>
      <c r="L291" t="n">
        <v>0</v>
      </c>
      <c r="M291" t="n">
        <v>0</v>
      </c>
      <c r="N291" t="n">
        <v>0</v>
      </c>
      <c r="O291" t="n">
        <v>3</v>
      </c>
      <c r="P291" t="n">
        <v>0</v>
      </c>
      <c r="Q291" t="n">
        <v>4</v>
      </c>
      <c r="R291" s="2" t="inlineStr">
        <is>
          <t>Orange taggsvamp
Talltaggsvamp
Vaddporing
Dropptaggsvamp</t>
        </is>
      </c>
      <c r="S291">
        <f>HYPERLINK("https://klasma.github.io/Logging_STORUMAN/artfynd/A 33350-2022.xlsx", "A 33350-2022")</f>
        <v/>
      </c>
      <c r="T291">
        <f>HYPERLINK("https://klasma.github.io/Logging_STORUMAN/kartor/A 33350-2022.png", "A 33350-2022")</f>
        <v/>
      </c>
      <c r="V291">
        <f>HYPERLINK("https://klasma.github.io/Logging_STORUMAN/klagomål/A 33350-2022.docx", "A 33350-2022")</f>
        <v/>
      </c>
      <c r="W291">
        <f>HYPERLINK("https://klasma.github.io/Logging_STORUMAN/klagomålsmail/A 33350-2022.docx", "A 33350-2022")</f>
        <v/>
      </c>
      <c r="X291">
        <f>HYPERLINK("https://klasma.github.io/Logging_STORUMAN/tillsyn/A 33350-2022.docx", "A 33350-2022")</f>
        <v/>
      </c>
      <c r="Y291">
        <f>HYPERLINK("https://klasma.github.io/Logging_STORUMAN/tillsynsmail/A 33350-2022.docx", "A 33350-2022")</f>
        <v/>
      </c>
    </row>
    <row r="292" ht="15" customHeight="1">
      <c r="A292" t="inlineStr">
        <is>
          <t>A 45582-2022</t>
        </is>
      </c>
      <c r="B292" s="1" t="n">
        <v>44841</v>
      </c>
      <c r="C292" s="1" t="n">
        <v>45204</v>
      </c>
      <c r="D292" t="inlineStr">
        <is>
          <t>VÄSTERBOTTENS LÄN</t>
        </is>
      </c>
      <c r="E292" t="inlineStr">
        <is>
          <t>SORSELE</t>
        </is>
      </c>
      <c r="G292" t="n">
        <v>87.59999999999999</v>
      </c>
      <c r="H292" t="n">
        <v>0</v>
      </c>
      <c r="I292" t="n">
        <v>0</v>
      </c>
      <c r="J292" t="n">
        <v>3</v>
      </c>
      <c r="K292" t="n">
        <v>0</v>
      </c>
      <c r="L292" t="n">
        <v>1</v>
      </c>
      <c r="M292" t="n">
        <v>0</v>
      </c>
      <c r="N292" t="n">
        <v>0</v>
      </c>
      <c r="O292" t="n">
        <v>4</v>
      </c>
      <c r="P292" t="n">
        <v>1</v>
      </c>
      <c r="Q292" t="n">
        <v>4</v>
      </c>
      <c r="R292" s="2" t="inlineStr">
        <is>
          <t>Grangytterlav
Lunglav
Olivbrun gytterlav
Skrovellav</t>
        </is>
      </c>
      <c r="S292">
        <f>HYPERLINK("https://klasma.github.io/Logging_SORSELE/artfynd/A 45582-2022.xlsx", "A 45582-2022")</f>
        <v/>
      </c>
      <c r="T292">
        <f>HYPERLINK("https://klasma.github.io/Logging_SORSELE/kartor/A 45582-2022.png", "A 45582-2022")</f>
        <v/>
      </c>
      <c r="V292">
        <f>HYPERLINK("https://klasma.github.io/Logging_SORSELE/klagomål/A 45582-2022.docx", "A 45582-2022")</f>
        <v/>
      </c>
      <c r="W292">
        <f>HYPERLINK("https://klasma.github.io/Logging_SORSELE/klagomålsmail/A 45582-2022.docx", "A 45582-2022")</f>
        <v/>
      </c>
      <c r="X292">
        <f>HYPERLINK("https://klasma.github.io/Logging_SORSELE/tillsyn/A 45582-2022.docx", "A 45582-2022")</f>
        <v/>
      </c>
      <c r="Y292">
        <f>HYPERLINK("https://klasma.github.io/Logging_SORSELE/tillsynsmail/A 45582-2022.docx", "A 45582-2022")</f>
        <v/>
      </c>
    </row>
    <row r="293" ht="15" customHeight="1">
      <c r="A293" t="inlineStr">
        <is>
          <t>A 47682-2022</t>
        </is>
      </c>
      <c r="B293" s="1" t="n">
        <v>44854</v>
      </c>
      <c r="C293" s="1" t="n">
        <v>45204</v>
      </c>
      <c r="D293" t="inlineStr">
        <is>
          <t>VÄSTERBOTTENS LÄN</t>
        </is>
      </c>
      <c r="E293" t="inlineStr">
        <is>
          <t>ÅSELE</t>
        </is>
      </c>
      <c r="F293" t="inlineStr">
        <is>
          <t>Kyrkan</t>
        </is>
      </c>
      <c r="G293" t="n">
        <v>20</v>
      </c>
      <c r="H293" t="n">
        <v>2</v>
      </c>
      <c r="I293" t="n">
        <v>1</v>
      </c>
      <c r="J293" t="n">
        <v>2</v>
      </c>
      <c r="K293" t="n">
        <v>1</v>
      </c>
      <c r="L293" t="n">
        <v>0</v>
      </c>
      <c r="M293" t="n">
        <v>0</v>
      </c>
      <c r="N293" t="n">
        <v>0</v>
      </c>
      <c r="O293" t="n">
        <v>3</v>
      </c>
      <c r="P293" t="n">
        <v>1</v>
      </c>
      <c r="Q293" t="n">
        <v>4</v>
      </c>
      <c r="R293" s="2" t="inlineStr">
        <is>
          <t>Fläckporing
Spillkråka
Tretåig hackspett
Dropptaggsvamp</t>
        </is>
      </c>
      <c r="S293">
        <f>HYPERLINK("https://klasma.github.io/Logging_ASELE/artfynd/A 47682-2022.xlsx", "A 47682-2022")</f>
        <v/>
      </c>
      <c r="T293">
        <f>HYPERLINK("https://klasma.github.io/Logging_ASELE/kartor/A 47682-2022.png", "A 47682-2022")</f>
        <v/>
      </c>
      <c r="V293">
        <f>HYPERLINK("https://klasma.github.io/Logging_ASELE/klagomål/A 47682-2022.docx", "A 47682-2022")</f>
        <v/>
      </c>
      <c r="W293">
        <f>HYPERLINK("https://klasma.github.io/Logging_ASELE/klagomålsmail/A 47682-2022.docx", "A 47682-2022")</f>
        <v/>
      </c>
      <c r="X293">
        <f>HYPERLINK("https://klasma.github.io/Logging_ASELE/tillsyn/A 47682-2022.docx", "A 47682-2022")</f>
        <v/>
      </c>
      <c r="Y293">
        <f>HYPERLINK("https://klasma.github.io/Logging_ASELE/tillsynsmail/A 47682-2022.docx", "A 47682-2022")</f>
        <v/>
      </c>
    </row>
    <row r="294" ht="15" customHeight="1">
      <c r="A294" t="inlineStr">
        <is>
          <t>A 49528-2022</t>
        </is>
      </c>
      <c r="B294" s="1" t="n">
        <v>44861</v>
      </c>
      <c r="C294" s="1" t="n">
        <v>45204</v>
      </c>
      <c r="D294" t="inlineStr">
        <is>
          <t>VÄSTERBOTTENS LÄN</t>
        </is>
      </c>
      <c r="E294" t="inlineStr">
        <is>
          <t>ÅSELE</t>
        </is>
      </c>
      <c r="F294" t="inlineStr">
        <is>
          <t>SCA</t>
        </is>
      </c>
      <c r="G294" t="n">
        <v>12.6</v>
      </c>
      <c r="H294" t="n">
        <v>0</v>
      </c>
      <c r="I294" t="n">
        <v>1</v>
      </c>
      <c r="J294" t="n">
        <v>3</v>
      </c>
      <c r="K294" t="n">
        <v>0</v>
      </c>
      <c r="L294" t="n">
        <v>0</v>
      </c>
      <c r="M294" t="n">
        <v>0</v>
      </c>
      <c r="N294" t="n">
        <v>0</v>
      </c>
      <c r="O294" t="n">
        <v>3</v>
      </c>
      <c r="P294" t="n">
        <v>0</v>
      </c>
      <c r="Q294" t="n">
        <v>4</v>
      </c>
      <c r="R294" s="2" t="inlineStr">
        <is>
          <t>Doftskinn
Garnlav
Lunglav
Rävticka</t>
        </is>
      </c>
      <c r="S294">
        <f>HYPERLINK("https://klasma.github.io/Logging_ASELE/artfynd/A 49528-2022.xlsx", "A 49528-2022")</f>
        <v/>
      </c>
      <c r="T294">
        <f>HYPERLINK("https://klasma.github.io/Logging_ASELE/kartor/A 49528-2022.png", "A 49528-2022")</f>
        <v/>
      </c>
      <c r="V294">
        <f>HYPERLINK("https://klasma.github.io/Logging_ASELE/klagomål/A 49528-2022.docx", "A 49528-2022")</f>
        <v/>
      </c>
      <c r="W294">
        <f>HYPERLINK("https://klasma.github.io/Logging_ASELE/klagomålsmail/A 49528-2022.docx", "A 49528-2022")</f>
        <v/>
      </c>
      <c r="X294">
        <f>HYPERLINK("https://klasma.github.io/Logging_ASELE/tillsyn/A 49528-2022.docx", "A 49528-2022")</f>
        <v/>
      </c>
      <c r="Y294">
        <f>HYPERLINK("https://klasma.github.io/Logging_ASELE/tillsynsmail/A 49528-2022.docx", "A 49528-2022")</f>
        <v/>
      </c>
    </row>
    <row r="295" ht="15" customHeight="1">
      <c r="A295" t="inlineStr">
        <is>
          <t>A 2937-2023</t>
        </is>
      </c>
      <c r="B295" s="1" t="n">
        <v>44945</v>
      </c>
      <c r="C295" s="1" t="n">
        <v>45204</v>
      </c>
      <c r="D295" t="inlineStr">
        <is>
          <t>VÄSTERBOTTENS LÄN</t>
        </is>
      </c>
      <c r="E295" t="inlineStr">
        <is>
          <t>LYCKSELE</t>
        </is>
      </c>
      <c r="F295" t="inlineStr">
        <is>
          <t>Kyrkan</t>
        </is>
      </c>
      <c r="G295" t="n">
        <v>17.4</v>
      </c>
      <c r="H295" t="n">
        <v>0</v>
      </c>
      <c r="I295" t="n">
        <v>1</v>
      </c>
      <c r="J295" t="n">
        <v>3</v>
      </c>
      <c r="K295" t="n">
        <v>0</v>
      </c>
      <c r="L295" t="n">
        <v>0</v>
      </c>
      <c r="M295" t="n">
        <v>0</v>
      </c>
      <c r="N295" t="n">
        <v>0</v>
      </c>
      <c r="O295" t="n">
        <v>3</v>
      </c>
      <c r="P295" t="n">
        <v>0</v>
      </c>
      <c r="Q295" t="n">
        <v>4</v>
      </c>
      <c r="R295" s="2" t="inlineStr">
        <is>
          <t>Blå taggsvamp
Lunglav
Orange taggsvamp
Dropptaggsvamp</t>
        </is>
      </c>
      <c r="S295">
        <f>HYPERLINK("https://klasma.github.io/Logging_LYCKSELE/artfynd/A 2937-2023.xlsx", "A 2937-2023")</f>
        <v/>
      </c>
      <c r="T295">
        <f>HYPERLINK("https://klasma.github.io/Logging_LYCKSELE/kartor/A 2937-2023.png", "A 2937-2023")</f>
        <v/>
      </c>
      <c r="V295">
        <f>HYPERLINK("https://klasma.github.io/Logging_LYCKSELE/klagomål/A 2937-2023.docx", "A 2937-2023")</f>
        <v/>
      </c>
      <c r="W295">
        <f>HYPERLINK("https://klasma.github.io/Logging_LYCKSELE/klagomålsmail/A 2937-2023.docx", "A 2937-2023")</f>
        <v/>
      </c>
      <c r="X295">
        <f>HYPERLINK("https://klasma.github.io/Logging_LYCKSELE/tillsyn/A 2937-2023.docx", "A 2937-2023")</f>
        <v/>
      </c>
      <c r="Y295">
        <f>HYPERLINK("https://klasma.github.io/Logging_LYCKSELE/tillsynsmail/A 2937-2023.docx", "A 2937-2023")</f>
        <v/>
      </c>
    </row>
    <row r="296" ht="15" customHeight="1">
      <c r="A296" t="inlineStr">
        <is>
          <t>A 4828-2023</t>
        </is>
      </c>
      <c r="B296" s="1" t="n">
        <v>44957</v>
      </c>
      <c r="C296" s="1" t="n">
        <v>45204</v>
      </c>
      <c r="D296" t="inlineStr">
        <is>
          <t>VÄSTERBOTTENS LÄN</t>
        </is>
      </c>
      <c r="E296" t="inlineStr">
        <is>
          <t>DOROTEA</t>
        </is>
      </c>
      <c r="G296" t="n">
        <v>8</v>
      </c>
      <c r="H296" t="n">
        <v>1</v>
      </c>
      <c r="I296" t="n">
        <v>1</v>
      </c>
      <c r="J296" t="n">
        <v>3</v>
      </c>
      <c r="K296" t="n">
        <v>0</v>
      </c>
      <c r="L296" t="n">
        <v>0</v>
      </c>
      <c r="M296" t="n">
        <v>0</v>
      </c>
      <c r="N296" t="n">
        <v>0</v>
      </c>
      <c r="O296" t="n">
        <v>3</v>
      </c>
      <c r="P296" t="n">
        <v>0</v>
      </c>
      <c r="Q296" t="n">
        <v>4</v>
      </c>
      <c r="R296" s="2" t="inlineStr">
        <is>
          <t>Garnlav
Granticka
Vitgrynig nållav
Spindelblomster</t>
        </is>
      </c>
      <c r="S296">
        <f>HYPERLINK("https://klasma.github.io/Logging_DOROTEA/artfynd/A 4828-2023.xlsx", "A 4828-2023")</f>
        <v/>
      </c>
      <c r="T296">
        <f>HYPERLINK("https://klasma.github.io/Logging_DOROTEA/kartor/A 4828-2023.png", "A 4828-2023")</f>
        <v/>
      </c>
      <c r="V296">
        <f>HYPERLINK("https://klasma.github.io/Logging_DOROTEA/klagomål/A 4828-2023.docx", "A 4828-2023")</f>
        <v/>
      </c>
      <c r="W296">
        <f>HYPERLINK("https://klasma.github.io/Logging_DOROTEA/klagomålsmail/A 4828-2023.docx", "A 4828-2023")</f>
        <v/>
      </c>
      <c r="X296">
        <f>HYPERLINK("https://klasma.github.io/Logging_DOROTEA/tillsyn/A 4828-2023.docx", "A 4828-2023")</f>
        <v/>
      </c>
      <c r="Y296">
        <f>HYPERLINK("https://klasma.github.io/Logging_DOROTEA/tillsynsmail/A 4828-2023.docx", "A 4828-2023")</f>
        <v/>
      </c>
    </row>
    <row r="297" ht="15" customHeight="1">
      <c r="A297" t="inlineStr">
        <is>
          <t>A 5700-2023</t>
        </is>
      </c>
      <c r="B297" s="1" t="n">
        <v>44960</v>
      </c>
      <c r="C297" s="1" t="n">
        <v>45204</v>
      </c>
      <c r="D297" t="inlineStr">
        <is>
          <t>VÄSTERBOTTENS LÄN</t>
        </is>
      </c>
      <c r="E297" t="inlineStr">
        <is>
          <t>ÅSELE</t>
        </is>
      </c>
      <c r="F297" t="inlineStr">
        <is>
          <t>SCA</t>
        </is>
      </c>
      <c r="G297" t="n">
        <v>5.1</v>
      </c>
      <c r="H297" t="n">
        <v>0</v>
      </c>
      <c r="I297" t="n">
        <v>0</v>
      </c>
      <c r="J297" t="n">
        <v>4</v>
      </c>
      <c r="K297" t="n">
        <v>0</v>
      </c>
      <c r="L297" t="n">
        <v>0</v>
      </c>
      <c r="M297" t="n">
        <v>0</v>
      </c>
      <c r="N297" t="n">
        <v>0</v>
      </c>
      <c r="O297" t="n">
        <v>4</v>
      </c>
      <c r="P297" t="n">
        <v>0</v>
      </c>
      <c r="Q297" t="n">
        <v>4</v>
      </c>
      <c r="R297" s="2" t="inlineStr">
        <is>
          <t>Gammelgransskål
Garnlav
Granticka
Lunglav</t>
        </is>
      </c>
      <c r="S297">
        <f>HYPERLINK("https://klasma.github.io/Logging_ASELE/artfynd/A 5700-2023.xlsx", "A 5700-2023")</f>
        <v/>
      </c>
      <c r="T297">
        <f>HYPERLINK("https://klasma.github.io/Logging_ASELE/kartor/A 5700-2023.png", "A 5700-2023")</f>
        <v/>
      </c>
      <c r="V297">
        <f>HYPERLINK("https://klasma.github.io/Logging_ASELE/klagomål/A 5700-2023.docx", "A 5700-2023")</f>
        <v/>
      </c>
      <c r="W297">
        <f>HYPERLINK("https://klasma.github.io/Logging_ASELE/klagomålsmail/A 5700-2023.docx", "A 5700-2023")</f>
        <v/>
      </c>
      <c r="X297">
        <f>HYPERLINK("https://klasma.github.io/Logging_ASELE/tillsyn/A 5700-2023.docx", "A 5700-2023")</f>
        <v/>
      </c>
      <c r="Y297">
        <f>HYPERLINK("https://klasma.github.io/Logging_ASELE/tillsynsmail/A 5700-2023.docx", "A 5700-2023")</f>
        <v/>
      </c>
    </row>
    <row r="298" ht="15" customHeight="1">
      <c r="A298" t="inlineStr">
        <is>
          <t>A 10764-2023</t>
        </is>
      </c>
      <c r="B298" s="1" t="n">
        <v>44988</v>
      </c>
      <c r="C298" s="1" t="n">
        <v>45204</v>
      </c>
      <c r="D298" t="inlineStr">
        <is>
          <t>VÄSTERBOTTENS LÄN</t>
        </is>
      </c>
      <c r="E298" t="inlineStr">
        <is>
          <t>NORDMALING</t>
        </is>
      </c>
      <c r="G298" t="n">
        <v>13.3</v>
      </c>
      <c r="H298" t="n">
        <v>0</v>
      </c>
      <c r="I298" t="n">
        <v>0</v>
      </c>
      <c r="J298" t="n">
        <v>4</v>
      </c>
      <c r="K298" t="n">
        <v>0</v>
      </c>
      <c r="L298" t="n">
        <v>0</v>
      </c>
      <c r="M298" t="n">
        <v>0</v>
      </c>
      <c r="N298" t="n">
        <v>0</v>
      </c>
      <c r="O298" t="n">
        <v>4</v>
      </c>
      <c r="P298" t="n">
        <v>0</v>
      </c>
      <c r="Q298" t="n">
        <v>4</v>
      </c>
      <c r="R298" s="2" t="inlineStr">
        <is>
          <t>Kolflarnlav
Mörk kolflarnlav
Reliktbock
Violettgrå tagellav</t>
        </is>
      </c>
      <c r="S298">
        <f>HYPERLINK("https://klasma.github.io/Logging_NORDMALING/artfynd/A 10764-2023.xlsx", "A 10764-2023")</f>
        <v/>
      </c>
      <c r="T298">
        <f>HYPERLINK("https://klasma.github.io/Logging_NORDMALING/kartor/A 10764-2023.png", "A 10764-2023")</f>
        <v/>
      </c>
      <c r="V298">
        <f>HYPERLINK("https://klasma.github.io/Logging_NORDMALING/klagomål/A 10764-2023.docx", "A 10764-2023")</f>
        <v/>
      </c>
      <c r="W298">
        <f>HYPERLINK("https://klasma.github.io/Logging_NORDMALING/klagomålsmail/A 10764-2023.docx", "A 10764-2023")</f>
        <v/>
      </c>
      <c r="X298">
        <f>HYPERLINK("https://klasma.github.io/Logging_NORDMALING/tillsyn/A 10764-2023.docx", "A 10764-2023")</f>
        <v/>
      </c>
      <c r="Y298">
        <f>HYPERLINK("https://klasma.github.io/Logging_NORDMALING/tillsynsmail/A 10764-2023.docx", "A 10764-2023")</f>
        <v/>
      </c>
    </row>
    <row r="299" ht="15" customHeight="1">
      <c r="A299" t="inlineStr">
        <is>
          <t>A 18950-2023</t>
        </is>
      </c>
      <c r="B299" s="1" t="n">
        <v>45043</v>
      </c>
      <c r="C299" s="1" t="n">
        <v>45204</v>
      </c>
      <c r="D299" t="inlineStr">
        <is>
          <t>VÄSTERBOTTENS LÄN</t>
        </is>
      </c>
      <c r="E299" t="inlineStr">
        <is>
          <t>BJURHOLM</t>
        </is>
      </c>
      <c r="G299" t="n">
        <v>5.6</v>
      </c>
      <c r="H299" t="n">
        <v>0</v>
      </c>
      <c r="I299" t="n">
        <v>1</v>
      </c>
      <c r="J299" t="n">
        <v>3</v>
      </c>
      <c r="K299" t="n">
        <v>0</v>
      </c>
      <c r="L299" t="n">
        <v>0</v>
      </c>
      <c r="M299" t="n">
        <v>0</v>
      </c>
      <c r="N299" t="n">
        <v>0</v>
      </c>
      <c r="O299" t="n">
        <v>3</v>
      </c>
      <c r="P299" t="n">
        <v>0</v>
      </c>
      <c r="Q299" t="n">
        <v>4</v>
      </c>
      <c r="R299" s="2" t="inlineStr">
        <is>
          <t>Ullticka
Vedskivlav
Violettgrå tagellav
Skuggblåslav</t>
        </is>
      </c>
      <c r="S299">
        <f>HYPERLINK("https://klasma.github.io/Logging_BJURHOLM/artfynd/A 18950-2023.xlsx", "A 18950-2023")</f>
        <v/>
      </c>
      <c r="T299">
        <f>HYPERLINK("https://klasma.github.io/Logging_BJURHOLM/kartor/A 18950-2023.png", "A 18950-2023")</f>
        <v/>
      </c>
      <c r="V299">
        <f>HYPERLINK("https://klasma.github.io/Logging_BJURHOLM/klagomål/A 18950-2023.docx", "A 18950-2023")</f>
        <v/>
      </c>
      <c r="W299">
        <f>HYPERLINK("https://klasma.github.io/Logging_BJURHOLM/klagomålsmail/A 18950-2023.docx", "A 18950-2023")</f>
        <v/>
      </c>
      <c r="X299">
        <f>HYPERLINK("https://klasma.github.io/Logging_BJURHOLM/tillsyn/A 18950-2023.docx", "A 18950-2023")</f>
        <v/>
      </c>
      <c r="Y299">
        <f>HYPERLINK("https://klasma.github.io/Logging_BJURHOLM/tillsynsmail/A 18950-2023.docx", "A 18950-2023")</f>
        <v/>
      </c>
    </row>
    <row r="300" ht="15" customHeight="1">
      <c r="A300" t="inlineStr">
        <is>
          <t>A 32211-2023</t>
        </is>
      </c>
      <c r="B300" s="1" t="n">
        <v>45119</v>
      </c>
      <c r="C300" s="1" t="n">
        <v>45204</v>
      </c>
      <c r="D300" t="inlineStr">
        <is>
          <t>VÄSTERBOTTENS LÄN</t>
        </is>
      </c>
      <c r="E300" t="inlineStr">
        <is>
          <t>ROBERTSFORS</t>
        </is>
      </c>
      <c r="F300" t="inlineStr">
        <is>
          <t>SCA</t>
        </is>
      </c>
      <c r="G300" t="n">
        <v>14.4</v>
      </c>
      <c r="H300" t="n">
        <v>1</v>
      </c>
      <c r="I300" t="n">
        <v>0</v>
      </c>
      <c r="J300" t="n">
        <v>3</v>
      </c>
      <c r="K300" t="n">
        <v>1</v>
      </c>
      <c r="L300" t="n">
        <v>0</v>
      </c>
      <c r="M300" t="n">
        <v>0</v>
      </c>
      <c r="N300" t="n">
        <v>0</v>
      </c>
      <c r="O300" t="n">
        <v>4</v>
      </c>
      <c r="P300" t="n">
        <v>1</v>
      </c>
      <c r="Q300" t="n">
        <v>4</v>
      </c>
      <c r="R300" s="2" t="inlineStr">
        <is>
          <t>Gräddporing
Granticka
Tallticka
Talltita</t>
        </is>
      </c>
      <c r="S300">
        <f>HYPERLINK("https://klasma.github.io/Logging_ROBERTSFORS/artfynd/A 32211-2023.xlsx", "A 32211-2023")</f>
        <v/>
      </c>
      <c r="T300">
        <f>HYPERLINK("https://klasma.github.io/Logging_ROBERTSFORS/kartor/A 32211-2023.png", "A 32211-2023")</f>
        <v/>
      </c>
      <c r="V300">
        <f>HYPERLINK("https://klasma.github.io/Logging_ROBERTSFORS/klagomål/A 32211-2023.docx", "A 32211-2023")</f>
        <v/>
      </c>
      <c r="W300">
        <f>HYPERLINK("https://klasma.github.io/Logging_ROBERTSFORS/klagomålsmail/A 32211-2023.docx", "A 32211-2023")</f>
        <v/>
      </c>
      <c r="X300">
        <f>HYPERLINK("https://klasma.github.io/Logging_ROBERTSFORS/tillsyn/A 32211-2023.docx", "A 32211-2023")</f>
        <v/>
      </c>
      <c r="Y300">
        <f>HYPERLINK("https://klasma.github.io/Logging_ROBERTSFORS/tillsynsmail/A 32211-2023.docx", "A 32211-2023")</f>
        <v/>
      </c>
    </row>
    <row r="301" ht="15" customHeight="1">
      <c r="A301" t="inlineStr">
        <is>
          <t>A 35626-2023</t>
        </is>
      </c>
      <c r="B301" s="1" t="n">
        <v>45147</v>
      </c>
      <c r="C301" s="1" t="n">
        <v>45204</v>
      </c>
      <c r="D301" t="inlineStr">
        <is>
          <t>VÄSTERBOTTENS LÄN</t>
        </is>
      </c>
      <c r="E301" t="inlineStr">
        <is>
          <t>ROBERTSFORS</t>
        </is>
      </c>
      <c r="F301" t="inlineStr">
        <is>
          <t>Holmen skog AB</t>
        </is>
      </c>
      <c r="G301" t="n">
        <v>3.5</v>
      </c>
      <c r="H301" t="n">
        <v>0</v>
      </c>
      <c r="I301" t="n">
        <v>1</v>
      </c>
      <c r="J301" t="n">
        <v>3</v>
      </c>
      <c r="K301" t="n">
        <v>0</v>
      </c>
      <c r="L301" t="n">
        <v>0</v>
      </c>
      <c r="M301" t="n">
        <v>0</v>
      </c>
      <c r="N301" t="n">
        <v>0</v>
      </c>
      <c r="O301" t="n">
        <v>3</v>
      </c>
      <c r="P301" t="n">
        <v>0</v>
      </c>
      <c r="Q301" t="n">
        <v>4</v>
      </c>
      <c r="R301" s="2" t="inlineStr">
        <is>
          <t>Granticka
Ullticka
Violettgrå tagellav
Vedticka</t>
        </is>
      </c>
      <c r="S301">
        <f>HYPERLINK("https://klasma.github.io/Logging_ROBERTSFORS/artfynd/A 35626-2023.xlsx", "A 35626-2023")</f>
        <v/>
      </c>
      <c r="T301">
        <f>HYPERLINK("https://klasma.github.io/Logging_ROBERTSFORS/kartor/A 35626-2023.png", "A 35626-2023")</f>
        <v/>
      </c>
      <c r="U301">
        <f>HYPERLINK("https://klasma.github.io/Logging_ROBERTSFORS/knärot/A 35626-2023.png", "A 35626-2023")</f>
        <v/>
      </c>
      <c r="V301">
        <f>HYPERLINK("https://klasma.github.io/Logging_ROBERTSFORS/klagomål/A 35626-2023.docx", "A 35626-2023")</f>
        <v/>
      </c>
      <c r="W301">
        <f>HYPERLINK("https://klasma.github.io/Logging_ROBERTSFORS/klagomålsmail/A 35626-2023.docx", "A 35626-2023")</f>
        <v/>
      </c>
      <c r="X301">
        <f>HYPERLINK("https://klasma.github.io/Logging_ROBERTSFORS/tillsyn/A 35626-2023.docx", "A 35626-2023")</f>
        <v/>
      </c>
      <c r="Y301">
        <f>HYPERLINK("https://klasma.github.io/Logging_ROBERTSFORS/tillsynsmail/A 35626-2023.docx", "A 35626-2023")</f>
        <v/>
      </c>
    </row>
    <row r="302" ht="15" customHeight="1">
      <c r="A302" t="inlineStr">
        <is>
          <t>A 40122-2023</t>
        </is>
      </c>
      <c r="B302" s="1" t="n">
        <v>45169</v>
      </c>
      <c r="C302" s="1" t="n">
        <v>45204</v>
      </c>
      <c r="D302" t="inlineStr">
        <is>
          <t>VÄSTERBOTTENS LÄN</t>
        </is>
      </c>
      <c r="E302" t="inlineStr">
        <is>
          <t>ROBERTSFORS</t>
        </is>
      </c>
      <c r="G302" t="n">
        <v>10.8</v>
      </c>
      <c r="H302" t="n">
        <v>0</v>
      </c>
      <c r="I302" t="n">
        <v>1</v>
      </c>
      <c r="J302" t="n">
        <v>2</v>
      </c>
      <c r="K302" t="n">
        <v>1</v>
      </c>
      <c r="L302" t="n">
        <v>0</v>
      </c>
      <c r="M302" t="n">
        <v>0</v>
      </c>
      <c r="N302" t="n">
        <v>0</v>
      </c>
      <c r="O302" t="n">
        <v>3</v>
      </c>
      <c r="P302" t="n">
        <v>1</v>
      </c>
      <c r="Q302" t="n">
        <v>4</v>
      </c>
      <c r="R302" s="2" t="inlineStr">
        <is>
          <t>Goliatmusseron
Gammelgransskål
Orange taggsvamp
Dropptaggsvamp</t>
        </is>
      </c>
      <c r="S302">
        <f>HYPERLINK("https://klasma.github.io/Logging_ROBERTSFORS/artfynd/A 40122-2023.xlsx", "A 40122-2023")</f>
        <v/>
      </c>
      <c r="T302">
        <f>HYPERLINK("https://klasma.github.io/Logging_ROBERTSFORS/kartor/A 40122-2023.png", "A 40122-2023")</f>
        <v/>
      </c>
      <c r="V302">
        <f>HYPERLINK("https://klasma.github.io/Logging_ROBERTSFORS/klagomål/A 40122-2023.docx", "A 40122-2023")</f>
        <v/>
      </c>
      <c r="W302">
        <f>HYPERLINK("https://klasma.github.io/Logging_ROBERTSFORS/klagomålsmail/A 40122-2023.docx", "A 40122-2023")</f>
        <v/>
      </c>
      <c r="X302">
        <f>HYPERLINK("https://klasma.github.io/Logging_ROBERTSFORS/tillsyn/A 40122-2023.docx", "A 40122-2023")</f>
        <v/>
      </c>
      <c r="Y302">
        <f>HYPERLINK("https://klasma.github.io/Logging_ROBERTSFORS/tillsynsmail/A 40122-2023.docx", "A 40122-2023")</f>
        <v/>
      </c>
    </row>
    <row r="303" ht="15" customHeight="1">
      <c r="A303" t="inlineStr">
        <is>
          <t>A 47263-2018</t>
        </is>
      </c>
      <c r="B303" s="1" t="n">
        <v>43369</v>
      </c>
      <c r="C303" s="1" t="n">
        <v>45204</v>
      </c>
      <c r="D303" t="inlineStr">
        <is>
          <t>VÄSTERBOTTENS LÄN</t>
        </is>
      </c>
      <c r="E303" t="inlineStr">
        <is>
          <t>VÄNNÄS</t>
        </is>
      </c>
      <c r="G303" t="n">
        <v>8.1</v>
      </c>
      <c r="H303" t="n">
        <v>0</v>
      </c>
      <c r="I303" t="n">
        <v>1</v>
      </c>
      <c r="J303" t="n">
        <v>2</v>
      </c>
      <c r="K303" t="n">
        <v>0</v>
      </c>
      <c r="L303" t="n">
        <v>0</v>
      </c>
      <c r="M303" t="n">
        <v>0</v>
      </c>
      <c r="N303" t="n">
        <v>0</v>
      </c>
      <c r="O303" t="n">
        <v>2</v>
      </c>
      <c r="P303" t="n">
        <v>0</v>
      </c>
      <c r="Q303" t="n">
        <v>3</v>
      </c>
      <c r="R303" s="2" t="inlineStr">
        <is>
          <t>Leptoporus mollis
Ullticka
Blodticka</t>
        </is>
      </c>
      <c r="S303">
        <f>HYPERLINK("https://klasma.github.io/Logging_VANNAS/artfynd/A 47263-2018.xlsx", "A 47263-2018")</f>
        <v/>
      </c>
      <c r="T303">
        <f>HYPERLINK("https://klasma.github.io/Logging_VANNAS/kartor/A 47263-2018.png", "A 47263-2018")</f>
        <v/>
      </c>
      <c r="V303">
        <f>HYPERLINK("https://klasma.github.io/Logging_VANNAS/klagomål/A 47263-2018.docx", "A 47263-2018")</f>
        <v/>
      </c>
      <c r="W303">
        <f>HYPERLINK("https://klasma.github.io/Logging_VANNAS/klagomålsmail/A 47263-2018.docx", "A 47263-2018")</f>
        <v/>
      </c>
      <c r="X303">
        <f>HYPERLINK("https://klasma.github.io/Logging_VANNAS/tillsyn/A 47263-2018.docx", "A 47263-2018")</f>
        <v/>
      </c>
      <c r="Y303">
        <f>HYPERLINK("https://klasma.github.io/Logging_VANNAS/tillsynsmail/A 47263-2018.docx", "A 47263-2018")</f>
        <v/>
      </c>
    </row>
    <row r="304" ht="15" customHeight="1">
      <c r="A304" t="inlineStr">
        <is>
          <t>A 50497-2018</t>
        </is>
      </c>
      <c r="B304" s="1" t="n">
        <v>43380</v>
      </c>
      <c r="C304" s="1" t="n">
        <v>45204</v>
      </c>
      <c r="D304" t="inlineStr">
        <is>
          <t>VÄSTERBOTTENS LÄN</t>
        </is>
      </c>
      <c r="E304" t="inlineStr">
        <is>
          <t>DOROTEA</t>
        </is>
      </c>
      <c r="F304" t="inlineStr">
        <is>
          <t>Allmännings- och besparingsskogar</t>
        </is>
      </c>
      <c r="G304" t="n">
        <v>3.8</v>
      </c>
      <c r="H304" t="n">
        <v>0</v>
      </c>
      <c r="I304" t="n">
        <v>0</v>
      </c>
      <c r="J304" t="n">
        <v>3</v>
      </c>
      <c r="K304" t="n">
        <v>0</v>
      </c>
      <c r="L304" t="n">
        <v>0</v>
      </c>
      <c r="M304" t="n">
        <v>0</v>
      </c>
      <c r="N304" t="n">
        <v>0</v>
      </c>
      <c r="O304" t="n">
        <v>3</v>
      </c>
      <c r="P304" t="n">
        <v>0</v>
      </c>
      <c r="Q304" t="n">
        <v>3</v>
      </c>
      <c r="R304" s="2" t="inlineStr">
        <is>
          <t>Garnlav
Gränsticka
Ullticka</t>
        </is>
      </c>
      <c r="S304">
        <f>HYPERLINK("https://klasma.github.io/Logging_DOROTEA/artfynd/A 50497-2018.xlsx", "A 50497-2018")</f>
        <v/>
      </c>
      <c r="T304">
        <f>HYPERLINK("https://klasma.github.io/Logging_DOROTEA/kartor/A 50497-2018.png", "A 50497-2018")</f>
        <v/>
      </c>
      <c r="V304">
        <f>HYPERLINK("https://klasma.github.io/Logging_DOROTEA/klagomål/A 50497-2018.docx", "A 50497-2018")</f>
        <v/>
      </c>
      <c r="W304">
        <f>HYPERLINK("https://klasma.github.io/Logging_DOROTEA/klagomålsmail/A 50497-2018.docx", "A 50497-2018")</f>
        <v/>
      </c>
      <c r="X304">
        <f>HYPERLINK("https://klasma.github.io/Logging_DOROTEA/tillsyn/A 50497-2018.docx", "A 50497-2018")</f>
        <v/>
      </c>
      <c r="Y304">
        <f>HYPERLINK("https://klasma.github.io/Logging_DOROTEA/tillsynsmail/A 50497-2018.docx", "A 50497-2018")</f>
        <v/>
      </c>
    </row>
    <row r="305" ht="15" customHeight="1">
      <c r="A305" t="inlineStr">
        <is>
          <t>A 55793-2018</t>
        </is>
      </c>
      <c r="B305" s="1" t="n">
        <v>43391</v>
      </c>
      <c r="C305" s="1" t="n">
        <v>45204</v>
      </c>
      <c r="D305" t="inlineStr">
        <is>
          <t>VÄSTERBOTTENS LÄN</t>
        </is>
      </c>
      <c r="E305" t="inlineStr">
        <is>
          <t>UMEÅ</t>
        </is>
      </c>
      <c r="G305" t="n">
        <v>2</v>
      </c>
      <c r="H305" t="n">
        <v>0</v>
      </c>
      <c r="I305" t="n">
        <v>1</v>
      </c>
      <c r="J305" t="n">
        <v>2</v>
      </c>
      <c r="K305" t="n">
        <v>0</v>
      </c>
      <c r="L305" t="n">
        <v>0</v>
      </c>
      <c r="M305" t="n">
        <v>0</v>
      </c>
      <c r="N305" t="n">
        <v>0</v>
      </c>
      <c r="O305" t="n">
        <v>2</v>
      </c>
      <c r="P305" t="n">
        <v>0</v>
      </c>
      <c r="Q305" t="n">
        <v>3</v>
      </c>
      <c r="R305" s="2" t="inlineStr">
        <is>
          <t>Grantaggsvamp
Violettgrå tagellav
Nästlav</t>
        </is>
      </c>
      <c r="S305">
        <f>HYPERLINK("https://klasma.github.io/Logging_UMEA/artfynd/A 55793-2018.xlsx", "A 55793-2018")</f>
        <v/>
      </c>
      <c r="T305">
        <f>HYPERLINK("https://klasma.github.io/Logging_UMEA/kartor/A 55793-2018.png", "A 55793-2018")</f>
        <v/>
      </c>
      <c r="V305">
        <f>HYPERLINK("https://klasma.github.io/Logging_UMEA/klagomål/A 55793-2018.docx", "A 55793-2018")</f>
        <v/>
      </c>
      <c r="W305">
        <f>HYPERLINK("https://klasma.github.io/Logging_UMEA/klagomålsmail/A 55793-2018.docx", "A 55793-2018")</f>
        <v/>
      </c>
      <c r="X305">
        <f>HYPERLINK("https://klasma.github.io/Logging_UMEA/tillsyn/A 55793-2018.docx", "A 55793-2018")</f>
        <v/>
      </c>
      <c r="Y305">
        <f>HYPERLINK("https://klasma.github.io/Logging_UMEA/tillsynsmail/A 55793-2018.docx", "A 55793-2018")</f>
        <v/>
      </c>
    </row>
    <row r="306" ht="15" customHeight="1">
      <c r="A306" t="inlineStr">
        <is>
          <t>A 55469-2018</t>
        </is>
      </c>
      <c r="B306" s="1" t="n">
        <v>43397</v>
      </c>
      <c r="C306" s="1" t="n">
        <v>45204</v>
      </c>
      <c r="D306" t="inlineStr">
        <is>
          <t>VÄSTERBOTTENS LÄN</t>
        </is>
      </c>
      <c r="E306" t="inlineStr">
        <is>
          <t>SORSELE</t>
        </is>
      </c>
      <c r="F306" t="inlineStr">
        <is>
          <t>Sveaskog</t>
        </is>
      </c>
      <c r="G306" t="n">
        <v>13.1</v>
      </c>
      <c r="H306" t="n">
        <v>0</v>
      </c>
      <c r="I306" t="n">
        <v>0</v>
      </c>
      <c r="J306" t="n">
        <v>2</v>
      </c>
      <c r="K306" t="n">
        <v>1</v>
      </c>
      <c r="L306" t="n">
        <v>0</v>
      </c>
      <c r="M306" t="n">
        <v>0</v>
      </c>
      <c r="N306" t="n">
        <v>0</v>
      </c>
      <c r="O306" t="n">
        <v>3</v>
      </c>
      <c r="P306" t="n">
        <v>1</v>
      </c>
      <c r="Q306" t="n">
        <v>3</v>
      </c>
      <c r="R306" s="2" t="inlineStr">
        <is>
          <t>Fläckporing
Stjärntagging
Vitplätt</t>
        </is>
      </c>
      <c r="S306">
        <f>HYPERLINK("https://klasma.github.io/Logging_SORSELE/artfynd/A 55469-2018.xlsx", "A 55469-2018")</f>
        <v/>
      </c>
      <c r="T306">
        <f>HYPERLINK("https://klasma.github.io/Logging_SORSELE/kartor/A 55469-2018.png", "A 55469-2018")</f>
        <v/>
      </c>
      <c r="V306">
        <f>HYPERLINK("https://klasma.github.io/Logging_SORSELE/klagomål/A 55469-2018.docx", "A 55469-2018")</f>
        <v/>
      </c>
      <c r="W306">
        <f>HYPERLINK("https://klasma.github.io/Logging_SORSELE/klagomålsmail/A 55469-2018.docx", "A 55469-2018")</f>
        <v/>
      </c>
      <c r="X306">
        <f>HYPERLINK("https://klasma.github.io/Logging_SORSELE/tillsyn/A 55469-2018.docx", "A 55469-2018")</f>
        <v/>
      </c>
      <c r="Y306">
        <f>HYPERLINK("https://klasma.github.io/Logging_SORSELE/tillsynsmail/A 55469-2018.docx", "A 55469-2018")</f>
        <v/>
      </c>
    </row>
    <row r="307" ht="15" customHeight="1">
      <c r="A307" t="inlineStr">
        <is>
          <t>A 56275-2018</t>
        </is>
      </c>
      <c r="B307" s="1" t="n">
        <v>43399</v>
      </c>
      <c r="C307" s="1" t="n">
        <v>45204</v>
      </c>
      <c r="D307" t="inlineStr">
        <is>
          <t>VÄSTERBOTTENS LÄN</t>
        </is>
      </c>
      <c r="E307" t="inlineStr">
        <is>
          <t>ROBERTSFORS</t>
        </is>
      </c>
      <c r="F307" t="inlineStr">
        <is>
          <t>Holmen skog AB</t>
        </is>
      </c>
      <c r="G307" t="n">
        <v>2</v>
      </c>
      <c r="H307" t="n">
        <v>1</v>
      </c>
      <c r="I307" t="n">
        <v>1</v>
      </c>
      <c r="J307" t="n">
        <v>2</v>
      </c>
      <c r="K307" t="n">
        <v>0</v>
      </c>
      <c r="L307" t="n">
        <v>0</v>
      </c>
      <c r="M307" t="n">
        <v>0</v>
      </c>
      <c r="N307" t="n">
        <v>0</v>
      </c>
      <c r="O307" t="n">
        <v>2</v>
      </c>
      <c r="P307" t="n">
        <v>0</v>
      </c>
      <c r="Q307" t="n">
        <v>3</v>
      </c>
      <c r="R307" s="2" t="inlineStr">
        <is>
          <t>Tretåig hackspett
Ullticka
Vedticka</t>
        </is>
      </c>
      <c r="S307">
        <f>HYPERLINK("https://klasma.github.io/Logging_ROBERTSFORS/artfynd/A 56275-2018.xlsx", "A 56275-2018")</f>
        <v/>
      </c>
      <c r="T307">
        <f>HYPERLINK("https://klasma.github.io/Logging_ROBERTSFORS/kartor/A 56275-2018.png", "A 56275-2018")</f>
        <v/>
      </c>
      <c r="V307">
        <f>HYPERLINK("https://klasma.github.io/Logging_ROBERTSFORS/klagomål/A 56275-2018.docx", "A 56275-2018")</f>
        <v/>
      </c>
      <c r="W307">
        <f>HYPERLINK("https://klasma.github.io/Logging_ROBERTSFORS/klagomålsmail/A 56275-2018.docx", "A 56275-2018")</f>
        <v/>
      </c>
      <c r="X307">
        <f>HYPERLINK("https://klasma.github.io/Logging_ROBERTSFORS/tillsyn/A 56275-2018.docx", "A 56275-2018")</f>
        <v/>
      </c>
      <c r="Y307">
        <f>HYPERLINK("https://klasma.github.io/Logging_ROBERTSFORS/tillsynsmail/A 56275-2018.docx", "A 56275-2018")</f>
        <v/>
      </c>
    </row>
    <row r="308" ht="15" customHeight="1">
      <c r="A308" t="inlineStr">
        <is>
          <t>A 62195-2018</t>
        </is>
      </c>
      <c r="B308" s="1" t="n">
        <v>43413</v>
      </c>
      <c r="C308" s="1" t="n">
        <v>45204</v>
      </c>
      <c r="D308" t="inlineStr">
        <is>
          <t>VÄSTERBOTTENS LÄN</t>
        </is>
      </c>
      <c r="E308" t="inlineStr">
        <is>
          <t>VÄNNÄS</t>
        </is>
      </c>
      <c r="F308" t="inlineStr">
        <is>
          <t>Övriga Aktiebolag</t>
        </is>
      </c>
      <c r="G308" t="n">
        <v>5</v>
      </c>
      <c r="H308" t="n">
        <v>1</v>
      </c>
      <c r="I308" t="n">
        <v>0</v>
      </c>
      <c r="J308" t="n">
        <v>3</v>
      </c>
      <c r="K308" t="n">
        <v>0</v>
      </c>
      <c r="L308" t="n">
        <v>0</v>
      </c>
      <c r="M308" t="n">
        <v>0</v>
      </c>
      <c r="N308" t="n">
        <v>0</v>
      </c>
      <c r="O308" t="n">
        <v>3</v>
      </c>
      <c r="P308" t="n">
        <v>0</v>
      </c>
      <c r="Q308" t="n">
        <v>3</v>
      </c>
      <c r="R308" s="2" t="inlineStr">
        <is>
          <t>Granticka
Tretåig hackspett
Violettgrå tagellav</t>
        </is>
      </c>
      <c r="S308">
        <f>HYPERLINK("https://klasma.github.io/Logging_VANNAS/artfynd/A 62195-2018.xlsx", "A 62195-2018")</f>
        <v/>
      </c>
      <c r="T308">
        <f>HYPERLINK("https://klasma.github.io/Logging_VANNAS/kartor/A 62195-2018.png", "A 62195-2018")</f>
        <v/>
      </c>
      <c r="V308">
        <f>HYPERLINK("https://klasma.github.io/Logging_VANNAS/klagomål/A 62195-2018.docx", "A 62195-2018")</f>
        <v/>
      </c>
      <c r="W308">
        <f>HYPERLINK("https://klasma.github.io/Logging_VANNAS/klagomålsmail/A 62195-2018.docx", "A 62195-2018")</f>
        <v/>
      </c>
      <c r="X308">
        <f>HYPERLINK("https://klasma.github.io/Logging_VANNAS/tillsyn/A 62195-2018.docx", "A 62195-2018")</f>
        <v/>
      </c>
      <c r="Y308">
        <f>HYPERLINK("https://klasma.github.io/Logging_VANNAS/tillsynsmail/A 62195-2018.docx", "A 62195-2018")</f>
        <v/>
      </c>
    </row>
    <row r="309" ht="15" customHeight="1">
      <c r="A309" t="inlineStr">
        <is>
          <t>A 67294-2018</t>
        </is>
      </c>
      <c r="B309" s="1" t="n">
        <v>43432</v>
      </c>
      <c r="C309" s="1" t="n">
        <v>45204</v>
      </c>
      <c r="D309" t="inlineStr">
        <is>
          <t>VÄSTERBOTTENS LÄN</t>
        </is>
      </c>
      <c r="E309" t="inlineStr">
        <is>
          <t>VILHELMINA</t>
        </is>
      </c>
      <c r="F309" t="inlineStr">
        <is>
          <t>Allmännings- och besparingsskogar</t>
        </is>
      </c>
      <c r="G309" t="n">
        <v>11.8</v>
      </c>
      <c r="H309" t="n">
        <v>0</v>
      </c>
      <c r="I309" t="n">
        <v>0</v>
      </c>
      <c r="J309" t="n">
        <v>3</v>
      </c>
      <c r="K309" t="n">
        <v>0</v>
      </c>
      <c r="L309" t="n">
        <v>0</v>
      </c>
      <c r="M309" t="n">
        <v>0</v>
      </c>
      <c r="N309" t="n">
        <v>0</v>
      </c>
      <c r="O309" t="n">
        <v>3</v>
      </c>
      <c r="P309" t="n">
        <v>0</v>
      </c>
      <c r="Q309" t="n">
        <v>3</v>
      </c>
      <c r="R309" s="2" t="inlineStr">
        <is>
          <t>Garnlav
Granticka
Knottrig blåslav</t>
        </is>
      </c>
      <c r="S309">
        <f>HYPERLINK("https://klasma.github.io/Logging_VILHELMINA/artfynd/A 67294-2018.xlsx", "A 67294-2018")</f>
        <v/>
      </c>
      <c r="T309">
        <f>HYPERLINK("https://klasma.github.io/Logging_VILHELMINA/kartor/A 67294-2018.png", "A 67294-2018")</f>
        <v/>
      </c>
      <c r="V309">
        <f>HYPERLINK("https://klasma.github.io/Logging_VILHELMINA/klagomål/A 67294-2018.docx", "A 67294-2018")</f>
        <v/>
      </c>
      <c r="W309">
        <f>HYPERLINK("https://klasma.github.io/Logging_VILHELMINA/klagomålsmail/A 67294-2018.docx", "A 67294-2018")</f>
        <v/>
      </c>
      <c r="X309">
        <f>HYPERLINK("https://klasma.github.io/Logging_VILHELMINA/tillsyn/A 67294-2018.docx", "A 67294-2018")</f>
        <v/>
      </c>
      <c r="Y309">
        <f>HYPERLINK("https://klasma.github.io/Logging_VILHELMINA/tillsynsmail/A 67294-2018.docx", "A 67294-2018")</f>
        <v/>
      </c>
    </row>
    <row r="310" ht="15" customHeight="1">
      <c r="A310" t="inlineStr">
        <is>
          <t>A 66918-2018</t>
        </is>
      </c>
      <c r="B310" s="1" t="n">
        <v>43438</v>
      </c>
      <c r="C310" s="1" t="n">
        <v>45204</v>
      </c>
      <c r="D310" t="inlineStr">
        <is>
          <t>VÄSTERBOTTENS LÄN</t>
        </is>
      </c>
      <c r="E310" t="inlineStr">
        <is>
          <t>VÄNNÄS</t>
        </is>
      </c>
      <c r="G310" t="n">
        <v>12</v>
      </c>
      <c r="H310" t="n">
        <v>0</v>
      </c>
      <c r="I310" t="n">
        <v>2</v>
      </c>
      <c r="J310" t="n">
        <v>1</v>
      </c>
      <c r="K310" t="n">
        <v>0</v>
      </c>
      <c r="L310" t="n">
        <v>0</v>
      </c>
      <c r="M310" t="n">
        <v>0</v>
      </c>
      <c r="N310" t="n">
        <v>0</v>
      </c>
      <c r="O310" t="n">
        <v>1</v>
      </c>
      <c r="P310" t="n">
        <v>0</v>
      </c>
      <c r="Q310" t="n">
        <v>3</v>
      </c>
      <c r="R310" s="2" t="inlineStr">
        <is>
          <t>Ullticka
Mörk husmossa
Strutbräken</t>
        </is>
      </c>
      <c r="S310">
        <f>HYPERLINK("https://klasma.github.io/Logging_VANNAS/artfynd/A 66918-2018.xlsx", "A 66918-2018")</f>
        <v/>
      </c>
      <c r="T310">
        <f>HYPERLINK("https://klasma.github.io/Logging_VANNAS/kartor/A 66918-2018.png", "A 66918-2018")</f>
        <v/>
      </c>
      <c r="V310">
        <f>HYPERLINK("https://klasma.github.io/Logging_VANNAS/klagomål/A 66918-2018.docx", "A 66918-2018")</f>
        <v/>
      </c>
      <c r="W310">
        <f>HYPERLINK("https://klasma.github.io/Logging_VANNAS/klagomålsmail/A 66918-2018.docx", "A 66918-2018")</f>
        <v/>
      </c>
      <c r="X310">
        <f>HYPERLINK("https://klasma.github.io/Logging_VANNAS/tillsyn/A 66918-2018.docx", "A 66918-2018")</f>
        <v/>
      </c>
      <c r="Y310">
        <f>HYPERLINK("https://klasma.github.io/Logging_VANNAS/tillsynsmail/A 66918-2018.docx", "A 66918-2018")</f>
        <v/>
      </c>
    </row>
    <row r="311" ht="15" customHeight="1">
      <c r="A311" t="inlineStr">
        <is>
          <t>A 11624-2019</t>
        </is>
      </c>
      <c r="B311" s="1" t="n">
        <v>43517</v>
      </c>
      <c r="C311" s="1" t="n">
        <v>45204</v>
      </c>
      <c r="D311" t="inlineStr">
        <is>
          <t>VÄSTERBOTTENS LÄN</t>
        </is>
      </c>
      <c r="E311" t="inlineStr">
        <is>
          <t>SKELLEFTEÅ</t>
        </is>
      </c>
      <c r="G311" t="n">
        <v>24.7</v>
      </c>
      <c r="H311" t="n">
        <v>1</v>
      </c>
      <c r="I311" t="n">
        <v>0</v>
      </c>
      <c r="J311" t="n">
        <v>2</v>
      </c>
      <c r="K311" t="n">
        <v>0</v>
      </c>
      <c r="L311" t="n">
        <v>0</v>
      </c>
      <c r="M311" t="n">
        <v>0</v>
      </c>
      <c r="N311" t="n">
        <v>0</v>
      </c>
      <c r="O311" t="n">
        <v>2</v>
      </c>
      <c r="P311" t="n">
        <v>0</v>
      </c>
      <c r="Q311" t="n">
        <v>3</v>
      </c>
      <c r="R311" s="2" t="inlineStr">
        <is>
          <t>Garnlav
Lunglav
Mindre vattensalamander</t>
        </is>
      </c>
      <c r="S311">
        <f>HYPERLINK("https://klasma.github.io/Logging_SKELLEFTEA/artfynd/A 11624-2019.xlsx", "A 11624-2019")</f>
        <v/>
      </c>
      <c r="T311">
        <f>HYPERLINK("https://klasma.github.io/Logging_SKELLEFTEA/kartor/A 11624-2019.png", "A 11624-2019")</f>
        <v/>
      </c>
      <c r="V311">
        <f>HYPERLINK("https://klasma.github.io/Logging_SKELLEFTEA/klagomål/A 11624-2019.docx", "A 11624-2019")</f>
        <v/>
      </c>
      <c r="W311">
        <f>HYPERLINK("https://klasma.github.io/Logging_SKELLEFTEA/klagomålsmail/A 11624-2019.docx", "A 11624-2019")</f>
        <v/>
      </c>
      <c r="X311">
        <f>HYPERLINK("https://klasma.github.io/Logging_SKELLEFTEA/tillsyn/A 11624-2019.docx", "A 11624-2019")</f>
        <v/>
      </c>
      <c r="Y311">
        <f>HYPERLINK("https://klasma.github.io/Logging_SKELLEFTEA/tillsynsmail/A 11624-2019.docx", "A 11624-2019")</f>
        <v/>
      </c>
    </row>
    <row r="312" ht="15" customHeight="1">
      <c r="A312" t="inlineStr">
        <is>
          <t>A 12915-2019</t>
        </is>
      </c>
      <c r="B312" s="1" t="n">
        <v>43525</v>
      </c>
      <c r="C312" s="1" t="n">
        <v>45204</v>
      </c>
      <c r="D312" t="inlineStr">
        <is>
          <t>VÄSTERBOTTENS LÄN</t>
        </is>
      </c>
      <c r="E312" t="inlineStr">
        <is>
          <t>NORDMALING</t>
        </is>
      </c>
      <c r="G312" t="n">
        <v>0.4</v>
      </c>
      <c r="H312" t="n">
        <v>0</v>
      </c>
      <c r="I312" t="n">
        <v>2</v>
      </c>
      <c r="J312" t="n">
        <v>1</v>
      </c>
      <c r="K312" t="n">
        <v>0</v>
      </c>
      <c r="L312" t="n">
        <v>0</v>
      </c>
      <c r="M312" t="n">
        <v>0</v>
      </c>
      <c r="N312" t="n">
        <v>0</v>
      </c>
      <c r="O312" t="n">
        <v>1</v>
      </c>
      <c r="P312" t="n">
        <v>0</v>
      </c>
      <c r="Q312" t="n">
        <v>3</v>
      </c>
      <c r="R312" s="2" t="inlineStr">
        <is>
          <t>Ullticka
Stor aspticka
Vedticka</t>
        </is>
      </c>
      <c r="S312">
        <f>HYPERLINK("https://klasma.github.io/Logging_NORDMALING/artfynd/A 12915-2019.xlsx", "A 12915-2019")</f>
        <v/>
      </c>
      <c r="T312">
        <f>HYPERLINK("https://klasma.github.io/Logging_NORDMALING/kartor/A 12915-2019.png", "A 12915-2019")</f>
        <v/>
      </c>
      <c r="V312">
        <f>HYPERLINK("https://klasma.github.io/Logging_NORDMALING/klagomål/A 12915-2019.docx", "A 12915-2019")</f>
        <v/>
      </c>
      <c r="W312">
        <f>HYPERLINK("https://klasma.github.io/Logging_NORDMALING/klagomålsmail/A 12915-2019.docx", "A 12915-2019")</f>
        <v/>
      </c>
      <c r="X312">
        <f>HYPERLINK("https://klasma.github.io/Logging_NORDMALING/tillsyn/A 12915-2019.docx", "A 12915-2019")</f>
        <v/>
      </c>
      <c r="Y312">
        <f>HYPERLINK("https://klasma.github.io/Logging_NORDMALING/tillsynsmail/A 12915-2019.docx", "A 12915-2019")</f>
        <v/>
      </c>
    </row>
    <row r="313" ht="15" customHeight="1">
      <c r="A313" t="inlineStr">
        <is>
          <t>A 14562-2019</t>
        </is>
      </c>
      <c r="B313" s="1" t="n">
        <v>43535</v>
      </c>
      <c r="C313" s="1" t="n">
        <v>45204</v>
      </c>
      <c r="D313" t="inlineStr">
        <is>
          <t>VÄSTERBOTTENS LÄN</t>
        </is>
      </c>
      <c r="E313" t="inlineStr">
        <is>
          <t>SKELLEFTEÅ</t>
        </is>
      </c>
      <c r="G313" t="n">
        <v>4.9</v>
      </c>
      <c r="H313" t="n">
        <v>0</v>
      </c>
      <c r="I313" t="n">
        <v>0</v>
      </c>
      <c r="J313" t="n">
        <v>2</v>
      </c>
      <c r="K313" t="n">
        <v>1</v>
      </c>
      <c r="L313" t="n">
        <v>0</v>
      </c>
      <c r="M313" t="n">
        <v>0</v>
      </c>
      <c r="N313" t="n">
        <v>0</v>
      </c>
      <c r="O313" t="n">
        <v>3</v>
      </c>
      <c r="P313" t="n">
        <v>1</v>
      </c>
      <c r="Q313" t="n">
        <v>3</v>
      </c>
      <c r="R313" s="2" t="inlineStr">
        <is>
          <t>Nordlig flatbagge
Skrovlig flatbagge
Violettgrå tagellav</t>
        </is>
      </c>
      <c r="S313">
        <f>HYPERLINK("https://klasma.github.io/Logging_SKELLEFTEA/artfynd/A 14562-2019.xlsx", "A 14562-2019")</f>
        <v/>
      </c>
      <c r="T313">
        <f>HYPERLINK("https://klasma.github.io/Logging_SKELLEFTEA/kartor/A 14562-2019.png", "A 14562-2019")</f>
        <v/>
      </c>
      <c r="V313">
        <f>HYPERLINK("https://klasma.github.io/Logging_SKELLEFTEA/klagomål/A 14562-2019.docx", "A 14562-2019")</f>
        <v/>
      </c>
      <c r="W313">
        <f>HYPERLINK("https://klasma.github.io/Logging_SKELLEFTEA/klagomålsmail/A 14562-2019.docx", "A 14562-2019")</f>
        <v/>
      </c>
      <c r="X313">
        <f>HYPERLINK("https://klasma.github.io/Logging_SKELLEFTEA/tillsyn/A 14562-2019.docx", "A 14562-2019")</f>
        <v/>
      </c>
      <c r="Y313">
        <f>HYPERLINK("https://klasma.github.io/Logging_SKELLEFTEA/tillsynsmail/A 14562-2019.docx", "A 14562-2019")</f>
        <v/>
      </c>
    </row>
    <row r="314" ht="15" customHeight="1">
      <c r="A314" t="inlineStr">
        <is>
          <t>A 14580-2019</t>
        </is>
      </c>
      <c r="B314" s="1" t="n">
        <v>43536</v>
      </c>
      <c r="C314" s="1" t="n">
        <v>45204</v>
      </c>
      <c r="D314" t="inlineStr">
        <is>
          <t>VÄSTERBOTTENS LÄN</t>
        </is>
      </c>
      <c r="E314" t="inlineStr">
        <is>
          <t>SKELLEFTEÅ</t>
        </is>
      </c>
      <c r="G314" t="n">
        <v>11.3</v>
      </c>
      <c r="H314" t="n">
        <v>0</v>
      </c>
      <c r="I314" t="n">
        <v>0</v>
      </c>
      <c r="J314" t="n">
        <v>3</v>
      </c>
      <c r="K314" t="n">
        <v>0</v>
      </c>
      <c r="L314" t="n">
        <v>0</v>
      </c>
      <c r="M314" t="n">
        <v>0</v>
      </c>
      <c r="N314" t="n">
        <v>0</v>
      </c>
      <c r="O314" t="n">
        <v>3</v>
      </c>
      <c r="P314" t="n">
        <v>0</v>
      </c>
      <c r="Q314" t="n">
        <v>3</v>
      </c>
      <c r="R314" s="2" t="inlineStr">
        <is>
          <t>Gammelgransskål
Garnlav
Ullticka</t>
        </is>
      </c>
      <c r="S314">
        <f>HYPERLINK("https://klasma.github.io/Logging_SKELLEFTEA/artfynd/A 14580-2019.xlsx", "A 14580-2019")</f>
        <v/>
      </c>
      <c r="T314">
        <f>HYPERLINK("https://klasma.github.io/Logging_SKELLEFTEA/kartor/A 14580-2019.png", "A 14580-2019")</f>
        <v/>
      </c>
      <c r="V314">
        <f>HYPERLINK("https://klasma.github.io/Logging_SKELLEFTEA/klagomål/A 14580-2019.docx", "A 14580-2019")</f>
        <v/>
      </c>
      <c r="W314">
        <f>HYPERLINK("https://klasma.github.io/Logging_SKELLEFTEA/klagomålsmail/A 14580-2019.docx", "A 14580-2019")</f>
        <v/>
      </c>
      <c r="X314">
        <f>HYPERLINK("https://klasma.github.io/Logging_SKELLEFTEA/tillsyn/A 14580-2019.docx", "A 14580-2019")</f>
        <v/>
      </c>
      <c r="Y314">
        <f>HYPERLINK("https://klasma.github.io/Logging_SKELLEFTEA/tillsynsmail/A 14580-2019.docx", "A 14580-2019")</f>
        <v/>
      </c>
    </row>
    <row r="315" ht="15" customHeight="1">
      <c r="A315" t="inlineStr">
        <is>
          <t>A 18981-2019</t>
        </is>
      </c>
      <c r="B315" s="1" t="n">
        <v>43563</v>
      </c>
      <c r="C315" s="1" t="n">
        <v>45204</v>
      </c>
      <c r="D315" t="inlineStr">
        <is>
          <t>VÄSTERBOTTENS LÄN</t>
        </is>
      </c>
      <c r="E315" t="inlineStr">
        <is>
          <t>VINDELN</t>
        </is>
      </c>
      <c r="G315" t="n">
        <v>5</v>
      </c>
      <c r="H315" t="n">
        <v>0</v>
      </c>
      <c r="I315" t="n">
        <v>0</v>
      </c>
      <c r="J315" t="n">
        <v>3</v>
      </c>
      <c r="K315" t="n">
        <v>0</v>
      </c>
      <c r="L315" t="n">
        <v>0</v>
      </c>
      <c r="M315" t="n">
        <v>0</v>
      </c>
      <c r="N315" t="n">
        <v>0</v>
      </c>
      <c r="O315" t="n">
        <v>3</v>
      </c>
      <c r="P315" t="n">
        <v>0</v>
      </c>
      <c r="Q315" t="n">
        <v>3</v>
      </c>
      <c r="R315" s="2" t="inlineStr">
        <is>
          <t>Granticka
Lunglav
Ullticka</t>
        </is>
      </c>
      <c r="S315">
        <f>HYPERLINK("https://klasma.github.io/Logging_VINDELN/artfynd/A 18981-2019.xlsx", "A 18981-2019")</f>
        <v/>
      </c>
      <c r="T315">
        <f>HYPERLINK("https://klasma.github.io/Logging_VINDELN/kartor/A 18981-2019.png", "A 18981-2019")</f>
        <v/>
      </c>
      <c r="V315">
        <f>HYPERLINK("https://klasma.github.io/Logging_VINDELN/klagomål/A 18981-2019.docx", "A 18981-2019")</f>
        <v/>
      </c>
      <c r="W315">
        <f>HYPERLINK("https://klasma.github.io/Logging_VINDELN/klagomålsmail/A 18981-2019.docx", "A 18981-2019")</f>
        <v/>
      </c>
      <c r="X315">
        <f>HYPERLINK("https://klasma.github.io/Logging_VINDELN/tillsyn/A 18981-2019.docx", "A 18981-2019")</f>
        <v/>
      </c>
      <c r="Y315">
        <f>HYPERLINK("https://klasma.github.io/Logging_VINDELN/tillsynsmail/A 18981-2019.docx", "A 18981-2019")</f>
        <v/>
      </c>
    </row>
    <row r="316" ht="15" customHeight="1">
      <c r="A316" t="inlineStr">
        <is>
          <t>A 34201-2019</t>
        </is>
      </c>
      <c r="B316" s="1" t="n">
        <v>43655</v>
      </c>
      <c r="C316" s="1" t="n">
        <v>45204</v>
      </c>
      <c r="D316" t="inlineStr">
        <is>
          <t>VÄSTERBOTTENS LÄN</t>
        </is>
      </c>
      <c r="E316" t="inlineStr">
        <is>
          <t>STORUMAN</t>
        </is>
      </c>
      <c r="G316" t="n">
        <v>32</v>
      </c>
      <c r="H316" t="n">
        <v>0</v>
      </c>
      <c r="I316" t="n">
        <v>0</v>
      </c>
      <c r="J316" t="n">
        <v>2</v>
      </c>
      <c r="K316" t="n">
        <v>1</v>
      </c>
      <c r="L316" t="n">
        <v>0</v>
      </c>
      <c r="M316" t="n">
        <v>0</v>
      </c>
      <c r="N316" t="n">
        <v>0</v>
      </c>
      <c r="O316" t="n">
        <v>3</v>
      </c>
      <c r="P316" t="n">
        <v>1</v>
      </c>
      <c r="Q316" t="n">
        <v>3</v>
      </c>
      <c r="R316" s="2" t="inlineStr">
        <is>
          <t>Smalfotad taggsvamp
Nordtagging
Rosenticka</t>
        </is>
      </c>
      <c r="S316">
        <f>HYPERLINK("https://klasma.github.io/Logging_STORUMAN/artfynd/A 34201-2019.xlsx", "A 34201-2019")</f>
        <v/>
      </c>
      <c r="T316">
        <f>HYPERLINK("https://klasma.github.io/Logging_STORUMAN/kartor/A 34201-2019.png", "A 34201-2019")</f>
        <v/>
      </c>
      <c r="V316">
        <f>HYPERLINK("https://klasma.github.io/Logging_STORUMAN/klagomål/A 34201-2019.docx", "A 34201-2019")</f>
        <v/>
      </c>
      <c r="W316">
        <f>HYPERLINK("https://klasma.github.io/Logging_STORUMAN/klagomålsmail/A 34201-2019.docx", "A 34201-2019")</f>
        <v/>
      </c>
      <c r="X316">
        <f>HYPERLINK("https://klasma.github.io/Logging_STORUMAN/tillsyn/A 34201-2019.docx", "A 34201-2019")</f>
        <v/>
      </c>
      <c r="Y316">
        <f>HYPERLINK("https://klasma.github.io/Logging_STORUMAN/tillsynsmail/A 34201-2019.docx", "A 34201-2019")</f>
        <v/>
      </c>
    </row>
    <row r="317" ht="15" customHeight="1">
      <c r="A317" t="inlineStr">
        <is>
          <t>A 35777-2019</t>
        </is>
      </c>
      <c r="B317" s="1" t="n">
        <v>43665</v>
      </c>
      <c r="C317" s="1" t="n">
        <v>45204</v>
      </c>
      <c r="D317" t="inlineStr">
        <is>
          <t>VÄSTERBOTTENS LÄN</t>
        </is>
      </c>
      <c r="E317" t="inlineStr">
        <is>
          <t>SKELLEFTEÅ</t>
        </is>
      </c>
      <c r="F317" t="inlineStr">
        <is>
          <t>Holmen skog AB</t>
        </is>
      </c>
      <c r="G317" t="n">
        <v>26.8</v>
      </c>
      <c r="H317" t="n">
        <v>0</v>
      </c>
      <c r="I317" t="n">
        <v>1</v>
      </c>
      <c r="J317" t="n">
        <v>2</v>
      </c>
      <c r="K317" t="n">
        <v>0</v>
      </c>
      <c r="L317" t="n">
        <v>0</v>
      </c>
      <c r="M317" t="n">
        <v>0</v>
      </c>
      <c r="N317" t="n">
        <v>0</v>
      </c>
      <c r="O317" t="n">
        <v>2</v>
      </c>
      <c r="P317" t="n">
        <v>0</v>
      </c>
      <c r="Q317" t="n">
        <v>3</v>
      </c>
      <c r="R317" s="2" t="inlineStr">
        <is>
          <t>Garnlav
Ullticka
Vedticka</t>
        </is>
      </c>
      <c r="S317">
        <f>HYPERLINK("https://klasma.github.io/Logging_SKELLEFTEA/artfynd/A 35777-2019.xlsx", "A 35777-2019")</f>
        <v/>
      </c>
      <c r="T317">
        <f>HYPERLINK("https://klasma.github.io/Logging_SKELLEFTEA/kartor/A 35777-2019.png", "A 35777-2019")</f>
        <v/>
      </c>
      <c r="V317">
        <f>HYPERLINK("https://klasma.github.io/Logging_SKELLEFTEA/klagomål/A 35777-2019.docx", "A 35777-2019")</f>
        <v/>
      </c>
      <c r="W317">
        <f>HYPERLINK("https://klasma.github.io/Logging_SKELLEFTEA/klagomålsmail/A 35777-2019.docx", "A 35777-2019")</f>
        <v/>
      </c>
      <c r="X317">
        <f>HYPERLINK("https://klasma.github.io/Logging_SKELLEFTEA/tillsyn/A 35777-2019.docx", "A 35777-2019")</f>
        <v/>
      </c>
      <c r="Y317">
        <f>HYPERLINK("https://klasma.github.io/Logging_SKELLEFTEA/tillsynsmail/A 35777-2019.docx", "A 35777-2019")</f>
        <v/>
      </c>
    </row>
    <row r="318" ht="15" customHeight="1">
      <c r="A318" t="inlineStr">
        <is>
          <t>A 45239-2019</t>
        </is>
      </c>
      <c r="B318" s="1" t="n">
        <v>43713</v>
      </c>
      <c r="C318" s="1" t="n">
        <v>45204</v>
      </c>
      <c r="D318" t="inlineStr">
        <is>
          <t>VÄSTERBOTTENS LÄN</t>
        </is>
      </c>
      <c r="E318" t="inlineStr">
        <is>
          <t>STORUMAN</t>
        </is>
      </c>
      <c r="G318" t="n">
        <v>9.5</v>
      </c>
      <c r="H318" t="n">
        <v>0</v>
      </c>
      <c r="I318" t="n">
        <v>1</v>
      </c>
      <c r="J318" t="n">
        <v>2</v>
      </c>
      <c r="K318" t="n">
        <v>0</v>
      </c>
      <c r="L318" t="n">
        <v>0</v>
      </c>
      <c r="M318" t="n">
        <v>0</v>
      </c>
      <c r="N318" t="n">
        <v>0</v>
      </c>
      <c r="O318" t="n">
        <v>2</v>
      </c>
      <c r="P318" t="n">
        <v>0</v>
      </c>
      <c r="Q318" t="n">
        <v>3</v>
      </c>
      <c r="R318" s="2" t="inlineStr">
        <is>
          <t>Dvärgbägarlav
Vedflamlav
Dropptaggsvamp</t>
        </is>
      </c>
      <c r="S318">
        <f>HYPERLINK("https://klasma.github.io/Logging_STORUMAN/artfynd/A 45239-2019.xlsx", "A 45239-2019")</f>
        <v/>
      </c>
      <c r="T318">
        <f>HYPERLINK("https://klasma.github.io/Logging_STORUMAN/kartor/A 45239-2019.png", "A 45239-2019")</f>
        <v/>
      </c>
      <c r="V318">
        <f>HYPERLINK("https://klasma.github.io/Logging_STORUMAN/klagomål/A 45239-2019.docx", "A 45239-2019")</f>
        <v/>
      </c>
      <c r="W318">
        <f>HYPERLINK("https://klasma.github.io/Logging_STORUMAN/klagomålsmail/A 45239-2019.docx", "A 45239-2019")</f>
        <v/>
      </c>
      <c r="X318">
        <f>HYPERLINK("https://klasma.github.io/Logging_STORUMAN/tillsyn/A 45239-2019.docx", "A 45239-2019")</f>
        <v/>
      </c>
      <c r="Y318">
        <f>HYPERLINK("https://klasma.github.io/Logging_STORUMAN/tillsynsmail/A 45239-2019.docx", "A 45239-2019")</f>
        <v/>
      </c>
    </row>
    <row r="319" ht="15" customHeight="1">
      <c r="A319" t="inlineStr">
        <is>
          <t>A 47001-2019</t>
        </is>
      </c>
      <c r="B319" s="1" t="n">
        <v>43720</v>
      </c>
      <c r="C319" s="1" t="n">
        <v>45204</v>
      </c>
      <c r="D319" t="inlineStr">
        <is>
          <t>VÄSTERBOTTENS LÄN</t>
        </is>
      </c>
      <c r="E319" t="inlineStr">
        <is>
          <t>MALÅ</t>
        </is>
      </c>
      <c r="F319" t="inlineStr">
        <is>
          <t>Sveaskog</t>
        </is>
      </c>
      <c r="G319" t="n">
        <v>4.7</v>
      </c>
      <c r="H319" t="n">
        <v>0</v>
      </c>
      <c r="I319" t="n">
        <v>1</v>
      </c>
      <c r="J319" t="n">
        <v>2</v>
      </c>
      <c r="K319" t="n">
        <v>0</v>
      </c>
      <c r="L319" t="n">
        <v>0</v>
      </c>
      <c r="M319" t="n">
        <v>0</v>
      </c>
      <c r="N319" t="n">
        <v>0</v>
      </c>
      <c r="O319" t="n">
        <v>2</v>
      </c>
      <c r="P319" t="n">
        <v>0</v>
      </c>
      <c r="Q319" t="n">
        <v>3</v>
      </c>
      <c r="R319" s="2" t="inlineStr">
        <is>
          <t>Gammelgransskål
Garnlav
Dropptaggsvamp</t>
        </is>
      </c>
      <c r="S319">
        <f>HYPERLINK("https://klasma.github.io/Logging_MALA/artfynd/A 47001-2019.xlsx", "A 47001-2019")</f>
        <v/>
      </c>
      <c r="T319">
        <f>HYPERLINK("https://klasma.github.io/Logging_MALA/kartor/A 47001-2019.png", "A 47001-2019")</f>
        <v/>
      </c>
      <c r="V319">
        <f>HYPERLINK("https://klasma.github.io/Logging_MALA/klagomål/A 47001-2019.docx", "A 47001-2019")</f>
        <v/>
      </c>
      <c r="W319">
        <f>HYPERLINK("https://klasma.github.io/Logging_MALA/klagomålsmail/A 47001-2019.docx", "A 47001-2019")</f>
        <v/>
      </c>
      <c r="X319">
        <f>HYPERLINK("https://klasma.github.io/Logging_MALA/tillsyn/A 47001-2019.docx", "A 47001-2019")</f>
        <v/>
      </c>
      <c r="Y319">
        <f>HYPERLINK("https://klasma.github.io/Logging_MALA/tillsynsmail/A 47001-2019.docx", "A 47001-2019")</f>
        <v/>
      </c>
    </row>
    <row r="320" ht="15" customHeight="1">
      <c r="A320" t="inlineStr">
        <is>
          <t>A 50909-2019</t>
        </is>
      </c>
      <c r="B320" s="1" t="n">
        <v>43738</v>
      </c>
      <c r="C320" s="1" t="n">
        <v>45204</v>
      </c>
      <c r="D320" t="inlineStr">
        <is>
          <t>VÄSTERBOTTENS LÄN</t>
        </is>
      </c>
      <c r="E320" t="inlineStr">
        <is>
          <t>ÅSELE</t>
        </is>
      </c>
      <c r="F320" t="inlineStr">
        <is>
          <t>Sveaskog</t>
        </is>
      </c>
      <c r="G320" t="n">
        <v>3.6</v>
      </c>
      <c r="H320" t="n">
        <v>1</v>
      </c>
      <c r="I320" t="n">
        <v>0</v>
      </c>
      <c r="J320" t="n">
        <v>3</v>
      </c>
      <c r="K320" t="n">
        <v>0</v>
      </c>
      <c r="L320" t="n">
        <v>0</v>
      </c>
      <c r="M320" t="n">
        <v>0</v>
      </c>
      <c r="N320" t="n">
        <v>0</v>
      </c>
      <c r="O320" t="n">
        <v>3</v>
      </c>
      <c r="P320" t="n">
        <v>0</v>
      </c>
      <c r="Q320" t="n">
        <v>3</v>
      </c>
      <c r="R320" s="2" t="inlineStr">
        <is>
          <t>Blanksvart spiklav
Blågrå svartspik
Tretåig hackspett</t>
        </is>
      </c>
      <c r="S320">
        <f>HYPERLINK("https://klasma.github.io/Logging_ASELE/artfynd/A 50909-2019.xlsx", "A 50909-2019")</f>
        <v/>
      </c>
      <c r="T320">
        <f>HYPERLINK("https://klasma.github.io/Logging_ASELE/kartor/A 50909-2019.png", "A 50909-2019")</f>
        <v/>
      </c>
      <c r="V320">
        <f>HYPERLINK("https://klasma.github.io/Logging_ASELE/klagomål/A 50909-2019.docx", "A 50909-2019")</f>
        <v/>
      </c>
      <c r="W320">
        <f>HYPERLINK("https://klasma.github.io/Logging_ASELE/klagomålsmail/A 50909-2019.docx", "A 50909-2019")</f>
        <v/>
      </c>
      <c r="X320">
        <f>HYPERLINK("https://klasma.github.io/Logging_ASELE/tillsyn/A 50909-2019.docx", "A 50909-2019")</f>
        <v/>
      </c>
      <c r="Y320">
        <f>HYPERLINK("https://klasma.github.io/Logging_ASELE/tillsynsmail/A 50909-2019.docx", "A 50909-2019")</f>
        <v/>
      </c>
    </row>
    <row r="321" ht="15" customHeight="1">
      <c r="A321" t="inlineStr">
        <is>
          <t>A 57209-2019</t>
        </is>
      </c>
      <c r="B321" s="1" t="n">
        <v>43767</v>
      </c>
      <c r="C321" s="1" t="n">
        <v>45204</v>
      </c>
      <c r="D321" t="inlineStr">
        <is>
          <t>VÄSTERBOTTENS LÄN</t>
        </is>
      </c>
      <c r="E321" t="inlineStr">
        <is>
          <t>MALÅ</t>
        </is>
      </c>
      <c r="F321" t="inlineStr">
        <is>
          <t>Sveaskog</t>
        </is>
      </c>
      <c r="G321" t="n">
        <v>7.7</v>
      </c>
      <c r="H321" t="n">
        <v>0</v>
      </c>
      <c r="I321" t="n">
        <v>1</v>
      </c>
      <c r="J321" t="n">
        <v>2</v>
      </c>
      <c r="K321" t="n">
        <v>0</v>
      </c>
      <c r="L321" t="n">
        <v>0</v>
      </c>
      <c r="M321" t="n">
        <v>0</v>
      </c>
      <c r="N321" t="n">
        <v>0</v>
      </c>
      <c r="O321" t="n">
        <v>2</v>
      </c>
      <c r="P321" t="n">
        <v>0</v>
      </c>
      <c r="Q321" t="n">
        <v>3</v>
      </c>
      <c r="R321" s="2" t="inlineStr">
        <is>
          <t>Gammelgransskål
Lunglav
Stuplav</t>
        </is>
      </c>
      <c r="S321">
        <f>HYPERLINK("https://klasma.github.io/Logging_MALA/artfynd/A 57209-2019.xlsx", "A 57209-2019")</f>
        <v/>
      </c>
      <c r="T321">
        <f>HYPERLINK("https://klasma.github.io/Logging_MALA/kartor/A 57209-2019.png", "A 57209-2019")</f>
        <v/>
      </c>
      <c r="V321">
        <f>HYPERLINK("https://klasma.github.io/Logging_MALA/klagomål/A 57209-2019.docx", "A 57209-2019")</f>
        <v/>
      </c>
      <c r="W321">
        <f>HYPERLINK("https://klasma.github.io/Logging_MALA/klagomålsmail/A 57209-2019.docx", "A 57209-2019")</f>
        <v/>
      </c>
      <c r="X321">
        <f>HYPERLINK("https://klasma.github.io/Logging_MALA/tillsyn/A 57209-2019.docx", "A 57209-2019")</f>
        <v/>
      </c>
      <c r="Y321">
        <f>HYPERLINK("https://klasma.github.io/Logging_MALA/tillsynsmail/A 57209-2019.docx", "A 57209-2019")</f>
        <v/>
      </c>
    </row>
    <row r="322" ht="15" customHeight="1">
      <c r="A322" t="inlineStr">
        <is>
          <t>A 64056-2019</t>
        </is>
      </c>
      <c r="B322" s="1" t="n">
        <v>43796</v>
      </c>
      <c r="C322" s="1" t="n">
        <v>45204</v>
      </c>
      <c r="D322" t="inlineStr">
        <is>
          <t>VÄSTERBOTTENS LÄN</t>
        </is>
      </c>
      <c r="E322" t="inlineStr">
        <is>
          <t>SKELLEFTEÅ</t>
        </is>
      </c>
      <c r="F322" t="inlineStr">
        <is>
          <t>Sveaskog</t>
        </is>
      </c>
      <c r="G322" t="n">
        <v>4.1</v>
      </c>
      <c r="H322" t="n">
        <v>0</v>
      </c>
      <c r="I322" t="n">
        <v>0</v>
      </c>
      <c r="J322" t="n">
        <v>3</v>
      </c>
      <c r="K322" t="n">
        <v>0</v>
      </c>
      <c r="L322" t="n">
        <v>0</v>
      </c>
      <c r="M322" t="n">
        <v>0</v>
      </c>
      <c r="N322" t="n">
        <v>0</v>
      </c>
      <c r="O322" t="n">
        <v>3</v>
      </c>
      <c r="P322" t="n">
        <v>0</v>
      </c>
      <c r="Q322" t="n">
        <v>3</v>
      </c>
      <c r="R322" s="2" t="inlineStr">
        <is>
          <t>Gammelgransskål
Garnlav
Lunglav</t>
        </is>
      </c>
      <c r="S322">
        <f>HYPERLINK("https://klasma.github.io/Logging_SKELLEFTEA/artfynd/A 64056-2019.xlsx", "A 64056-2019")</f>
        <v/>
      </c>
      <c r="T322">
        <f>HYPERLINK("https://klasma.github.io/Logging_SKELLEFTEA/kartor/A 64056-2019.png", "A 64056-2019")</f>
        <v/>
      </c>
      <c r="V322">
        <f>HYPERLINK("https://klasma.github.io/Logging_SKELLEFTEA/klagomål/A 64056-2019.docx", "A 64056-2019")</f>
        <v/>
      </c>
      <c r="W322">
        <f>HYPERLINK("https://klasma.github.io/Logging_SKELLEFTEA/klagomålsmail/A 64056-2019.docx", "A 64056-2019")</f>
        <v/>
      </c>
      <c r="X322">
        <f>HYPERLINK("https://klasma.github.io/Logging_SKELLEFTEA/tillsyn/A 64056-2019.docx", "A 64056-2019")</f>
        <v/>
      </c>
      <c r="Y322">
        <f>HYPERLINK("https://klasma.github.io/Logging_SKELLEFTEA/tillsynsmail/A 64056-2019.docx", "A 64056-2019")</f>
        <v/>
      </c>
    </row>
    <row r="323" ht="15" customHeight="1">
      <c r="A323" t="inlineStr">
        <is>
          <t>A 3109-2020</t>
        </is>
      </c>
      <c r="B323" s="1" t="n">
        <v>43851</v>
      </c>
      <c r="C323" s="1" t="n">
        <v>45204</v>
      </c>
      <c r="D323" t="inlineStr">
        <is>
          <t>VÄSTERBOTTENS LÄN</t>
        </is>
      </c>
      <c r="E323" t="inlineStr">
        <is>
          <t>UMEÅ</t>
        </is>
      </c>
      <c r="G323" t="n">
        <v>2.2</v>
      </c>
      <c r="H323" t="n">
        <v>1</v>
      </c>
      <c r="I323" t="n">
        <v>1</v>
      </c>
      <c r="J323" t="n">
        <v>1</v>
      </c>
      <c r="K323" t="n">
        <v>1</v>
      </c>
      <c r="L323" t="n">
        <v>0</v>
      </c>
      <c r="M323" t="n">
        <v>0</v>
      </c>
      <c r="N323" t="n">
        <v>0</v>
      </c>
      <c r="O323" t="n">
        <v>2</v>
      </c>
      <c r="P323" t="n">
        <v>1</v>
      </c>
      <c r="Q323" t="n">
        <v>3</v>
      </c>
      <c r="R323" s="2" t="inlineStr">
        <is>
          <t>Långskägg
Granticka
Vedticka</t>
        </is>
      </c>
      <c r="S323">
        <f>HYPERLINK("https://klasma.github.io/Logging_UMEA/artfynd/A 3109-2020.xlsx", "A 3109-2020")</f>
        <v/>
      </c>
      <c r="T323">
        <f>HYPERLINK("https://klasma.github.io/Logging_UMEA/kartor/A 3109-2020.png", "A 3109-2020")</f>
        <v/>
      </c>
      <c r="V323">
        <f>HYPERLINK("https://klasma.github.io/Logging_UMEA/klagomål/A 3109-2020.docx", "A 3109-2020")</f>
        <v/>
      </c>
      <c r="W323">
        <f>HYPERLINK("https://klasma.github.io/Logging_UMEA/klagomålsmail/A 3109-2020.docx", "A 3109-2020")</f>
        <v/>
      </c>
      <c r="X323">
        <f>HYPERLINK("https://klasma.github.io/Logging_UMEA/tillsyn/A 3109-2020.docx", "A 3109-2020")</f>
        <v/>
      </c>
      <c r="Y323">
        <f>HYPERLINK("https://klasma.github.io/Logging_UMEA/tillsynsmail/A 3109-2020.docx", "A 3109-2020")</f>
        <v/>
      </c>
    </row>
    <row r="324" ht="15" customHeight="1">
      <c r="A324" t="inlineStr">
        <is>
          <t>A 14267-2020</t>
        </is>
      </c>
      <c r="B324" s="1" t="n">
        <v>43901</v>
      </c>
      <c r="C324" s="1" t="n">
        <v>45204</v>
      </c>
      <c r="D324" t="inlineStr">
        <is>
          <t>VÄSTERBOTTENS LÄN</t>
        </is>
      </c>
      <c r="E324" t="inlineStr">
        <is>
          <t>UMEÅ</t>
        </is>
      </c>
      <c r="G324" t="n">
        <v>2.2</v>
      </c>
      <c r="H324" t="n">
        <v>1</v>
      </c>
      <c r="I324" t="n">
        <v>1</v>
      </c>
      <c r="J324" t="n">
        <v>2</v>
      </c>
      <c r="K324" t="n">
        <v>0</v>
      </c>
      <c r="L324" t="n">
        <v>0</v>
      </c>
      <c r="M324" t="n">
        <v>0</v>
      </c>
      <c r="N324" t="n">
        <v>0</v>
      </c>
      <c r="O324" t="n">
        <v>2</v>
      </c>
      <c r="P324" t="n">
        <v>0</v>
      </c>
      <c r="Q324" t="n">
        <v>3</v>
      </c>
      <c r="R324" s="2" t="inlineStr">
        <is>
          <t>Garnlav
Tretåig hackspett
Vedticka</t>
        </is>
      </c>
      <c r="S324">
        <f>HYPERLINK("https://klasma.github.io/Logging_UMEA/artfynd/A 14267-2020.xlsx", "A 14267-2020")</f>
        <v/>
      </c>
      <c r="T324">
        <f>HYPERLINK("https://klasma.github.io/Logging_UMEA/kartor/A 14267-2020.png", "A 14267-2020")</f>
        <v/>
      </c>
      <c r="V324">
        <f>HYPERLINK("https://klasma.github.io/Logging_UMEA/klagomål/A 14267-2020.docx", "A 14267-2020")</f>
        <v/>
      </c>
      <c r="W324">
        <f>HYPERLINK("https://klasma.github.io/Logging_UMEA/klagomålsmail/A 14267-2020.docx", "A 14267-2020")</f>
        <v/>
      </c>
      <c r="X324">
        <f>HYPERLINK("https://klasma.github.io/Logging_UMEA/tillsyn/A 14267-2020.docx", "A 14267-2020")</f>
        <v/>
      </c>
      <c r="Y324">
        <f>HYPERLINK("https://klasma.github.io/Logging_UMEA/tillsynsmail/A 14267-2020.docx", "A 14267-2020")</f>
        <v/>
      </c>
    </row>
    <row r="325" ht="15" customHeight="1">
      <c r="A325" t="inlineStr">
        <is>
          <t>A 17571-2020</t>
        </is>
      </c>
      <c r="B325" s="1" t="n">
        <v>43920</v>
      </c>
      <c r="C325" s="1" t="n">
        <v>45204</v>
      </c>
      <c r="D325" t="inlineStr">
        <is>
          <t>VÄSTERBOTTENS LÄN</t>
        </is>
      </c>
      <c r="E325" t="inlineStr">
        <is>
          <t>BJURHOLM</t>
        </is>
      </c>
      <c r="G325" t="n">
        <v>12.1</v>
      </c>
      <c r="H325" t="n">
        <v>0</v>
      </c>
      <c r="I325" t="n">
        <v>0</v>
      </c>
      <c r="J325" t="n">
        <v>3</v>
      </c>
      <c r="K325" t="n">
        <v>0</v>
      </c>
      <c r="L325" t="n">
        <v>0</v>
      </c>
      <c r="M325" t="n">
        <v>0</v>
      </c>
      <c r="N325" t="n">
        <v>0</v>
      </c>
      <c r="O325" t="n">
        <v>3</v>
      </c>
      <c r="P325" t="n">
        <v>0</v>
      </c>
      <c r="Q325" t="n">
        <v>3</v>
      </c>
      <c r="R325" s="2" t="inlineStr">
        <is>
          <t>Garnlav
Ullticka
Violettgrå tagellav</t>
        </is>
      </c>
      <c r="S325">
        <f>HYPERLINK("https://klasma.github.io/Logging_BJURHOLM/artfynd/A 17571-2020.xlsx", "A 17571-2020")</f>
        <v/>
      </c>
      <c r="T325">
        <f>HYPERLINK("https://klasma.github.io/Logging_BJURHOLM/kartor/A 17571-2020.png", "A 17571-2020")</f>
        <v/>
      </c>
      <c r="V325">
        <f>HYPERLINK("https://klasma.github.io/Logging_BJURHOLM/klagomål/A 17571-2020.docx", "A 17571-2020")</f>
        <v/>
      </c>
      <c r="W325">
        <f>HYPERLINK("https://klasma.github.io/Logging_BJURHOLM/klagomålsmail/A 17571-2020.docx", "A 17571-2020")</f>
        <v/>
      </c>
      <c r="X325">
        <f>HYPERLINK("https://klasma.github.io/Logging_BJURHOLM/tillsyn/A 17571-2020.docx", "A 17571-2020")</f>
        <v/>
      </c>
      <c r="Y325">
        <f>HYPERLINK("https://klasma.github.io/Logging_BJURHOLM/tillsynsmail/A 17571-2020.docx", "A 17571-2020")</f>
        <v/>
      </c>
    </row>
    <row r="326" ht="15" customHeight="1">
      <c r="A326" t="inlineStr">
        <is>
          <t>A 18717-2020</t>
        </is>
      </c>
      <c r="B326" s="1" t="n">
        <v>43930</v>
      </c>
      <c r="C326" s="1" t="n">
        <v>45204</v>
      </c>
      <c r="D326" t="inlineStr">
        <is>
          <t>VÄSTERBOTTENS LÄN</t>
        </is>
      </c>
      <c r="E326" t="inlineStr">
        <is>
          <t>NORDMALING</t>
        </is>
      </c>
      <c r="G326" t="n">
        <v>4.3</v>
      </c>
      <c r="H326" t="n">
        <v>0</v>
      </c>
      <c r="I326" t="n">
        <v>1</v>
      </c>
      <c r="J326" t="n">
        <v>2</v>
      </c>
      <c r="K326" t="n">
        <v>0</v>
      </c>
      <c r="L326" t="n">
        <v>0</v>
      </c>
      <c r="M326" t="n">
        <v>0</v>
      </c>
      <c r="N326" t="n">
        <v>0</v>
      </c>
      <c r="O326" t="n">
        <v>2</v>
      </c>
      <c r="P326" t="n">
        <v>0</v>
      </c>
      <c r="Q326" t="n">
        <v>3</v>
      </c>
      <c r="R326" s="2" t="inlineStr">
        <is>
          <t>Gammelgransskål
Vitgrynig nållav
Vedticka</t>
        </is>
      </c>
      <c r="S326">
        <f>HYPERLINK("https://klasma.github.io/Logging_NORDMALING/artfynd/A 18717-2020.xlsx", "A 18717-2020")</f>
        <v/>
      </c>
      <c r="T326">
        <f>HYPERLINK("https://klasma.github.io/Logging_NORDMALING/kartor/A 18717-2020.png", "A 18717-2020")</f>
        <v/>
      </c>
      <c r="V326">
        <f>HYPERLINK("https://klasma.github.io/Logging_NORDMALING/klagomål/A 18717-2020.docx", "A 18717-2020")</f>
        <v/>
      </c>
      <c r="W326">
        <f>HYPERLINK("https://klasma.github.io/Logging_NORDMALING/klagomålsmail/A 18717-2020.docx", "A 18717-2020")</f>
        <v/>
      </c>
      <c r="X326">
        <f>HYPERLINK("https://klasma.github.io/Logging_NORDMALING/tillsyn/A 18717-2020.docx", "A 18717-2020")</f>
        <v/>
      </c>
      <c r="Y326">
        <f>HYPERLINK("https://klasma.github.io/Logging_NORDMALING/tillsynsmail/A 18717-2020.docx", "A 18717-2020")</f>
        <v/>
      </c>
    </row>
    <row r="327" ht="15" customHeight="1">
      <c r="A327" t="inlineStr">
        <is>
          <t>A 26628-2020</t>
        </is>
      </c>
      <c r="B327" s="1" t="n">
        <v>43987</v>
      </c>
      <c r="C327" s="1" t="n">
        <v>45204</v>
      </c>
      <c r="D327" t="inlineStr">
        <is>
          <t>VÄSTERBOTTENS LÄN</t>
        </is>
      </c>
      <c r="E327" t="inlineStr">
        <is>
          <t>VILHELMINA</t>
        </is>
      </c>
      <c r="F327" t="inlineStr">
        <is>
          <t>SCA</t>
        </is>
      </c>
      <c r="G327" t="n">
        <v>8.9</v>
      </c>
      <c r="H327" t="n">
        <v>0</v>
      </c>
      <c r="I327" t="n">
        <v>1</v>
      </c>
      <c r="J327" t="n">
        <v>2</v>
      </c>
      <c r="K327" t="n">
        <v>0</v>
      </c>
      <c r="L327" t="n">
        <v>0</v>
      </c>
      <c r="M327" t="n">
        <v>0</v>
      </c>
      <c r="N327" t="n">
        <v>0</v>
      </c>
      <c r="O327" t="n">
        <v>2</v>
      </c>
      <c r="P327" t="n">
        <v>0</v>
      </c>
      <c r="Q327" t="n">
        <v>3</v>
      </c>
      <c r="R327" s="2" t="inlineStr">
        <is>
          <t>Granticka
Vitgrynig nållav
Vedticka</t>
        </is>
      </c>
      <c r="S327">
        <f>HYPERLINK("https://klasma.github.io/Logging_VILHELMINA/artfynd/A 26628-2020.xlsx", "A 26628-2020")</f>
        <v/>
      </c>
      <c r="T327">
        <f>HYPERLINK("https://klasma.github.io/Logging_VILHELMINA/kartor/A 26628-2020.png", "A 26628-2020")</f>
        <v/>
      </c>
      <c r="V327">
        <f>HYPERLINK("https://klasma.github.io/Logging_VILHELMINA/klagomål/A 26628-2020.docx", "A 26628-2020")</f>
        <v/>
      </c>
      <c r="W327">
        <f>HYPERLINK("https://klasma.github.io/Logging_VILHELMINA/klagomålsmail/A 26628-2020.docx", "A 26628-2020")</f>
        <v/>
      </c>
      <c r="X327">
        <f>HYPERLINK("https://klasma.github.io/Logging_VILHELMINA/tillsyn/A 26628-2020.docx", "A 26628-2020")</f>
        <v/>
      </c>
      <c r="Y327">
        <f>HYPERLINK("https://klasma.github.io/Logging_VILHELMINA/tillsynsmail/A 26628-2020.docx", "A 26628-2020")</f>
        <v/>
      </c>
    </row>
    <row r="328" ht="15" customHeight="1">
      <c r="A328" t="inlineStr">
        <is>
          <t>A 32940-2020</t>
        </is>
      </c>
      <c r="B328" s="1" t="n">
        <v>44018</v>
      </c>
      <c r="C328" s="1" t="n">
        <v>45204</v>
      </c>
      <c r="D328" t="inlineStr">
        <is>
          <t>VÄSTERBOTTENS LÄN</t>
        </is>
      </c>
      <c r="E328" t="inlineStr">
        <is>
          <t>SKELLEFTEÅ</t>
        </is>
      </c>
      <c r="G328" t="n">
        <v>15.6</v>
      </c>
      <c r="H328" t="n">
        <v>0</v>
      </c>
      <c r="I328" t="n">
        <v>1</v>
      </c>
      <c r="J328" t="n">
        <v>1</v>
      </c>
      <c r="K328" t="n">
        <v>1</v>
      </c>
      <c r="L328" t="n">
        <v>0</v>
      </c>
      <c r="M328" t="n">
        <v>0</v>
      </c>
      <c r="N328" t="n">
        <v>0</v>
      </c>
      <c r="O328" t="n">
        <v>2</v>
      </c>
      <c r="P328" t="n">
        <v>1</v>
      </c>
      <c r="Q328" t="n">
        <v>3</v>
      </c>
      <c r="R328" s="2" t="inlineStr">
        <is>
          <t>Goliatmusseron
Skrovlig taggsvamp
Dropptaggsvamp</t>
        </is>
      </c>
      <c r="S328">
        <f>HYPERLINK("https://klasma.github.io/Logging_SKELLEFTEA/artfynd/A 32940-2020.xlsx", "A 32940-2020")</f>
        <v/>
      </c>
      <c r="T328">
        <f>HYPERLINK("https://klasma.github.io/Logging_SKELLEFTEA/kartor/A 32940-2020.png", "A 32940-2020")</f>
        <v/>
      </c>
      <c r="V328">
        <f>HYPERLINK("https://klasma.github.io/Logging_SKELLEFTEA/klagomål/A 32940-2020.docx", "A 32940-2020")</f>
        <v/>
      </c>
      <c r="W328">
        <f>HYPERLINK("https://klasma.github.io/Logging_SKELLEFTEA/klagomålsmail/A 32940-2020.docx", "A 32940-2020")</f>
        <v/>
      </c>
      <c r="X328">
        <f>HYPERLINK("https://klasma.github.io/Logging_SKELLEFTEA/tillsyn/A 32940-2020.docx", "A 32940-2020")</f>
        <v/>
      </c>
      <c r="Y328">
        <f>HYPERLINK("https://klasma.github.io/Logging_SKELLEFTEA/tillsynsmail/A 32940-2020.docx", "A 32940-2020")</f>
        <v/>
      </c>
    </row>
    <row r="329" ht="15" customHeight="1">
      <c r="A329" t="inlineStr">
        <is>
          <t>A 35082-2020</t>
        </is>
      </c>
      <c r="B329" s="1" t="n">
        <v>44039</v>
      </c>
      <c r="C329" s="1" t="n">
        <v>45204</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HYPERLINK("https://klasma.github.io/Logging_VILHELMINA/artfynd/A 35082-2020.xlsx", "A 35082-2020")</f>
        <v/>
      </c>
      <c r="T329">
        <f>HYPERLINK("https://klasma.github.io/Logging_VILHELMINA/kartor/A 35082-2020.png", "A 35082-2020")</f>
        <v/>
      </c>
      <c r="V329">
        <f>HYPERLINK("https://klasma.github.io/Logging_VILHELMINA/klagomål/A 35082-2020.docx", "A 35082-2020")</f>
        <v/>
      </c>
      <c r="W329">
        <f>HYPERLINK("https://klasma.github.io/Logging_VILHELMINA/klagomålsmail/A 35082-2020.docx", "A 35082-2020")</f>
        <v/>
      </c>
      <c r="X329">
        <f>HYPERLINK("https://klasma.github.io/Logging_VILHELMINA/tillsyn/A 35082-2020.docx", "A 35082-2020")</f>
        <v/>
      </c>
      <c r="Y329">
        <f>HYPERLINK("https://klasma.github.io/Logging_VILHELMINA/tillsynsmail/A 35082-2020.docx", "A 35082-2020")</f>
        <v/>
      </c>
    </row>
    <row r="330" ht="15" customHeight="1">
      <c r="A330" t="inlineStr">
        <is>
          <t>A 40137-2020</t>
        </is>
      </c>
      <c r="B330" s="1" t="n">
        <v>44064</v>
      </c>
      <c r="C330" s="1" t="n">
        <v>45204</v>
      </c>
      <c r="D330" t="inlineStr">
        <is>
          <t>VÄSTERBOTTENS LÄN</t>
        </is>
      </c>
      <c r="E330" t="inlineStr">
        <is>
          <t>NORDMALING</t>
        </is>
      </c>
      <c r="G330" t="n">
        <v>0.8</v>
      </c>
      <c r="H330" t="n">
        <v>0</v>
      </c>
      <c r="I330" t="n">
        <v>2</v>
      </c>
      <c r="J330" t="n">
        <v>1</v>
      </c>
      <c r="K330" t="n">
        <v>0</v>
      </c>
      <c r="L330" t="n">
        <v>0</v>
      </c>
      <c r="M330" t="n">
        <v>0</v>
      </c>
      <c r="N330" t="n">
        <v>0</v>
      </c>
      <c r="O330" t="n">
        <v>1</v>
      </c>
      <c r="P330" t="n">
        <v>0</v>
      </c>
      <c r="Q330" t="n">
        <v>3</v>
      </c>
      <c r="R330" s="2" t="inlineStr">
        <is>
          <t>Ullticka
Bronshjon
Skinnlav</t>
        </is>
      </c>
      <c r="S330">
        <f>HYPERLINK("https://klasma.github.io/Logging_NORDMALING/artfynd/A 40137-2020.xlsx", "A 40137-2020")</f>
        <v/>
      </c>
      <c r="T330">
        <f>HYPERLINK("https://klasma.github.io/Logging_NORDMALING/kartor/A 40137-2020.png", "A 40137-2020")</f>
        <v/>
      </c>
      <c r="V330">
        <f>HYPERLINK("https://klasma.github.io/Logging_NORDMALING/klagomål/A 40137-2020.docx", "A 40137-2020")</f>
        <v/>
      </c>
      <c r="W330">
        <f>HYPERLINK("https://klasma.github.io/Logging_NORDMALING/klagomålsmail/A 40137-2020.docx", "A 40137-2020")</f>
        <v/>
      </c>
      <c r="X330">
        <f>HYPERLINK("https://klasma.github.io/Logging_NORDMALING/tillsyn/A 40137-2020.docx", "A 40137-2020")</f>
        <v/>
      </c>
      <c r="Y330">
        <f>HYPERLINK("https://klasma.github.io/Logging_NORDMALING/tillsynsmail/A 40137-2020.docx", "A 40137-2020")</f>
        <v/>
      </c>
    </row>
    <row r="331" ht="15" customHeight="1">
      <c r="A331" t="inlineStr">
        <is>
          <t>A 40098-2020</t>
        </is>
      </c>
      <c r="B331" s="1" t="n">
        <v>44068</v>
      </c>
      <c r="C331" s="1" t="n">
        <v>45204</v>
      </c>
      <c r="D331" t="inlineStr">
        <is>
          <t>VÄSTERBOTTENS LÄN</t>
        </is>
      </c>
      <c r="E331" t="inlineStr">
        <is>
          <t>ROBERTSFORS</t>
        </is>
      </c>
      <c r="F331" t="inlineStr">
        <is>
          <t>Holmen skog AB</t>
        </is>
      </c>
      <c r="G331" t="n">
        <v>4.6</v>
      </c>
      <c r="H331" t="n">
        <v>2</v>
      </c>
      <c r="I331" t="n">
        <v>0</v>
      </c>
      <c r="J331" t="n">
        <v>3</v>
      </c>
      <c r="K331" t="n">
        <v>0</v>
      </c>
      <c r="L331" t="n">
        <v>0</v>
      </c>
      <c r="M331" t="n">
        <v>0</v>
      </c>
      <c r="N331" t="n">
        <v>0</v>
      </c>
      <c r="O331" t="n">
        <v>3</v>
      </c>
      <c r="P331" t="n">
        <v>0</v>
      </c>
      <c r="Q331" t="n">
        <v>3</v>
      </c>
      <c r="R331" s="2" t="inlineStr">
        <is>
          <t>Garnlav
Spillkråka
Tretåig hackspett</t>
        </is>
      </c>
      <c r="S331">
        <f>HYPERLINK("https://klasma.github.io/Logging_ROBERTSFORS/artfynd/A 40098-2020.xlsx", "A 40098-2020")</f>
        <v/>
      </c>
      <c r="T331">
        <f>HYPERLINK("https://klasma.github.io/Logging_ROBERTSFORS/kartor/A 40098-2020.png", "A 40098-2020")</f>
        <v/>
      </c>
      <c r="V331">
        <f>HYPERLINK("https://klasma.github.io/Logging_ROBERTSFORS/klagomål/A 40098-2020.docx", "A 40098-2020")</f>
        <v/>
      </c>
      <c r="W331">
        <f>HYPERLINK("https://klasma.github.io/Logging_ROBERTSFORS/klagomålsmail/A 40098-2020.docx", "A 40098-2020")</f>
        <v/>
      </c>
      <c r="X331">
        <f>HYPERLINK("https://klasma.github.io/Logging_ROBERTSFORS/tillsyn/A 40098-2020.docx", "A 40098-2020")</f>
        <v/>
      </c>
      <c r="Y331">
        <f>HYPERLINK("https://klasma.github.io/Logging_ROBERTSFORS/tillsynsmail/A 40098-2020.docx", "A 40098-2020")</f>
        <v/>
      </c>
    </row>
    <row r="332" ht="15" customHeight="1">
      <c r="A332" t="inlineStr">
        <is>
          <t>A 40421-2020</t>
        </is>
      </c>
      <c r="B332" s="1" t="n">
        <v>44068</v>
      </c>
      <c r="C332" s="1" t="n">
        <v>45204</v>
      </c>
      <c r="D332" t="inlineStr">
        <is>
          <t>VÄSTERBOTTENS LÄN</t>
        </is>
      </c>
      <c r="E332" t="inlineStr">
        <is>
          <t>UMEÅ</t>
        </is>
      </c>
      <c r="F332" t="inlineStr">
        <is>
          <t>Kommuner</t>
        </is>
      </c>
      <c r="G332" t="n">
        <v>3</v>
      </c>
      <c r="H332" t="n">
        <v>1</v>
      </c>
      <c r="I332" t="n">
        <v>1</v>
      </c>
      <c r="J332" t="n">
        <v>2</v>
      </c>
      <c r="K332" t="n">
        <v>0</v>
      </c>
      <c r="L332" t="n">
        <v>0</v>
      </c>
      <c r="M332" t="n">
        <v>0</v>
      </c>
      <c r="N332" t="n">
        <v>0</v>
      </c>
      <c r="O332" t="n">
        <v>2</v>
      </c>
      <c r="P332" t="n">
        <v>0</v>
      </c>
      <c r="Q332" t="n">
        <v>3</v>
      </c>
      <c r="R332" s="2" t="inlineStr">
        <is>
          <t>Garnlav
Tretåig hackspett
Nästlav</t>
        </is>
      </c>
      <c r="S332">
        <f>HYPERLINK("https://klasma.github.io/Logging_UMEA/artfynd/A 40421-2020.xlsx", "A 40421-2020")</f>
        <v/>
      </c>
      <c r="T332">
        <f>HYPERLINK("https://klasma.github.io/Logging_UMEA/kartor/A 40421-2020.png", "A 40421-2020")</f>
        <v/>
      </c>
      <c r="V332">
        <f>HYPERLINK("https://klasma.github.io/Logging_UMEA/klagomål/A 40421-2020.docx", "A 40421-2020")</f>
        <v/>
      </c>
      <c r="W332">
        <f>HYPERLINK("https://klasma.github.io/Logging_UMEA/klagomålsmail/A 40421-2020.docx", "A 40421-2020")</f>
        <v/>
      </c>
      <c r="X332">
        <f>HYPERLINK("https://klasma.github.io/Logging_UMEA/tillsyn/A 40421-2020.docx", "A 40421-2020")</f>
        <v/>
      </c>
      <c r="Y332">
        <f>HYPERLINK("https://klasma.github.io/Logging_UMEA/tillsynsmail/A 40421-2020.docx", "A 40421-2020")</f>
        <v/>
      </c>
    </row>
    <row r="333" ht="15" customHeight="1">
      <c r="A333" t="inlineStr">
        <is>
          <t>A 51376-2020</t>
        </is>
      </c>
      <c r="B333" s="1" t="n">
        <v>44112</v>
      </c>
      <c r="C333" s="1" t="n">
        <v>45204</v>
      </c>
      <c r="D333" t="inlineStr">
        <is>
          <t>VÄSTERBOTTENS LÄN</t>
        </is>
      </c>
      <c r="E333" t="inlineStr">
        <is>
          <t>DOROTEA</t>
        </is>
      </c>
      <c r="F333" t="inlineStr">
        <is>
          <t>SCA</t>
        </is>
      </c>
      <c r="G333" t="n">
        <v>8</v>
      </c>
      <c r="H333" t="n">
        <v>0</v>
      </c>
      <c r="I333" t="n">
        <v>0</v>
      </c>
      <c r="J333" t="n">
        <v>3</v>
      </c>
      <c r="K333" t="n">
        <v>0</v>
      </c>
      <c r="L333" t="n">
        <v>0</v>
      </c>
      <c r="M333" t="n">
        <v>0</v>
      </c>
      <c r="N333" t="n">
        <v>0</v>
      </c>
      <c r="O333" t="n">
        <v>3</v>
      </c>
      <c r="P333" t="n">
        <v>0</v>
      </c>
      <c r="Q333" t="n">
        <v>3</v>
      </c>
      <c r="R333" s="2" t="inlineStr">
        <is>
          <t>Granticka
Harticka
Knottrig blåslav</t>
        </is>
      </c>
      <c r="S333">
        <f>HYPERLINK("https://klasma.github.io/Logging_DOROTEA/artfynd/A 51376-2020.xlsx", "A 51376-2020")</f>
        <v/>
      </c>
      <c r="T333">
        <f>HYPERLINK("https://klasma.github.io/Logging_DOROTEA/kartor/A 51376-2020.png", "A 51376-2020")</f>
        <v/>
      </c>
      <c r="V333">
        <f>HYPERLINK("https://klasma.github.io/Logging_DOROTEA/klagomål/A 51376-2020.docx", "A 51376-2020")</f>
        <v/>
      </c>
      <c r="W333">
        <f>HYPERLINK("https://klasma.github.io/Logging_DOROTEA/klagomålsmail/A 51376-2020.docx", "A 51376-2020")</f>
        <v/>
      </c>
      <c r="X333">
        <f>HYPERLINK("https://klasma.github.io/Logging_DOROTEA/tillsyn/A 51376-2020.docx", "A 51376-2020")</f>
        <v/>
      </c>
      <c r="Y333">
        <f>HYPERLINK("https://klasma.github.io/Logging_DOROTEA/tillsynsmail/A 51376-2020.docx", "A 51376-2020")</f>
        <v/>
      </c>
    </row>
    <row r="334" ht="15" customHeight="1">
      <c r="A334" t="inlineStr">
        <is>
          <t>A 55616-2020</t>
        </is>
      </c>
      <c r="B334" s="1" t="n">
        <v>44131</v>
      </c>
      <c r="C334" s="1" t="n">
        <v>45204</v>
      </c>
      <c r="D334" t="inlineStr">
        <is>
          <t>VÄSTERBOTTENS LÄN</t>
        </is>
      </c>
      <c r="E334" t="inlineStr">
        <is>
          <t>VINDELN</t>
        </is>
      </c>
      <c r="F334" t="inlineStr">
        <is>
          <t>Sveaskog</t>
        </is>
      </c>
      <c r="G334" t="n">
        <v>4.8</v>
      </c>
      <c r="H334" t="n">
        <v>0</v>
      </c>
      <c r="I334" t="n">
        <v>0</v>
      </c>
      <c r="J334" t="n">
        <v>3</v>
      </c>
      <c r="K334" t="n">
        <v>0</v>
      </c>
      <c r="L334" t="n">
        <v>0</v>
      </c>
      <c r="M334" t="n">
        <v>0</v>
      </c>
      <c r="N334" t="n">
        <v>0</v>
      </c>
      <c r="O334" t="n">
        <v>3</v>
      </c>
      <c r="P334" t="n">
        <v>0</v>
      </c>
      <c r="Q334" t="n">
        <v>3</v>
      </c>
      <c r="R334" s="2" t="inlineStr">
        <is>
          <t>Garnlav
Granticka
Violettgrå tagellav</t>
        </is>
      </c>
      <c r="S334">
        <f>HYPERLINK("https://klasma.github.io/Logging_VINDELN/artfynd/A 55616-2020.xlsx", "A 55616-2020")</f>
        <v/>
      </c>
      <c r="T334">
        <f>HYPERLINK("https://klasma.github.io/Logging_VINDELN/kartor/A 55616-2020.png", "A 55616-2020")</f>
        <v/>
      </c>
      <c r="V334">
        <f>HYPERLINK("https://klasma.github.io/Logging_VINDELN/klagomål/A 55616-2020.docx", "A 55616-2020")</f>
        <v/>
      </c>
      <c r="W334">
        <f>HYPERLINK("https://klasma.github.io/Logging_VINDELN/klagomålsmail/A 55616-2020.docx", "A 55616-2020")</f>
        <v/>
      </c>
      <c r="X334">
        <f>HYPERLINK("https://klasma.github.io/Logging_VINDELN/tillsyn/A 55616-2020.docx", "A 55616-2020")</f>
        <v/>
      </c>
      <c r="Y334">
        <f>HYPERLINK("https://klasma.github.io/Logging_VINDELN/tillsynsmail/A 55616-2020.docx", "A 55616-2020")</f>
        <v/>
      </c>
    </row>
    <row r="335" ht="15" customHeight="1">
      <c r="A335" t="inlineStr">
        <is>
          <t>A 55812-2020</t>
        </is>
      </c>
      <c r="B335" s="1" t="n">
        <v>44132</v>
      </c>
      <c r="C335" s="1" t="n">
        <v>45204</v>
      </c>
      <c r="D335" t="inlineStr">
        <is>
          <t>VÄSTERBOTTENS LÄN</t>
        </is>
      </c>
      <c r="E335" t="inlineStr">
        <is>
          <t>SKELLEFTEÅ</t>
        </is>
      </c>
      <c r="F335" t="inlineStr">
        <is>
          <t>Sveaskog</t>
        </is>
      </c>
      <c r="G335" t="n">
        <v>10.3</v>
      </c>
      <c r="H335" t="n">
        <v>0</v>
      </c>
      <c r="I335" t="n">
        <v>0</v>
      </c>
      <c r="J335" t="n">
        <v>3</v>
      </c>
      <c r="K335" t="n">
        <v>0</v>
      </c>
      <c r="L335" t="n">
        <v>0</v>
      </c>
      <c r="M335" t="n">
        <v>0</v>
      </c>
      <c r="N335" t="n">
        <v>0</v>
      </c>
      <c r="O335" t="n">
        <v>3</v>
      </c>
      <c r="P335" t="n">
        <v>0</v>
      </c>
      <c r="Q335" t="n">
        <v>3</v>
      </c>
      <c r="R335" s="2" t="inlineStr">
        <is>
          <t>Doftskinn
Garnlav
Ullticka</t>
        </is>
      </c>
      <c r="S335">
        <f>HYPERLINK("https://klasma.github.io/Logging_SKELLEFTEA/artfynd/A 55812-2020.xlsx", "A 55812-2020")</f>
        <v/>
      </c>
      <c r="T335">
        <f>HYPERLINK("https://klasma.github.io/Logging_SKELLEFTEA/kartor/A 55812-2020.png", "A 55812-2020")</f>
        <v/>
      </c>
      <c r="V335">
        <f>HYPERLINK("https://klasma.github.io/Logging_SKELLEFTEA/klagomål/A 55812-2020.docx", "A 55812-2020")</f>
        <v/>
      </c>
      <c r="W335">
        <f>HYPERLINK("https://klasma.github.io/Logging_SKELLEFTEA/klagomålsmail/A 55812-2020.docx", "A 55812-2020")</f>
        <v/>
      </c>
      <c r="X335">
        <f>HYPERLINK("https://klasma.github.io/Logging_SKELLEFTEA/tillsyn/A 55812-2020.docx", "A 55812-2020")</f>
        <v/>
      </c>
      <c r="Y335">
        <f>HYPERLINK("https://klasma.github.io/Logging_SKELLEFTEA/tillsynsmail/A 55812-2020.docx", "A 55812-2020")</f>
        <v/>
      </c>
    </row>
    <row r="336" ht="15" customHeight="1">
      <c r="A336" t="inlineStr">
        <is>
          <t>A 56668-2020</t>
        </is>
      </c>
      <c r="B336" s="1" t="n">
        <v>44137</v>
      </c>
      <c r="C336" s="1" t="n">
        <v>45204</v>
      </c>
      <c r="D336" t="inlineStr">
        <is>
          <t>VÄSTERBOTTENS LÄN</t>
        </is>
      </c>
      <c r="E336" t="inlineStr">
        <is>
          <t>SORSELE</t>
        </is>
      </c>
      <c r="G336" t="n">
        <v>22.5</v>
      </c>
      <c r="H336" t="n">
        <v>1</v>
      </c>
      <c r="I336" t="n">
        <v>0</v>
      </c>
      <c r="J336" t="n">
        <v>3</v>
      </c>
      <c r="K336" t="n">
        <v>0</v>
      </c>
      <c r="L336" t="n">
        <v>0</v>
      </c>
      <c r="M336" t="n">
        <v>0</v>
      </c>
      <c r="N336" t="n">
        <v>0</v>
      </c>
      <c r="O336" t="n">
        <v>3</v>
      </c>
      <c r="P336" t="n">
        <v>0</v>
      </c>
      <c r="Q336" t="n">
        <v>3</v>
      </c>
      <c r="R336" s="2" t="inlineStr">
        <is>
          <t>Granticka
Harticka
Tretåig hackspett</t>
        </is>
      </c>
      <c r="S336">
        <f>HYPERLINK("https://klasma.github.io/Logging_SORSELE/artfynd/A 56668-2020.xlsx", "A 56668-2020")</f>
        <v/>
      </c>
      <c r="T336">
        <f>HYPERLINK("https://klasma.github.io/Logging_SORSELE/kartor/A 56668-2020.png", "A 56668-2020")</f>
        <v/>
      </c>
      <c r="V336">
        <f>HYPERLINK("https://klasma.github.io/Logging_SORSELE/klagomål/A 56668-2020.docx", "A 56668-2020")</f>
        <v/>
      </c>
      <c r="W336">
        <f>HYPERLINK("https://klasma.github.io/Logging_SORSELE/klagomålsmail/A 56668-2020.docx", "A 56668-2020")</f>
        <v/>
      </c>
      <c r="X336">
        <f>HYPERLINK("https://klasma.github.io/Logging_SORSELE/tillsyn/A 56668-2020.docx", "A 56668-2020")</f>
        <v/>
      </c>
      <c r="Y336">
        <f>HYPERLINK("https://klasma.github.io/Logging_SORSELE/tillsynsmail/A 56668-2020.docx", "A 56668-2020")</f>
        <v/>
      </c>
    </row>
    <row r="337" ht="15" customHeight="1">
      <c r="A337" t="inlineStr">
        <is>
          <t>A 68690-2020</t>
        </is>
      </c>
      <c r="B337" s="1" t="n">
        <v>44186</v>
      </c>
      <c r="C337" s="1" t="n">
        <v>45204</v>
      </c>
      <c r="D337" t="inlineStr">
        <is>
          <t>VÄSTERBOTTENS LÄN</t>
        </is>
      </c>
      <c r="E337" t="inlineStr">
        <is>
          <t>SKELLEFTEÅ</t>
        </is>
      </c>
      <c r="G337" t="n">
        <v>6.1</v>
      </c>
      <c r="H337" t="n">
        <v>0</v>
      </c>
      <c r="I337" t="n">
        <v>1</v>
      </c>
      <c r="J337" t="n">
        <v>2</v>
      </c>
      <c r="K337" t="n">
        <v>0</v>
      </c>
      <c r="L337" t="n">
        <v>0</v>
      </c>
      <c r="M337" t="n">
        <v>0</v>
      </c>
      <c r="N337" t="n">
        <v>0</v>
      </c>
      <c r="O337" t="n">
        <v>2</v>
      </c>
      <c r="P337" t="n">
        <v>0</v>
      </c>
      <c r="Q337" t="n">
        <v>3</v>
      </c>
      <c r="R337" s="2" t="inlineStr">
        <is>
          <t>Garnlav
Ullticka
Vedticka</t>
        </is>
      </c>
      <c r="S337">
        <f>HYPERLINK("https://klasma.github.io/Logging_SKELLEFTEA/artfynd/A 68690-2020.xlsx", "A 68690-2020")</f>
        <v/>
      </c>
      <c r="T337">
        <f>HYPERLINK("https://klasma.github.io/Logging_SKELLEFTEA/kartor/A 68690-2020.png", "A 68690-2020")</f>
        <v/>
      </c>
      <c r="V337">
        <f>HYPERLINK("https://klasma.github.io/Logging_SKELLEFTEA/klagomål/A 68690-2020.docx", "A 68690-2020")</f>
        <v/>
      </c>
      <c r="W337">
        <f>HYPERLINK("https://klasma.github.io/Logging_SKELLEFTEA/klagomålsmail/A 68690-2020.docx", "A 68690-2020")</f>
        <v/>
      </c>
      <c r="X337">
        <f>HYPERLINK("https://klasma.github.io/Logging_SKELLEFTEA/tillsyn/A 68690-2020.docx", "A 68690-2020")</f>
        <v/>
      </c>
      <c r="Y337">
        <f>HYPERLINK("https://klasma.github.io/Logging_SKELLEFTEA/tillsynsmail/A 68690-2020.docx", "A 68690-2020")</f>
        <v/>
      </c>
    </row>
    <row r="338" ht="15" customHeight="1">
      <c r="A338" t="inlineStr">
        <is>
          <t>A 16152-2021</t>
        </is>
      </c>
      <c r="B338" s="1" t="n">
        <v>44287</v>
      </c>
      <c r="C338" s="1" t="n">
        <v>45204</v>
      </c>
      <c r="D338" t="inlineStr">
        <is>
          <t>VÄSTERBOTTENS LÄN</t>
        </is>
      </c>
      <c r="E338" t="inlineStr">
        <is>
          <t>SKELLEFTEÅ</t>
        </is>
      </c>
      <c r="G338" t="n">
        <v>3.4</v>
      </c>
      <c r="H338" t="n">
        <v>0</v>
      </c>
      <c r="I338" t="n">
        <v>1</v>
      </c>
      <c r="J338" t="n">
        <v>1</v>
      </c>
      <c r="K338" t="n">
        <v>1</v>
      </c>
      <c r="L338" t="n">
        <v>0</v>
      </c>
      <c r="M338" t="n">
        <v>0</v>
      </c>
      <c r="N338" t="n">
        <v>0</v>
      </c>
      <c r="O338" t="n">
        <v>2</v>
      </c>
      <c r="P338" t="n">
        <v>1</v>
      </c>
      <c r="Q338" t="n">
        <v>3</v>
      </c>
      <c r="R338" s="2" t="inlineStr">
        <is>
          <t>Goliatmusseron
Granticka
Vedticka</t>
        </is>
      </c>
      <c r="S338">
        <f>HYPERLINK("https://klasma.github.io/Logging_SKELLEFTEA/artfynd/A 16152-2021.xlsx", "A 16152-2021")</f>
        <v/>
      </c>
      <c r="T338">
        <f>HYPERLINK("https://klasma.github.io/Logging_SKELLEFTEA/kartor/A 16152-2021.png", "A 16152-2021")</f>
        <v/>
      </c>
      <c r="V338">
        <f>HYPERLINK("https://klasma.github.io/Logging_SKELLEFTEA/klagomål/A 16152-2021.docx", "A 16152-2021")</f>
        <v/>
      </c>
      <c r="W338">
        <f>HYPERLINK("https://klasma.github.io/Logging_SKELLEFTEA/klagomålsmail/A 16152-2021.docx", "A 16152-2021")</f>
        <v/>
      </c>
      <c r="X338">
        <f>HYPERLINK("https://klasma.github.io/Logging_SKELLEFTEA/tillsyn/A 16152-2021.docx", "A 16152-2021")</f>
        <v/>
      </c>
      <c r="Y338">
        <f>HYPERLINK("https://klasma.github.io/Logging_SKELLEFTEA/tillsynsmail/A 16152-2021.docx", "A 16152-2021")</f>
        <v/>
      </c>
    </row>
    <row r="339" ht="15" customHeight="1">
      <c r="A339" t="inlineStr">
        <is>
          <t>A 21287-2021</t>
        </is>
      </c>
      <c r="B339" s="1" t="n">
        <v>44320</v>
      </c>
      <c r="C339" s="1" t="n">
        <v>45204</v>
      </c>
      <c r="D339" t="inlineStr">
        <is>
          <t>VÄSTERBOTTENS LÄN</t>
        </is>
      </c>
      <c r="E339" t="inlineStr">
        <is>
          <t>UMEÅ</t>
        </is>
      </c>
      <c r="G339" t="n">
        <v>2.9</v>
      </c>
      <c r="H339" t="n">
        <v>2</v>
      </c>
      <c r="I339" t="n">
        <v>0</v>
      </c>
      <c r="J339" t="n">
        <v>3</v>
      </c>
      <c r="K339" t="n">
        <v>0</v>
      </c>
      <c r="L339" t="n">
        <v>0</v>
      </c>
      <c r="M339" t="n">
        <v>0</v>
      </c>
      <c r="N339" t="n">
        <v>0</v>
      </c>
      <c r="O339" t="n">
        <v>3</v>
      </c>
      <c r="P339" t="n">
        <v>0</v>
      </c>
      <c r="Q339" t="n">
        <v>3</v>
      </c>
      <c r="R339" s="2" t="inlineStr">
        <is>
          <t>Brunlångöra
Nordfladdermus
Violmussling</t>
        </is>
      </c>
      <c r="S339">
        <f>HYPERLINK("https://klasma.github.io/Logging_UMEA/artfynd/A 21287-2021.xlsx", "A 21287-2021")</f>
        <v/>
      </c>
      <c r="T339">
        <f>HYPERLINK("https://klasma.github.io/Logging_UMEA/kartor/A 21287-2021.png", "A 21287-2021")</f>
        <v/>
      </c>
      <c r="V339">
        <f>HYPERLINK("https://klasma.github.io/Logging_UMEA/klagomål/A 21287-2021.docx", "A 21287-2021")</f>
        <v/>
      </c>
      <c r="W339">
        <f>HYPERLINK("https://klasma.github.io/Logging_UMEA/klagomålsmail/A 21287-2021.docx", "A 21287-2021")</f>
        <v/>
      </c>
      <c r="X339">
        <f>HYPERLINK("https://klasma.github.io/Logging_UMEA/tillsyn/A 21287-2021.docx", "A 21287-2021")</f>
        <v/>
      </c>
      <c r="Y339">
        <f>HYPERLINK("https://klasma.github.io/Logging_UMEA/tillsynsmail/A 21287-2021.docx", "A 21287-2021")</f>
        <v/>
      </c>
    </row>
    <row r="340" ht="15" customHeight="1">
      <c r="A340" t="inlineStr">
        <is>
          <t>A 32918-2021</t>
        </is>
      </c>
      <c r="B340" s="1" t="n">
        <v>44375</v>
      </c>
      <c r="C340" s="1" t="n">
        <v>45204</v>
      </c>
      <c r="D340" t="inlineStr">
        <is>
          <t>VÄSTERBOTTENS LÄN</t>
        </is>
      </c>
      <c r="E340" t="inlineStr">
        <is>
          <t>SKELLEFTEÅ</t>
        </is>
      </c>
      <c r="F340" t="inlineStr">
        <is>
          <t>SCA</t>
        </is>
      </c>
      <c r="G340" t="n">
        <v>16.7</v>
      </c>
      <c r="H340" t="n">
        <v>0</v>
      </c>
      <c r="I340" t="n">
        <v>1</v>
      </c>
      <c r="J340" t="n">
        <v>2</v>
      </c>
      <c r="K340" t="n">
        <v>0</v>
      </c>
      <c r="L340" t="n">
        <v>0</v>
      </c>
      <c r="M340" t="n">
        <v>0</v>
      </c>
      <c r="N340" t="n">
        <v>0</v>
      </c>
      <c r="O340" t="n">
        <v>2</v>
      </c>
      <c r="P340" t="n">
        <v>0</v>
      </c>
      <c r="Q340" t="n">
        <v>3</v>
      </c>
      <c r="R340" s="2" t="inlineStr">
        <is>
          <t>Blå taggsvamp
Tallticka
Dropptaggsvamp</t>
        </is>
      </c>
      <c r="S340">
        <f>HYPERLINK("https://klasma.github.io/Logging_SKELLEFTEA/artfynd/A 32918-2021.xlsx", "A 32918-2021")</f>
        <v/>
      </c>
      <c r="T340">
        <f>HYPERLINK("https://klasma.github.io/Logging_SKELLEFTEA/kartor/A 32918-2021.png", "A 32918-2021")</f>
        <v/>
      </c>
      <c r="V340">
        <f>HYPERLINK("https://klasma.github.io/Logging_SKELLEFTEA/klagomål/A 32918-2021.docx", "A 32918-2021")</f>
        <v/>
      </c>
      <c r="W340">
        <f>HYPERLINK("https://klasma.github.io/Logging_SKELLEFTEA/klagomålsmail/A 32918-2021.docx", "A 32918-2021")</f>
        <v/>
      </c>
      <c r="X340">
        <f>HYPERLINK("https://klasma.github.io/Logging_SKELLEFTEA/tillsyn/A 32918-2021.docx", "A 32918-2021")</f>
        <v/>
      </c>
      <c r="Y340">
        <f>HYPERLINK("https://klasma.github.io/Logging_SKELLEFTEA/tillsynsmail/A 32918-2021.docx", "A 32918-2021")</f>
        <v/>
      </c>
    </row>
    <row r="341" ht="15" customHeight="1">
      <c r="A341" t="inlineStr">
        <is>
          <t>A 34718-2021</t>
        </is>
      </c>
      <c r="B341" s="1" t="n">
        <v>44382</v>
      </c>
      <c r="C341" s="1" t="n">
        <v>45204</v>
      </c>
      <c r="D341" t="inlineStr">
        <is>
          <t>VÄSTERBOTTENS LÄN</t>
        </is>
      </c>
      <c r="E341" t="inlineStr">
        <is>
          <t>VILHELMINA</t>
        </is>
      </c>
      <c r="F341" t="inlineStr">
        <is>
          <t>Allmännings- och besparingsskogar</t>
        </is>
      </c>
      <c r="G341" t="n">
        <v>8</v>
      </c>
      <c r="H341" t="n">
        <v>0</v>
      </c>
      <c r="I341" t="n">
        <v>0</v>
      </c>
      <c r="J341" t="n">
        <v>3</v>
      </c>
      <c r="K341" t="n">
        <v>0</v>
      </c>
      <c r="L341" t="n">
        <v>0</v>
      </c>
      <c r="M341" t="n">
        <v>0</v>
      </c>
      <c r="N341" t="n">
        <v>0</v>
      </c>
      <c r="O341" t="n">
        <v>3</v>
      </c>
      <c r="P341" t="n">
        <v>0</v>
      </c>
      <c r="Q341" t="n">
        <v>3</v>
      </c>
      <c r="R341" s="2" t="inlineStr">
        <is>
          <t>Garnlav
Granticka
Gränsticka</t>
        </is>
      </c>
      <c r="S341">
        <f>HYPERLINK("https://klasma.github.io/Logging_VILHELMINA/artfynd/A 34718-2021.xlsx", "A 34718-2021")</f>
        <v/>
      </c>
      <c r="T341">
        <f>HYPERLINK("https://klasma.github.io/Logging_VILHELMINA/kartor/A 34718-2021.png", "A 34718-2021")</f>
        <v/>
      </c>
      <c r="V341">
        <f>HYPERLINK("https://klasma.github.io/Logging_VILHELMINA/klagomål/A 34718-2021.docx", "A 34718-2021")</f>
        <v/>
      </c>
      <c r="W341">
        <f>HYPERLINK("https://klasma.github.io/Logging_VILHELMINA/klagomålsmail/A 34718-2021.docx", "A 34718-2021")</f>
        <v/>
      </c>
      <c r="X341">
        <f>HYPERLINK("https://klasma.github.io/Logging_VILHELMINA/tillsyn/A 34718-2021.docx", "A 34718-2021")</f>
        <v/>
      </c>
      <c r="Y341">
        <f>HYPERLINK("https://klasma.github.io/Logging_VILHELMINA/tillsynsmail/A 34718-2021.docx", "A 34718-2021")</f>
        <v/>
      </c>
    </row>
    <row r="342" ht="15" customHeight="1">
      <c r="A342" t="inlineStr">
        <is>
          <t>A 40209-2021</t>
        </is>
      </c>
      <c r="B342" s="1" t="n">
        <v>44418</v>
      </c>
      <c r="C342" s="1" t="n">
        <v>45204</v>
      </c>
      <c r="D342" t="inlineStr">
        <is>
          <t>VÄSTERBOTTENS LÄN</t>
        </is>
      </c>
      <c r="E342" t="inlineStr">
        <is>
          <t>ÅSELE</t>
        </is>
      </c>
      <c r="G342" t="n">
        <v>13.3</v>
      </c>
      <c r="H342" t="n">
        <v>0</v>
      </c>
      <c r="I342" t="n">
        <v>3</v>
      </c>
      <c r="J342" t="n">
        <v>0</v>
      </c>
      <c r="K342" t="n">
        <v>0</v>
      </c>
      <c r="L342" t="n">
        <v>0</v>
      </c>
      <c r="M342" t="n">
        <v>0</v>
      </c>
      <c r="N342" t="n">
        <v>0</v>
      </c>
      <c r="O342" t="n">
        <v>0</v>
      </c>
      <c r="P342" t="n">
        <v>0</v>
      </c>
      <c r="Q342" t="n">
        <v>3</v>
      </c>
      <c r="R342" s="2" t="inlineStr">
        <is>
          <t>Grovticka
Stor aspticka
Vedticka</t>
        </is>
      </c>
      <c r="S342">
        <f>HYPERLINK("https://klasma.github.io/Logging_ASELE/artfynd/A 40209-2021.xlsx", "A 40209-2021")</f>
        <v/>
      </c>
      <c r="T342">
        <f>HYPERLINK("https://klasma.github.io/Logging_ASELE/kartor/A 40209-2021.png", "A 40209-2021")</f>
        <v/>
      </c>
      <c r="V342">
        <f>HYPERLINK("https://klasma.github.io/Logging_ASELE/klagomål/A 40209-2021.docx", "A 40209-2021")</f>
        <v/>
      </c>
      <c r="W342">
        <f>HYPERLINK("https://klasma.github.io/Logging_ASELE/klagomålsmail/A 40209-2021.docx", "A 40209-2021")</f>
        <v/>
      </c>
      <c r="X342">
        <f>HYPERLINK("https://klasma.github.io/Logging_ASELE/tillsyn/A 40209-2021.docx", "A 40209-2021")</f>
        <v/>
      </c>
      <c r="Y342">
        <f>HYPERLINK("https://klasma.github.io/Logging_ASELE/tillsynsmail/A 40209-2021.docx", "A 40209-2021")</f>
        <v/>
      </c>
    </row>
    <row r="343" ht="15" customHeight="1">
      <c r="A343" t="inlineStr">
        <is>
          <t>A 40687-2021</t>
        </is>
      </c>
      <c r="B343" s="1" t="n">
        <v>44420</v>
      </c>
      <c r="C343" s="1" t="n">
        <v>45204</v>
      </c>
      <c r="D343" t="inlineStr">
        <is>
          <t>VÄSTERBOTTENS LÄN</t>
        </is>
      </c>
      <c r="E343" t="inlineStr">
        <is>
          <t>VILHELMINA</t>
        </is>
      </c>
      <c r="G343" t="n">
        <v>5.4</v>
      </c>
      <c r="H343" t="n">
        <v>1</v>
      </c>
      <c r="I343" t="n">
        <v>1</v>
      </c>
      <c r="J343" t="n">
        <v>2</v>
      </c>
      <c r="K343" t="n">
        <v>0</v>
      </c>
      <c r="L343" t="n">
        <v>0</v>
      </c>
      <c r="M343" t="n">
        <v>0</v>
      </c>
      <c r="N343" t="n">
        <v>0</v>
      </c>
      <c r="O343" t="n">
        <v>2</v>
      </c>
      <c r="P343" t="n">
        <v>0</v>
      </c>
      <c r="Q343" t="n">
        <v>3</v>
      </c>
      <c r="R343" s="2" t="inlineStr">
        <is>
          <t>Garnlav
Granticka
Spindelblomster</t>
        </is>
      </c>
      <c r="S343">
        <f>HYPERLINK("https://klasma.github.io/Logging_VILHELMINA/artfynd/A 40687-2021.xlsx", "A 40687-2021")</f>
        <v/>
      </c>
      <c r="T343">
        <f>HYPERLINK("https://klasma.github.io/Logging_VILHELMINA/kartor/A 40687-2021.png", "A 40687-2021")</f>
        <v/>
      </c>
      <c r="V343">
        <f>HYPERLINK("https://klasma.github.io/Logging_VILHELMINA/klagomål/A 40687-2021.docx", "A 40687-2021")</f>
        <v/>
      </c>
      <c r="W343">
        <f>HYPERLINK("https://klasma.github.io/Logging_VILHELMINA/klagomålsmail/A 40687-2021.docx", "A 40687-2021")</f>
        <v/>
      </c>
      <c r="X343">
        <f>HYPERLINK("https://klasma.github.io/Logging_VILHELMINA/tillsyn/A 40687-2021.docx", "A 40687-2021")</f>
        <v/>
      </c>
      <c r="Y343">
        <f>HYPERLINK("https://klasma.github.io/Logging_VILHELMINA/tillsynsmail/A 40687-2021.docx", "A 40687-2021")</f>
        <v/>
      </c>
    </row>
    <row r="344" ht="15" customHeight="1">
      <c r="A344" t="inlineStr">
        <is>
          <t>A 43272-2021</t>
        </is>
      </c>
      <c r="B344" s="1" t="n">
        <v>44432</v>
      </c>
      <c r="C344" s="1" t="n">
        <v>45204</v>
      </c>
      <c r="D344" t="inlineStr">
        <is>
          <t>VÄSTERBOTTENS LÄN</t>
        </is>
      </c>
      <c r="E344" t="inlineStr">
        <is>
          <t>SORSELE</t>
        </is>
      </c>
      <c r="G344" t="n">
        <v>24.4</v>
      </c>
      <c r="H344" t="n">
        <v>1</v>
      </c>
      <c r="I344" t="n">
        <v>0</v>
      </c>
      <c r="J344" t="n">
        <v>3</v>
      </c>
      <c r="K344" t="n">
        <v>0</v>
      </c>
      <c r="L344" t="n">
        <v>0</v>
      </c>
      <c r="M344" t="n">
        <v>0</v>
      </c>
      <c r="N344" t="n">
        <v>0</v>
      </c>
      <c r="O344" t="n">
        <v>3</v>
      </c>
      <c r="P344" t="n">
        <v>0</v>
      </c>
      <c r="Q344" t="n">
        <v>3</v>
      </c>
      <c r="R344" s="2" t="inlineStr">
        <is>
          <t>Garnlav
Granticka
Tretåig hackspett</t>
        </is>
      </c>
      <c r="S344">
        <f>HYPERLINK("https://klasma.github.io/Logging_SORSELE/artfynd/A 43272-2021.xlsx", "A 43272-2021")</f>
        <v/>
      </c>
      <c r="T344">
        <f>HYPERLINK("https://klasma.github.io/Logging_SORSELE/kartor/A 43272-2021.png", "A 43272-2021")</f>
        <v/>
      </c>
      <c r="V344">
        <f>HYPERLINK("https://klasma.github.io/Logging_SORSELE/klagomål/A 43272-2021.docx", "A 43272-2021")</f>
        <v/>
      </c>
      <c r="W344">
        <f>HYPERLINK("https://klasma.github.io/Logging_SORSELE/klagomålsmail/A 43272-2021.docx", "A 43272-2021")</f>
        <v/>
      </c>
      <c r="X344">
        <f>HYPERLINK("https://klasma.github.io/Logging_SORSELE/tillsyn/A 43272-2021.docx", "A 43272-2021")</f>
        <v/>
      </c>
      <c r="Y344">
        <f>HYPERLINK("https://klasma.github.io/Logging_SORSELE/tillsynsmail/A 43272-2021.docx", "A 43272-2021")</f>
        <v/>
      </c>
    </row>
    <row r="345" ht="15" customHeight="1">
      <c r="A345" t="inlineStr">
        <is>
          <t>A 47498-2021</t>
        </is>
      </c>
      <c r="B345" s="1" t="n">
        <v>44447</v>
      </c>
      <c r="C345" s="1" t="n">
        <v>45204</v>
      </c>
      <c r="D345" t="inlineStr">
        <is>
          <t>VÄSTERBOTTENS LÄN</t>
        </is>
      </c>
      <c r="E345" t="inlineStr">
        <is>
          <t>LYCKSELE</t>
        </is>
      </c>
      <c r="F345" t="inlineStr">
        <is>
          <t>Sveaskog</t>
        </is>
      </c>
      <c r="G345" t="n">
        <v>4.6</v>
      </c>
      <c r="H345" t="n">
        <v>1</v>
      </c>
      <c r="I345" t="n">
        <v>2</v>
      </c>
      <c r="J345" t="n">
        <v>0</v>
      </c>
      <c r="K345" t="n">
        <v>1</v>
      </c>
      <c r="L345" t="n">
        <v>0</v>
      </c>
      <c r="M345" t="n">
        <v>0</v>
      </c>
      <c r="N345" t="n">
        <v>0</v>
      </c>
      <c r="O345" t="n">
        <v>1</v>
      </c>
      <c r="P345" t="n">
        <v>1</v>
      </c>
      <c r="Q345" t="n">
        <v>3</v>
      </c>
      <c r="R345" s="2" t="inlineStr">
        <is>
          <t>Doftticka
Skinnlav
Stuplav</t>
        </is>
      </c>
      <c r="S345">
        <f>HYPERLINK("https://klasma.github.io/Logging_LYCKSELE/artfynd/A 47498-2021.xlsx", "A 47498-2021")</f>
        <v/>
      </c>
      <c r="T345">
        <f>HYPERLINK("https://klasma.github.io/Logging_LYCKSELE/kartor/A 47498-2021.png", "A 47498-2021")</f>
        <v/>
      </c>
      <c r="V345">
        <f>HYPERLINK("https://klasma.github.io/Logging_LYCKSELE/klagomål/A 47498-2021.docx", "A 47498-2021")</f>
        <v/>
      </c>
      <c r="W345">
        <f>HYPERLINK("https://klasma.github.io/Logging_LYCKSELE/klagomålsmail/A 47498-2021.docx", "A 47498-2021")</f>
        <v/>
      </c>
      <c r="X345">
        <f>HYPERLINK("https://klasma.github.io/Logging_LYCKSELE/tillsyn/A 47498-2021.docx", "A 47498-2021")</f>
        <v/>
      </c>
      <c r="Y345">
        <f>HYPERLINK("https://klasma.github.io/Logging_LYCKSELE/tillsynsmail/A 47498-2021.docx", "A 47498-2021")</f>
        <v/>
      </c>
    </row>
    <row r="346" ht="15" customHeight="1">
      <c r="A346" t="inlineStr">
        <is>
          <t>A 51644-2021</t>
        </is>
      </c>
      <c r="B346" s="1" t="n">
        <v>44462</v>
      </c>
      <c r="C346" s="1" t="n">
        <v>45204</v>
      </c>
      <c r="D346" t="inlineStr">
        <is>
          <t>VÄSTERBOTTENS LÄN</t>
        </is>
      </c>
      <c r="E346" t="inlineStr">
        <is>
          <t>NORSJÖ</t>
        </is>
      </c>
      <c r="F346" t="inlineStr">
        <is>
          <t>Sveaskog</t>
        </is>
      </c>
      <c r="G346" t="n">
        <v>11.9</v>
      </c>
      <c r="H346" t="n">
        <v>0</v>
      </c>
      <c r="I346" t="n">
        <v>2</v>
      </c>
      <c r="J346" t="n">
        <v>1</v>
      </c>
      <c r="K346" t="n">
        <v>0</v>
      </c>
      <c r="L346" t="n">
        <v>0</v>
      </c>
      <c r="M346" t="n">
        <v>0</v>
      </c>
      <c r="N346" t="n">
        <v>0</v>
      </c>
      <c r="O346" t="n">
        <v>1</v>
      </c>
      <c r="P346" t="n">
        <v>0</v>
      </c>
      <c r="Q346" t="n">
        <v>3</v>
      </c>
      <c r="R346" s="2" t="inlineStr">
        <is>
          <t>Garnlav
Bårdlav
Stuplav</t>
        </is>
      </c>
      <c r="S346">
        <f>HYPERLINK("https://klasma.github.io/Logging_NORSJO/artfynd/A 51644-2021.xlsx", "A 51644-2021")</f>
        <v/>
      </c>
      <c r="T346">
        <f>HYPERLINK("https://klasma.github.io/Logging_NORSJO/kartor/A 51644-2021.png", "A 51644-2021")</f>
        <v/>
      </c>
      <c r="V346">
        <f>HYPERLINK("https://klasma.github.io/Logging_NORSJO/klagomål/A 51644-2021.docx", "A 51644-2021")</f>
        <v/>
      </c>
      <c r="W346">
        <f>HYPERLINK("https://klasma.github.io/Logging_NORSJO/klagomålsmail/A 51644-2021.docx", "A 51644-2021")</f>
        <v/>
      </c>
      <c r="X346">
        <f>HYPERLINK("https://klasma.github.io/Logging_NORSJO/tillsyn/A 51644-2021.docx", "A 51644-2021")</f>
        <v/>
      </c>
      <c r="Y346">
        <f>HYPERLINK("https://klasma.github.io/Logging_NORSJO/tillsynsmail/A 51644-2021.docx", "A 51644-2021")</f>
        <v/>
      </c>
    </row>
    <row r="347" ht="15" customHeight="1">
      <c r="A347" t="inlineStr">
        <is>
          <t>A 51714-2021</t>
        </is>
      </c>
      <c r="B347" s="1" t="n">
        <v>44462</v>
      </c>
      <c r="C347" s="1" t="n">
        <v>45204</v>
      </c>
      <c r="D347" t="inlineStr">
        <is>
          <t>VÄSTERBOTTENS LÄN</t>
        </is>
      </c>
      <c r="E347" t="inlineStr">
        <is>
          <t>BJURHOLM</t>
        </is>
      </c>
      <c r="F347" t="inlineStr">
        <is>
          <t>Sveaskog</t>
        </is>
      </c>
      <c r="G347" t="n">
        <v>8.1</v>
      </c>
      <c r="H347" t="n">
        <v>1</v>
      </c>
      <c r="I347" t="n">
        <v>1</v>
      </c>
      <c r="J347" t="n">
        <v>2</v>
      </c>
      <c r="K347" t="n">
        <v>0</v>
      </c>
      <c r="L347" t="n">
        <v>0</v>
      </c>
      <c r="M347" t="n">
        <v>0</v>
      </c>
      <c r="N347" t="n">
        <v>0</v>
      </c>
      <c r="O347" t="n">
        <v>2</v>
      </c>
      <c r="P347" t="n">
        <v>0</v>
      </c>
      <c r="Q347" t="n">
        <v>3</v>
      </c>
      <c r="R347" s="2" t="inlineStr">
        <is>
          <t>Lunglav
Tretåig hackspett
Stuplav</t>
        </is>
      </c>
      <c r="S347">
        <f>HYPERLINK("https://klasma.github.io/Logging_BJURHOLM/artfynd/A 51714-2021.xlsx", "A 51714-2021")</f>
        <v/>
      </c>
      <c r="T347">
        <f>HYPERLINK("https://klasma.github.io/Logging_BJURHOLM/kartor/A 51714-2021.png", "A 51714-2021")</f>
        <v/>
      </c>
      <c r="V347">
        <f>HYPERLINK("https://klasma.github.io/Logging_BJURHOLM/klagomål/A 51714-2021.docx", "A 51714-2021")</f>
        <v/>
      </c>
      <c r="W347">
        <f>HYPERLINK("https://klasma.github.io/Logging_BJURHOLM/klagomålsmail/A 51714-2021.docx", "A 51714-2021")</f>
        <v/>
      </c>
      <c r="X347">
        <f>HYPERLINK("https://klasma.github.io/Logging_BJURHOLM/tillsyn/A 51714-2021.docx", "A 51714-2021")</f>
        <v/>
      </c>
      <c r="Y347">
        <f>HYPERLINK("https://klasma.github.io/Logging_BJURHOLM/tillsynsmail/A 51714-2021.docx", "A 51714-2021")</f>
        <v/>
      </c>
    </row>
    <row r="348" ht="15" customHeight="1">
      <c r="A348" t="inlineStr">
        <is>
          <t>A 61172-2021</t>
        </is>
      </c>
      <c r="B348" s="1" t="n">
        <v>44498</v>
      </c>
      <c r="C348" s="1" t="n">
        <v>45204</v>
      </c>
      <c r="D348" t="inlineStr">
        <is>
          <t>VÄSTERBOTTENS LÄN</t>
        </is>
      </c>
      <c r="E348" t="inlineStr">
        <is>
          <t>LYCKSELE</t>
        </is>
      </c>
      <c r="F348" t="inlineStr">
        <is>
          <t>Sveaskog</t>
        </is>
      </c>
      <c r="G348" t="n">
        <v>1.8</v>
      </c>
      <c r="H348" t="n">
        <v>0</v>
      </c>
      <c r="I348" t="n">
        <v>0</v>
      </c>
      <c r="J348" t="n">
        <v>2</v>
      </c>
      <c r="K348" t="n">
        <v>1</v>
      </c>
      <c r="L348" t="n">
        <v>0</v>
      </c>
      <c r="M348" t="n">
        <v>0</v>
      </c>
      <c r="N348" t="n">
        <v>0</v>
      </c>
      <c r="O348" t="n">
        <v>3</v>
      </c>
      <c r="P348" t="n">
        <v>1</v>
      </c>
      <c r="Q348" t="n">
        <v>3</v>
      </c>
      <c r="R348" s="2" t="inlineStr">
        <is>
          <t>Jättemusseron
Kolflarnlav
Nordtagging</t>
        </is>
      </c>
      <c r="S348">
        <f>HYPERLINK("https://klasma.github.io/Logging_LYCKSELE/artfynd/A 61172-2021.xlsx", "A 61172-2021")</f>
        <v/>
      </c>
      <c r="T348">
        <f>HYPERLINK("https://klasma.github.io/Logging_LYCKSELE/kartor/A 61172-2021.png", "A 61172-2021")</f>
        <v/>
      </c>
      <c r="V348">
        <f>HYPERLINK("https://klasma.github.io/Logging_LYCKSELE/klagomål/A 61172-2021.docx", "A 61172-2021")</f>
        <v/>
      </c>
      <c r="W348">
        <f>HYPERLINK("https://klasma.github.io/Logging_LYCKSELE/klagomålsmail/A 61172-2021.docx", "A 61172-2021")</f>
        <v/>
      </c>
      <c r="X348">
        <f>HYPERLINK("https://klasma.github.io/Logging_LYCKSELE/tillsyn/A 61172-2021.docx", "A 61172-2021")</f>
        <v/>
      </c>
      <c r="Y348">
        <f>HYPERLINK("https://klasma.github.io/Logging_LYCKSELE/tillsynsmail/A 61172-2021.docx", "A 61172-2021")</f>
        <v/>
      </c>
    </row>
    <row r="349" ht="15" customHeight="1">
      <c r="A349" t="inlineStr">
        <is>
          <t>A 61747-2021</t>
        </is>
      </c>
      <c r="B349" s="1" t="n">
        <v>44501</v>
      </c>
      <c r="C349" s="1" t="n">
        <v>45204</v>
      </c>
      <c r="D349" t="inlineStr">
        <is>
          <t>VÄSTERBOTTENS LÄN</t>
        </is>
      </c>
      <c r="E349" t="inlineStr">
        <is>
          <t>LYCKSELE</t>
        </is>
      </c>
      <c r="F349" t="inlineStr">
        <is>
          <t>Sveaskog</t>
        </is>
      </c>
      <c r="G349" t="n">
        <v>15.1</v>
      </c>
      <c r="H349" t="n">
        <v>0</v>
      </c>
      <c r="I349" t="n">
        <v>2</v>
      </c>
      <c r="J349" t="n">
        <v>1</v>
      </c>
      <c r="K349" t="n">
        <v>0</v>
      </c>
      <c r="L349" t="n">
        <v>0</v>
      </c>
      <c r="M349" t="n">
        <v>0</v>
      </c>
      <c r="N349" t="n">
        <v>0</v>
      </c>
      <c r="O349" t="n">
        <v>1</v>
      </c>
      <c r="P349" t="n">
        <v>0</v>
      </c>
      <c r="Q349" t="n">
        <v>3</v>
      </c>
      <c r="R349" s="2" t="inlineStr">
        <is>
          <t>Vaddporing
Dropptaggsvamp
Fjällig taggsvamp s.str.</t>
        </is>
      </c>
      <c r="S349">
        <f>HYPERLINK("https://klasma.github.io/Logging_LYCKSELE/artfynd/A 61747-2021.xlsx", "A 61747-2021")</f>
        <v/>
      </c>
      <c r="T349">
        <f>HYPERLINK("https://klasma.github.io/Logging_LYCKSELE/kartor/A 61747-2021.png", "A 61747-2021")</f>
        <v/>
      </c>
      <c r="V349">
        <f>HYPERLINK("https://klasma.github.io/Logging_LYCKSELE/klagomål/A 61747-2021.docx", "A 61747-2021")</f>
        <v/>
      </c>
      <c r="W349">
        <f>HYPERLINK("https://klasma.github.io/Logging_LYCKSELE/klagomålsmail/A 61747-2021.docx", "A 61747-2021")</f>
        <v/>
      </c>
      <c r="X349">
        <f>HYPERLINK("https://klasma.github.io/Logging_LYCKSELE/tillsyn/A 61747-2021.docx", "A 61747-2021")</f>
        <v/>
      </c>
      <c r="Y349">
        <f>HYPERLINK("https://klasma.github.io/Logging_LYCKSELE/tillsynsmail/A 61747-2021.docx", "A 61747-2021")</f>
        <v/>
      </c>
    </row>
    <row r="350" ht="15" customHeight="1">
      <c r="A350" t="inlineStr">
        <is>
          <t>A 62340-2021</t>
        </is>
      </c>
      <c r="B350" s="1" t="n">
        <v>44503</v>
      </c>
      <c r="C350" s="1" t="n">
        <v>45204</v>
      </c>
      <c r="D350" t="inlineStr">
        <is>
          <t>VÄSTERBOTTENS LÄN</t>
        </is>
      </c>
      <c r="E350" t="inlineStr">
        <is>
          <t>SKELLEFTEÅ</t>
        </is>
      </c>
      <c r="G350" t="n">
        <v>3.9</v>
      </c>
      <c r="H350" t="n">
        <v>0</v>
      </c>
      <c r="I350" t="n">
        <v>2</v>
      </c>
      <c r="J350" t="n">
        <v>1</v>
      </c>
      <c r="K350" t="n">
        <v>0</v>
      </c>
      <c r="L350" t="n">
        <v>0</v>
      </c>
      <c r="M350" t="n">
        <v>0</v>
      </c>
      <c r="N350" t="n">
        <v>0</v>
      </c>
      <c r="O350" t="n">
        <v>1</v>
      </c>
      <c r="P350" t="n">
        <v>0</v>
      </c>
      <c r="Q350" t="n">
        <v>3</v>
      </c>
      <c r="R350" s="2" t="inlineStr">
        <is>
          <t>Garnlav
Dropptaggsvamp
Vedticka</t>
        </is>
      </c>
      <c r="S350">
        <f>HYPERLINK("https://klasma.github.io/Logging_SKELLEFTEA/artfynd/A 62340-2021.xlsx", "A 62340-2021")</f>
        <v/>
      </c>
      <c r="T350">
        <f>HYPERLINK("https://klasma.github.io/Logging_SKELLEFTEA/kartor/A 62340-2021.png", "A 62340-2021")</f>
        <v/>
      </c>
      <c r="V350">
        <f>HYPERLINK("https://klasma.github.io/Logging_SKELLEFTEA/klagomål/A 62340-2021.docx", "A 62340-2021")</f>
        <v/>
      </c>
      <c r="W350">
        <f>HYPERLINK("https://klasma.github.io/Logging_SKELLEFTEA/klagomålsmail/A 62340-2021.docx", "A 62340-2021")</f>
        <v/>
      </c>
      <c r="X350">
        <f>HYPERLINK("https://klasma.github.io/Logging_SKELLEFTEA/tillsyn/A 62340-2021.docx", "A 62340-2021")</f>
        <v/>
      </c>
      <c r="Y350">
        <f>HYPERLINK("https://klasma.github.io/Logging_SKELLEFTEA/tillsynsmail/A 62340-2021.docx", "A 62340-2021")</f>
        <v/>
      </c>
    </row>
    <row r="351" ht="15" customHeight="1">
      <c r="A351" t="inlineStr">
        <is>
          <t>A 3412-2022</t>
        </is>
      </c>
      <c r="B351" s="1" t="n">
        <v>44585</v>
      </c>
      <c r="C351" s="1" t="n">
        <v>45204</v>
      </c>
      <c r="D351" t="inlineStr">
        <is>
          <t>VÄSTERBOTTENS LÄN</t>
        </is>
      </c>
      <c r="E351" t="inlineStr">
        <is>
          <t>STORUMAN</t>
        </is>
      </c>
      <c r="G351" t="n">
        <v>0.7</v>
      </c>
      <c r="H351" t="n">
        <v>2</v>
      </c>
      <c r="I351" t="n">
        <v>1</v>
      </c>
      <c r="J351" t="n">
        <v>1</v>
      </c>
      <c r="K351" t="n">
        <v>0</v>
      </c>
      <c r="L351" t="n">
        <v>0</v>
      </c>
      <c r="M351" t="n">
        <v>0</v>
      </c>
      <c r="N351" t="n">
        <v>0</v>
      </c>
      <c r="O351" t="n">
        <v>1</v>
      </c>
      <c r="P351" t="n">
        <v>0</v>
      </c>
      <c r="Q351" t="n">
        <v>3</v>
      </c>
      <c r="R351" s="2" t="inlineStr">
        <is>
          <t>Garnlav
Spindelblomster
Skogsrör</t>
        </is>
      </c>
      <c r="S351">
        <f>HYPERLINK("https://klasma.github.io/Logging_STORUMAN/artfynd/A 3412-2022.xlsx", "A 3412-2022")</f>
        <v/>
      </c>
      <c r="T351">
        <f>HYPERLINK("https://klasma.github.io/Logging_STORUMAN/kartor/A 3412-2022.png", "A 3412-2022")</f>
        <v/>
      </c>
      <c r="V351">
        <f>HYPERLINK("https://klasma.github.io/Logging_STORUMAN/klagomål/A 3412-2022.docx", "A 3412-2022")</f>
        <v/>
      </c>
      <c r="W351">
        <f>HYPERLINK("https://klasma.github.io/Logging_STORUMAN/klagomålsmail/A 3412-2022.docx", "A 3412-2022")</f>
        <v/>
      </c>
      <c r="X351">
        <f>HYPERLINK("https://klasma.github.io/Logging_STORUMAN/tillsyn/A 3412-2022.docx", "A 3412-2022")</f>
        <v/>
      </c>
      <c r="Y351">
        <f>HYPERLINK("https://klasma.github.io/Logging_STORUMAN/tillsynsmail/A 3412-2022.docx", "A 3412-2022")</f>
        <v/>
      </c>
    </row>
    <row r="352" ht="15" customHeight="1">
      <c r="A352" t="inlineStr">
        <is>
          <t>A 4245-2022</t>
        </is>
      </c>
      <c r="B352" s="1" t="n">
        <v>44588</v>
      </c>
      <c r="C352" s="1" t="n">
        <v>45204</v>
      </c>
      <c r="D352" t="inlineStr">
        <is>
          <t>VÄSTERBOTTENS LÄN</t>
        </is>
      </c>
      <c r="E352" t="inlineStr">
        <is>
          <t>SKELLEFTEÅ</t>
        </is>
      </c>
      <c r="G352" t="n">
        <v>0.2</v>
      </c>
      <c r="H352" t="n">
        <v>0</v>
      </c>
      <c r="I352" t="n">
        <v>0</v>
      </c>
      <c r="J352" t="n">
        <v>3</v>
      </c>
      <c r="K352" t="n">
        <v>0</v>
      </c>
      <c r="L352" t="n">
        <v>0</v>
      </c>
      <c r="M352" t="n">
        <v>0</v>
      </c>
      <c r="N352" t="n">
        <v>0</v>
      </c>
      <c r="O352" t="n">
        <v>3</v>
      </c>
      <c r="P352" t="n">
        <v>0</v>
      </c>
      <c r="Q352" t="n">
        <v>3</v>
      </c>
      <c r="R352" s="2" t="inlineStr">
        <is>
          <t>Garnlav
Granticka
Harticka</t>
        </is>
      </c>
      <c r="S352">
        <f>HYPERLINK("https://klasma.github.io/Logging_SKELLEFTEA/artfynd/A 4245-2022.xlsx", "A 4245-2022")</f>
        <v/>
      </c>
      <c r="T352">
        <f>HYPERLINK("https://klasma.github.io/Logging_SKELLEFTEA/kartor/A 4245-2022.png", "A 4245-2022")</f>
        <v/>
      </c>
      <c r="V352">
        <f>HYPERLINK("https://klasma.github.io/Logging_SKELLEFTEA/klagomål/A 4245-2022.docx", "A 4245-2022")</f>
        <v/>
      </c>
      <c r="W352">
        <f>HYPERLINK("https://klasma.github.io/Logging_SKELLEFTEA/klagomålsmail/A 4245-2022.docx", "A 4245-2022")</f>
        <v/>
      </c>
      <c r="X352">
        <f>HYPERLINK("https://klasma.github.io/Logging_SKELLEFTEA/tillsyn/A 4245-2022.docx", "A 4245-2022")</f>
        <v/>
      </c>
      <c r="Y352">
        <f>HYPERLINK("https://klasma.github.io/Logging_SKELLEFTEA/tillsynsmail/A 4245-2022.docx", "A 4245-2022")</f>
        <v/>
      </c>
    </row>
    <row r="353" ht="15" customHeight="1">
      <c r="A353" t="inlineStr">
        <is>
          <t>A 9195-2022</t>
        </is>
      </c>
      <c r="B353" s="1" t="n">
        <v>44615</v>
      </c>
      <c r="C353" s="1" t="n">
        <v>45204</v>
      </c>
      <c r="D353" t="inlineStr">
        <is>
          <t>VÄSTERBOTTENS LÄN</t>
        </is>
      </c>
      <c r="E353" t="inlineStr">
        <is>
          <t>UMEÅ</t>
        </is>
      </c>
      <c r="G353" t="n">
        <v>2</v>
      </c>
      <c r="H353" t="n">
        <v>1</v>
      </c>
      <c r="I353" t="n">
        <v>1</v>
      </c>
      <c r="J353" t="n">
        <v>2</v>
      </c>
      <c r="K353" t="n">
        <v>0</v>
      </c>
      <c r="L353" t="n">
        <v>0</v>
      </c>
      <c r="M353" t="n">
        <v>0</v>
      </c>
      <c r="N353" t="n">
        <v>0</v>
      </c>
      <c r="O353" t="n">
        <v>2</v>
      </c>
      <c r="P353" t="n">
        <v>0</v>
      </c>
      <c r="Q353" t="n">
        <v>3</v>
      </c>
      <c r="R353" s="2" t="inlineStr">
        <is>
          <t>Lunglav
Talltita
Skinnlav</t>
        </is>
      </c>
      <c r="S353">
        <f>HYPERLINK("https://klasma.github.io/Logging_UMEA/artfynd/A 9195-2022.xlsx", "A 9195-2022")</f>
        <v/>
      </c>
      <c r="T353">
        <f>HYPERLINK("https://klasma.github.io/Logging_UMEA/kartor/A 9195-2022.png", "A 9195-2022")</f>
        <v/>
      </c>
      <c r="V353">
        <f>HYPERLINK("https://klasma.github.io/Logging_UMEA/klagomål/A 9195-2022.docx", "A 9195-2022")</f>
        <v/>
      </c>
      <c r="W353">
        <f>HYPERLINK("https://klasma.github.io/Logging_UMEA/klagomålsmail/A 9195-2022.docx", "A 9195-2022")</f>
        <v/>
      </c>
      <c r="X353">
        <f>HYPERLINK("https://klasma.github.io/Logging_UMEA/tillsyn/A 9195-2022.docx", "A 9195-2022")</f>
        <v/>
      </c>
      <c r="Y353">
        <f>HYPERLINK("https://klasma.github.io/Logging_UMEA/tillsynsmail/A 9195-2022.docx", "A 9195-2022")</f>
        <v/>
      </c>
    </row>
    <row r="354" ht="15" customHeight="1">
      <c r="A354" t="inlineStr">
        <is>
          <t>A 11867-2022</t>
        </is>
      </c>
      <c r="B354" s="1" t="n">
        <v>44635</v>
      </c>
      <c r="C354" s="1" t="n">
        <v>45204</v>
      </c>
      <c r="D354" t="inlineStr">
        <is>
          <t>VÄSTERBOTTENS LÄN</t>
        </is>
      </c>
      <c r="E354" t="inlineStr">
        <is>
          <t>SKELLEFTEÅ</t>
        </is>
      </c>
      <c r="G354" t="n">
        <v>5</v>
      </c>
      <c r="H354" t="n">
        <v>0</v>
      </c>
      <c r="I354" t="n">
        <v>0</v>
      </c>
      <c r="J354" t="n">
        <v>2</v>
      </c>
      <c r="K354" t="n">
        <v>1</v>
      </c>
      <c r="L354" t="n">
        <v>0</v>
      </c>
      <c r="M354" t="n">
        <v>0</v>
      </c>
      <c r="N354" t="n">
        <v>0</v>
      </c>
      <c r="O354" t="n">
        <v>3</v>
      </c>
      <c r="P354" t="n">
        <v>1</v>
      </c>
      <c r="Q354" t="n">
        <v>3</v>
      </c>
      <c r="R354" s="2" t="inlineStr">
        <is>
          <t>Nordlig flatbagge
Skrovlig flatbagge
Violettgrå tagellav</t>
        </is>
      </c>
      <c r="S354">
        <f>HYPERLINK("https://klasma.github.io/Logging_SKELLEFTEA/artfynd/A 11867-2022.xlsx", "A 11867-2022")</f>
        <v/>
      </c>
      <c r="T354">
        <f>HYPERLINK("https://klasma.github.io/Logging_SKELLEFTEA/kartor/A 11867-2022.png", "A 11867-2022")</f>
        <v/>
      </c>
      <c r="V354">
        <f>HYPERLINK("https://klasma.github.io/Logging_SKELLEFTEA/klagomål/A 11867-2022.docx", "A 11867-2022")</f>
        <v/>
      </c>
      <c r="W354">
        <f>HYPERLINK("https://klasma.github.io/Logging_SKELLEFTEA/klagomålsmail/A 11867-2022.docx", "A 11867-2022")</f>
        <v/>
      </c>
      <c r="X354">
        <f>HYPERLINK("https://klasma.github.io/Logging_SKELLEFTEA/tillsyn/A 11867-2022.docx", "A 11867-2022")</f>
        <v/>
      </c>
      <c r="Y354">
        <f>HYPERLINK("https://klasma.github.io/Logging_SKELLEFTEA/tillsynsmail/A 11867-2022.docx", "A 11867-2022")</f>
        <v/>
      </c>
    </row>
    <row r="355" ht="15" customHeight="1">
      <c r="A355" t="inlineStr">
        <is>
          <t>A 14498-2022</t>
        </is>
      </c>
      <c r="B355" s="1" t="n">
        <v>44655</v>
      </c>
      <c r="C355" s="1" t="n">
        <v>45204</v>
      </c>
      <c r="D355" t="inlineStr">
        <is>
          <t>VÄSTERBOTTENS LÄN</t>
        </is>
      </c>
      <c r="E355" t="inlineStr">
        <is>
          <t>SKELLEFTEÅ</t>
        </is>
      </c>
      <c r="G355" t="n">
        <v>8.6</v>
      </c>
      <c r="H355" t="n">
        <v>0</v>
      </c>
      <c r="I355" t="n">
        <v>0</v>
      </c>
      <c r="J355" t="n">
        <v>3</v>
      </c>
      <c r="K355" t="n">
        <v>0</v>
      </c>
      <c r="L355" t="n">
        <v>0</v>
      </c>
      <c r="M355" t="n">
        <v>0</v>
      </c>
      <c r="N355" t="n">
        <v>0</v>
      </c>
      <c r="O355" t="n">
        <v>3</v>
      </c>
      <c r="P355" t="n">
        <v>0</v>
      </c>
      <c r="Q355" t="n">
        <v>3</v>
      </c>
      <c r="R355" s="2" t="inlineStr">
        <is>
          <t>Garnlav
Granticka
Ullticka</t>
        </is>
      </c>
      <c r="S355">
        <f>HYPERLINK("https://klasma.github.io/Logging_SKELLEFTEA/artfynd/A 14498-2022.xlsx", "A 14498-2022")</f>
        <v/>
      </c>
      <c r="T355">
        <f>HYPERLINK("https://klasma.github.io/Logging_SKELLEFTEA/kartor/A 14498-2022.png", "A 14498-2022")</f>
        <v/>
      </c>
      <c r="V355">
        <f>HYPERLINK("https://klasma.github.io/Logging_SKELLEFTEA/klagomål/A 14498-2022.docx", "A 14498-2022")</f>
        <v/>
      </c>
      <c r="W355">
        <f>HYPERLINK("https://klasma.github.io/Logging_SKELLEFTEA/klagomålsmail/A 14498-2022.docx", "A 14498-2022")</f>
        <v/>
      </c>
      <c r="X355">
        <f>HYPERLINK("https://klasma.github.io/Logging_SKELLEFTEA/tillsyn/A 14498-2022.docx", "A 14498-2022")</f>
        <v/>
      </c>
      <c r="Y355">
        <f>HYPERLINK("https://klasma.github.io/Logging_SKELLEFTEA/tillsynsmail/A 14498-2022.docx", "A 14498-2022")</f>
        <v/>
      </c>
    </row>
    <row r="356" ht="15" customHeight="1">
      <c r="A356" t="inlineStr">
        <is>
          <t>A 22607-2022</t>
        </is>
      </c>
      <c r="B356" s="1" t="n">
        <v>44714</v>
      </c>
      <c r="C356" s="1" t="n">
        <v>45204</v>
      </c>
      <c r="D356" t="inlineStr">
        <is>
          <t>VÄSTERBOTTENS LÄN</t>
        </is>
      </c>
      <c r="E356" t="inlineStr">
        <is>
          <t>UMEÅ</t>
        </is>
      </c>
      <c r="G356" t="n">
        <v>3.1</v>
      </c>
      <c r="H356" t="n">
        <v>1</v>
      </c>
      <c r="I356" t="n">
        <v>1</v>
      </c>
      <c r="J356" t="n">
        <v>2</v>
      </c>
      <c r="K356" t="n">
        <v>0</v>
      </c>
      <c r="L356" t="n">
        <v>0</v>
      </c>
      <c r="M356" t="n">
        <v>0</v>
      </c>
      <c r="N356" t="n">
        <v>0</v>
      </c>
      <c r="O356" t="n">
        <v>2</v>
      </c>
      <c r="P356" t="n">
        <v>0</v>
      </c>
      <c r="Q356" t="n">
        <v>3</v>
      </c>
      <c r="R356" s="2" t="inlineStr">
        <is>
          <t>Gammelgransskål
Tretåig hackspett
Vedticka</t>
        </is>
      </c>
      <c r="S356">
        <f>HYPERLINK("https://klasma.github.io/Logging_UMEA/artfynd/A 22607-2022.xlsx", "A 22607-2022")</f>
        <v/>
      </c>
      <c r="T356">
        <f>HYPERLINK("https://klasma.github.io/Logging_UMEA/kartor/A 22607-2022.png", "A 22607-2022")</f>
        <v/>
      </c>
      <c r="V356">
        <f>HYPERLINK("https://klasma.github.io/Logging_UMEA/klagomål/A 22607-2022.docx", "A 22607-2022")</f>
        <v/>
      </c>
      <c r="W356">
        <f>HYPERLINK("https://klasma.github.io/Logging_UMEA/klagomålsmail/A 22607-2022.docx", "A 22607-2022")</f>
        <v/>
      </c>
      <c r="X356">
        <f>HYPERLINK("https://klasma.github.io/Logging_UMEA/tillsyn/A 22607-2022.docx", "A 22607-2022")</f>
        <v/>
      </c>
      <c r="Y356">
        <f>HYPERLINK("https://klasma.github.io/Logging_UMEA/tillsynsmail/A 22607-2022.docx", "A 22607-2022")</f>
        <v/>
      </c>
    </row>
    <row r="357" ht="15" customHeight="1">
      <c r="A357" t="inlineStr">
        <is>
          <t>A 25503-2022</t>
        </is>
      </c>
      <c r="B357" s="1" t="n">
        <v>44732</v>
      </c>
      <c r="C357" s="1" t="n">
        <v>45204</v>
      </c>
      <c r="D357" t="inlineStr">
        <is>
          <t>VÄSTERBOTTENS LÄN</t>
        </is>
      </c>
      <c r="E357" t="inlineStr">
        <is>
          <t>VILHELMINA</t>
        </is>
      </c>
      <c r="G357" t="n">
        <v>1.9</v>
      </c>
      <c r="H357" t="n">
        <v>0</v>
      </c>
      <c r="I357" t="n">
        <v>3</v>
      </c>
      <c r="J357" t="n">
        <v>0</v>
      </c>
      <c r="K357" t="n">
        <v>0</v>
      </c>
      <c r="L357" t="n">
        <v>0</v>
      </c>
      <c r="M357" t="n">
        <v>0</v>
      </c>
      <c r="N357" t="n">
        <v>0</v>
      </c>
      <c r="O357" t="n">
        <v>0</v>
      </c>
      <c r="P357" t="n">
        <v>0</v>
      </c>
      <c r="Q357" t="n">
        <v>3</v>
      </c>
      <c r="R357" s="2" t="inlineStr">
        <is>
          <t>Gulnål
Skinnlav
Stuplav</t>
        </is>
      </c>
      <c r="S357">
        <f>HYPERLINK("https://klasma.github.io/Logging_VILHELMINA/artfynd/A 25503-2022.xlsx", "A 25503-2022")</f>
        <v/>
      </c>
      <c r="T357">
        <f>HYPERLINK("https://klasma.github.io/Logging_VILHELMINA/kartor/A 25503-2022.png", "A 25503-2022")</f>
        <v/>
      </c>
      <c r="V357">
        <f>HYPERLINK("https://klasma.github.io/Logging_VILHELMINA/klagomål/A 25503-2022.docx", "A 25503-2022")</f>
        <v/>
      </c>
      <c r="W357">
        <f>HYPERLINK("https://klasma.github.io/Logging_VILHELMINA/klagomålsmail/A 25503-2022.docx", "A 25503-2022")</f>
        <v/>
      </c>
      <c r="X357">
        <f>HYPERLINK("https://klasma.github.io/Logging_VILHELMINA/tillsyn/A 25503-2022.docx", "A 25503-2022")</f>
        <v/>
      </c>
      <c r="Y357">
        <f>HYPERLINK("https://klasma.github.io/Logging_VILHELMINA/tillsynsmail/A 25503-2022.docx", "A 25503-2022")</f>
        <v/>
      </c>
    </row>
    <row r="358" ht="15" customHeight="1">
      <c r="A358" t="inlineStr">
        <is>
          <t>A 28420-2022</t>
        </is>
      </c>
      <c r="B358" s="1" t="n">
        <v>44747</v>
      </c>
      <c r="C358" s="1" t="n">
        <v>45204</v>
      </c>
      <c r="D358" t="inlineStr">
        <is>
          <t>VÄSTERBOTTENS LÄN</t>
        </is>
      </c>
      <c r="E358" t="inlineStr">
        <is>
          <t>LYCKSELE</t>
        </is>
      </c>
      <c r="G358" t="n">
        <v>6.4</v>
      </c>
      <c r="H358" t="n">
        <v>0</v>
      </c>
      <c r="I358" t="n">
        <v>2</v>
      </c>
      <c r="J358" t="n">
        <v>1</v>
      </c>
      <c r="K358" t="n">
        <v>0</v>
      </c>
      <c r="L358" t="n">
        <v>0</v>
      </c>
      <c r="M358" t="n">
        <v>0</v>
      </c>
      <c r="N358" t="n">
        <v>0</v>
      </c>
      <c r="O358" t="n">
        <v>1</v>
      </c>
      <c r="P358" t="n">
        <v>0</v>
      </c>
      <c r="Q358" t="n">
        <v>3</v>
      </c>
      <c r="R358" s="2" t="inlineStr">
        <is>
          <t>Lunglav
Luddlav
Stuplav</t>
        </is>
      </c>
      <c r="S358">
        <f>HYPERLINK("https://klasma.github.io/Logging_LYCKSELE/artfynd/A 28420-2022.xlsx", "A 28420-2022")</f>
        <v/>
      </c>
      <c r="T358">
        <f>HYPERLINK("https://klasma.github.io/Logging_LYCKSELE/kartor/A 28420-2022.png", "A 28420-2022")</f>
        <v/>
      </c>
      <c r="V358">
        <f>HYPERLINK("https://klasma.github.io/Logging_LYCKSELE/klagomål/A 28420-2022.docx", "A 28420-2022")</f>
        <v/>
      </c>
      <c r="W358">
        <f>HYPERLINK("https://klasma.github.io/Logging_LYCKSELE/klagomålsmail/A 28420-2022.docx", "A 28420-2022")</f>
        <v/>
      </c>
      <c r="X358">
        <f>HYPERLINK("https://klasma.github.io/Logging_LYCKSELE/tillsyn/A 28420-2022.docx", "A 28420-2022")</f>
        <v/>
      </c>
      <c r="Y358">
        <f>HYPERLINK("https://klasma.github.io/Logging_LYCKSELE/tillsynsmail/A 28420-2022.docx", "A 28420-2022")</f>
        <v/>
      </c>
    </row>
    <row r="359" ht="15" customHeight="1">
      <c r="A359" t="inlineStr">
        <is>
          <t>A 40987-2022</t>
        </is>
      </c>
      <c r="B359" s="1" t="n">
        <v>44823</v>
      </c>
      <c r="C359" s="1" t="n">
        <v>45204</v>
      </c>
      <c r="D359" t="inlineStr">
        <is>
          <t>VÄSTERBOTTENS LÄN</t>
        </is>
      </c>
      <c r="E359" t="inlineStr">
        <is>
          <t>SKELLEFTEÅ</t>
        </is>
      </c>
      <c r="G359" t="n">
        <v>7.1</v>
      </c>
      <c r="H359" t="n">
        <v>0</v>
      </c>
      <c r="I359" t="n">
        <v>2</v>
      </c>
      <c r="J359" t="n">
        <v>1</v>
      </c>
      <c r="K359" t="n">
        <v>0</v>
      </c>
      <c r="L359" t="n">
        <v>0</v>
      </c>
      <c r="M359" t="n">
        <v>0</v>
      </c>
      <c r="N359" t="n">
        <v>0</v>
      </c>
      <c r="O359" t="n">
        <v>1</v>
      </c>
      <c r="P359" t="n">
        <v>0</v>
      </c>
      <c r="Q359" t="n">
        <v>3</v>
      </c>
      <c r="R359" s="2" t="inlineStr">
        <is>
          <t>Blå taggsvamp
Bårdlav
Norrlandslav</t>
        </is>
      </c>
      <c r="S359">
        <f>HYPERLINK("https://klasma.github.io/Logging_SKELLEFTEA/artfynd/A 40987-2022.xlsx", "A 40987-2022")</f>
        <v/>
      </c>
      <c r="T359">
        <f>HYPERLINK("https://klasma.github.io/Logging_SKELLEFTEA/kartor/A 40987-2022.png", "A 40987-2022")</f>
        <v/>
      </c>
      <c r="V359">
        <f>HYPERLINK("https://klasma.github.io/Logging_SKELLEFTEA/klagomål/A 40987-2022.docx", "A 40987-2022")</f>
        <v/>
      </c>
      <c r="W359">
        <f>HYPERLINK("https://klasma.github.io/Logging_SKELLEFTEA/klagomålsmail/A 40987-2022.docx", "A 40987-2022")</f>
        <v/>
      </c>
      <c r="X359">
        <f>HYPERLINK("https://klasma.github.io/Logging_SKELLEFTEA/tillsyn/A 40987-2022.docx", "A 40987-2022")</f>
        <v/>
      </c>
      <c r="Y359">
        <f>HYPERLINK("https://klasma.github.io/Logging_SKELLEFTEA/tillsynsmail/A 40987-2022.docx", "A 40987-2022")</f>
        <v/>
      </c>
    </row>
    <row r="360" ht="15" customHeight="1">
      <c r="A360" t="inlineStr">
        <is>
          <t>A 41412-2022</t>
        </is>
      </c>
      <c r="B360" s="1" t="n">
        <v>44826</v>
      </c>
      <c r="C360" s="1" t="n">
        <v>45204</v>
      </c>
      <c r="D360" t="inlineStr">
        <is>
          <t>VÄSTERBOTTENS LÄN</t>
        </is>
      </c>
      <c r="E360" t="inlineStr">
        <is>
          <t>SKELLEFTEÅ</t>
        </is>
      </c>
      <c r="G360" t="n">
        <v>2.6</v>
      </c>
      <c r="H360" t="n">
        <v>0</v>
      </c>
      <c r="I360" t="n">
        <v>1</v>
      </c>
      <c r="J360" t="n">
        <v>2</v>
      </c>
      <c r="K360" t="n">
        <v>0</v>
      </c>
      <c r="L360" t="n">
        <v>0</v>
      </c>
      <c r="M360" t="n">
        <v>0</v>
      </c>
      <c r="N360" t="n">
        <v>0</v>
      </c>
      <c r="O360" t="n">
        <v>2</v>
      </c>
      <c r="P360" t="n">
        <v>0</v>
      </c>
      <c r="Q360" t="n">
        <v>3</v>
      </c>
      <c r="R360" s="2" t="inlineStr">
        <is>
          <t>Gränsticka
Ullticka
Vedticka</t>
        </is>
      </c>
      <c r="S360">
        <f>HYPERLINK("https://klasma.github.io/Logging_SKELLEFTEA/artfynd/A 41412-2022.xlsx", "A 41412-2022")</f>
        <v/>
      </c>
      <c r="T360">
        <f>HYPERLINK("https://klasma.github.io/Logging_SKELLEFTEA/kartor/A 41412-2022.png", "A 41412-2022")</f>
        <v/>
      </c>
      <c r="V360">
        <f>HYPERLINK("https://klasma.github.io/Logging_SKELLEFTEA/klagomål/A 41412-2022.docx", "A 41412-2022")</f>
        <v/>
      </c>
      <c r="W360">
        <f>HYPERLINK("https://klasma.github.io/Logging_SKELLEFTEA/klagomålsmail/A 41412-2022.docx", "A 41412-2022")</f>
        <v/>
      </c>
      <c r="X360">
        <f>HYPERLINK("https://klasma.github.io/Logging_SKELLEFTEA/tillsyn/A 41412-2022.docx", "A 41412-2022")</f>
        <v/>
      </c>
      <c r="Y360">
        <f>HYPERLINK("https://klasma.github.io/Logging_SKELLEFTEA/tillsynsmail/A 41412-2022.docx", "A 41412-2022")</f>
        <v/>
      </c>
    </row>
    <row r="361" ht="15" customHeight="1">
      <c r="A361" t="inlineStr">
        <is>
          <t>A 42687-2022</t>
        </is>
      </c>
      <c r="B361" s="1" t="n">
        <v>44831</v>
      </c>
      <c r="C361" s="1" t="n">
        <v>45204</v>
      </c>
      <c r="D361" t="inlineStr">
        <is>
          <t>VÄSTERBOTTENS LÄN</t>
        </is>
      </c>
      <c r="E361" t="inlineStr">
        <is>
          <t>SKELLEFTEÅ</t>
        </is>
      </c>
      <c r="G361" t="n">
        <v>2.7</v>
      </c>
      <c r="H361" t="n">
        <v>0</v>
      </c>
      <c r="I361" t="n">
        <v>0</v>
      </c>
      <c r="J361" t="n">
        <v>3</v>
      </c>
      <c r="K361" t="n">
        <v>0</v>
      </c>
      <c r="L361" t="n">
        <v>0</v>
      </c>
      <c r="M361" t="n">
        <v>0</v>
      </c>
      <c r="N361" t="n">
        <v>0</v>
      </c>
      <c r="O361" t="n">
        <v>3</v>
      </c>
      <c r="P361" t="n">
        <v>0</v>
      </c>
      <c r="Q361" t="n">
        <v>3</v>
      </c>
      <c r="R361" s="2" t="inlineStr">
        <is>
          <t>Granticka
Stjärntagging
Ullticka</t>
        </is>
      </c>
      <c r="S361">
        <f>HYPERLINK("https://klasma.github.io/Logging_SKELLEFTEA/artfynd/A 42687-2022.xlsx", "A 42687-2022")</f>
        <v/>
      </c>
      <c r="T361">
        <f>HYPERLINK("https://klasma.github.io/Logging_SKELLEFTEA/kartor/A 42687-2022.png", "A 42687-2022")</f>
        <v/>
      </c>
      <c r="V361">
        <f>HYPERLINK("https://klasma.github.io/Logging_SKELLEFTEA/klagomål/A 42687-2022.docx", "A 42687-2022")</f>
        <v/>
      </c>
      <c r="W361">
        <f>HYPERLINK("https://klasma.github.io/Logging_SKELLEFTEA/klagomålsmail/A 42687-2022.docx", "A 42687-2022")</f>
        <v/>
      </c>
      <c r="X361">
        <f>HYPERLINK("https://klasma.github.io/Logging_SKELLEFTEA/tillsyn/A 42687-2022.docx", "A 42687-2022")</f>
        <v/>
      </c>
      <c r="Y361">
        <f>HYPERLINK("https://klasma.github.io/Logging_SKELLEFTEA/tillsynsmail/A 42687-2022.docx", "A 42687-2022")</f>
        <v/>
      </c>
    </row>
    <row r="362" ht="15" customHeight="1">
      <c r="A362" t="inlineStr">
        <is>
          <t>A 46088-2022</t>
        </is>
      </c>
      <c r="B362" s="1" t="n">
        <v>44845</v>
      </c>
      <c r="C362" s="1" t="n">
        <v>45204</v>
      </c>
      <c r="D362" t="inlineStr">
        <is>
          <t>VÄSTERBOTTENS LÄN</t>
        </is>
      </c>
      <c r="E362" t="inlineStr">
        <is>
          <t>SORSELE</t>
        </is>
      </c>
      <c r="G362" t="n">
        <v>3.1</v>
      </c>
      <c r="H362" t="n">
        <v>1</v>
      </c>
      <c r="I362" t="n">
        <v>0</v>
      </c>
      <c r="J362" t="n">
        <v>2</v>
      </c>
      <c r="K362" t="n">
        <v>0</v>
      </c>
      <c r="L362" t="n">
        <v>0</v>
      </c>
      <c r="M362" t="n">
        <v>0</v>
      </c>
      <c r="N362" t="n">
        <v>0</v>
      </c>
      <c r="O362" t="n">
        <v>2</v>
      </c>
      <c r="P362" t="n">
        <v>0</v>
      </c>
      <c r="Q362" t="n">
        <v>3</v>
      </c>
      <c r="R362" s="2" t="inlineStr">
        <is>
          <t>Garnlav
Granticka
Revlummer</t>
        </is>
      </c>
      <c r="S362">
        <f>HYPERLINK("https://klasma.github.io/Logging_SORSELE/artfynd/A 46088-2022.xlsx", "A 46088-2022")</f>
        <v/>
      </c>
      <c r="T362">
        <f>HYPERLINK("https://klasma.github.io/Logging_SORSELE/kartor/A 46088-2022.png", "A 46088-2022")</f>
        <v/>
      </c>
      <c r="V362">
        <f>HYPERLINK("https://klasma.github.io/Logging_SORSELE/klagomål/A 46088-2022.docx", "A 46088-2022")</f>
        <v/>
      </c>
      <c r="W362">
        <f>HYPERLINK("https://klasma.github.io/Logging_SORSELE/klagomålsmail/A 46088-2022.docx", "A 46088-2022")</f>
        <v/>
      </c>
      <c r="X362">
        <f>HYPERLINK("https://klasma.github.io/Logging_SORSELE/tillsyn/A 46088-2022.docx", "A 46088-2022")</f>
        <v/>
      </c>
      <c r="Y362">
        <f>HYPERLINK("https://klasma.github.io/Logging_SORSELE/tillsynsmail/A 46088-2022.docx", "A 46088-2022")</f>
        <v/>
      </c>
    </row>
    <row r="363" ht="15" customHeight="1">
      <c r="A363" t="inlineStr">
        <is>
          <t>A 49644-2022</t>
        </is>
      </c>
      <c r="B363" s="1" t="n">
        <v>44862</v>
      </c>
      <c r="C363" s="1" t="n">
        <v>45204</v>
      </c>
      <c r="D363" t="inlineStr">
        <is>
          <t>VÄSTERBOTTENS LÄN</t>
        </is>
      </c>
      <c r="E363" t="inlineStr">
        <is>
          <t>UMEÅ</t>
        </is>
      </c>
      <c r="F363" t="inlineStr">
        <is>
          <t>Holmen skog AB</t>
        </is>
      </c>
      <c r="G363" t="n">
        <v>4.5</v>
      </c>
      <c r="H363" t="n">
        <v>2</v>
      </c>
      <c r="I363" t="n">
        <v>0</v>
      </c>
      <c r="J363" t="n">
        <v>3</v>
      </c>
      <c r="K363" t="n">
        <v>0</v>
      </c>
      <c r="L363" t="n">
        <v>0</v>
      </c>
      <c r="M363" t="n">
        <v>0</v>
      </c>
      <c r="N363" t="n">
        <v>0</v>
      </c>
      <c r="O363" t="n">
        <v>3</v>
      </c>
      <c r="P363" t="n">
        <v>0</v>
      </c>
      <c r="Q363" t="n">
        <v>3</v>
      </c>
      <c r="R363" s="2" t="inlineStr">
        <is>
          <t>Garnlav
Talltita
Tretåig hackspett</t>
        </is>
      </c>
      <c r="S363">
        <f>HYPERLINK("https://klasma.github.io/Logging_UMEA/artfynd/A 49644-2022.xlsx", "A 49644-2022")</f>
        <v/>
      </c>
      <c r="T363">
        <f>HYPERLINK("https://klasma.github.io/Logging_UMEA/kartor/A 49644-2022.png", "A 49644-2022")</f>
        <v/>
      </c>
      <c r="V363">
        <f>HYPERLINK("https://klasma.github.io/Logging_UMEA/klagomål/A 49644-2022.docx", "A 49644-2022")</f>
        <v/>
      </c>
      <c r="W363">
        <f>HYPERLINK("https://klasma.github.io/Logging_UMEA/klagomålsmail/A 49644-2022.docx", "A 49644-2022")</f>
        <v/>
      </c>
      <c r="X363">
        <f>HYPERLINK("https://klasma.github.io/Logging_UMEA/tillsyn/A 49644-2022.docx", "A 49644-2022")</f>
        <v/>
      </c>
      <c r="Y363">
        <f>HYPERLINK("https://klasma.github.io/Logging_UMEA/tillsynsmail/A 49644-2022.docx", "A 49644-2022")</f>
        <v/>
      </c>
    </row>
    <row r="364" ht="15" customHeight="1">
      <c r="A364" t="inlineStr">
        <is>
          <t>A 60450-2022</t>
        </is>
      </c>
      <c r="B364" s="1" t="n">
        <v>44904</v>
      </c>
      <c r="C364" s="1" t="n">
        <v>45204</v>
      </c>
      <c r="D364" t="inlineStr">
        <is>
          <t>VÄSTERBOTTENS LÄN</t>
        </is>
      </c>
      <c r="E364" t="inlineStr">
        <is>
          <t>NORDMALING</t>
        </is>
      </c>
      <c r="G364" t="n">
        <v>3.3</v>
      </c>
      <c r="H364" t="n">
        <v>0</v>
      </c>
      <c r="I364" t="n">
        <v>0</v>
      </c>
      <c r="J364" t="n">
        <v>2</v>
      </c>
      <c r="K364" t="n">
        <v>1</v>
      </c>
      <c r="L364" t="n">
        <v>0</v>
      </c>
      <c r="M364" t="n">
        <v>0</v>
      </c>
      <c r="N364" t="n">
        <v>0</v>
      </c>
      <c r="O364" t="n">
        <v>3</v>
      </c>
      <c r="P364" t="n">
        <v>1</v>
      </c>
      <c r="Q364" t="n">
        <v>3</v>
      </c>
      <c r="R364" s="2" t="inlineStr">
        <is>
          <t>Rynkskinn
Lunglav
Ullticka</t>
        </is>
      </c>
      <c r="S364">
        <f>HYPERLINK("https://klasma.github.io/Logging_NORDMALING/artfynd/A 60450-2022.xlsx", "A 60450-2022")</f>
        <v/>
      </c>
      <c r="T364">
        <f>HYPERLINK("https://klasma.github.io/Logging_NORDMALING/kartor/A 60450-2022.png", "A 60450-2022")</f>
        <v/>
      </c>
      <c r="V364">
        <f>HYPERLINK("https://klasma.github.io/Logging_NORDMALING/klagomål/A 60450-2022.docx", "A 60450-2022")</f>
        <v/>
      </c>
      <c r="W364">
        <f>HYPERLINK("https://klasma.github.io/Logging_NORDMALING/klagomålsmail/A 60450-2022.docx", "A 60450-2022")</f>
        <v/>
      </c>
      <c r="X364">
        <f>HYPERLINK("https://klasma.github.io/Logging_NORDMALING/tillsyn/A 60450-2022.docx", "A 60450-2022")</f>
        <v/>
      </c>
      <c r="Y364">
        <f>HYPERLINK("https://klasma.github.io/Logging_NORDMALING/tillsynsmail/A 60450-2022.docx", "A 60450-2022")</f>
        <v/>
      </c>
    </row>
    <row r="365" ht="15" customHeight="1">
      <c r="A365" t="inlineStr">
        <is>
          <t>A 60434-2022</t>
        </is>
      </c>
      <c r="B365" s="1" t="n">
        <v>44911</v>
      </c>
      <c r="C365" s="1" t="n">
        <v>45204</v>
      </c>
      <c r="D365" t="inlineStr">
        <is>
          <t>VÄSTERBOTTENS LÄN</t>
        </is>
      </c>
      <c r="E365" t="inlineStr">
        <is>
          <t>VINDELN</t>
        </is>
      </c>
      <c r="F365" t="inlineStr">
        <is>
          <t>Sveaskog</t>
        </is>
      </c>
      <c r="G365" t="n">
        <v>5.5</v>
      </c>
      <c r="H365" t="n">
        <v>0</v>
      </c>
      <c r="I365" t="n">
        <v>1</v>
      </c>
      <c r="J365" t="n">
        <v>2</v>
      </c>
      <c r="K365" t="n">
        <v>0</v>
      </c>
      <c r="L365" t="n">
        <v>0</v>
      </c>
      <c r="M365" t="n">
        <v>0</v>
      </c>
      <c r="N365" t="n">
        <v>0</v>
      </c>
      <c r="O365" t="n">
        <v>2</v>
      </c>
      <c r="P365" t="n">
        <v>0</v>
      </c>
      <c r="Q365" t="n">
        <v>3</v>
      </c>
      <c r="R365" s="2" t="inlineStr">
        <is>
          <t>Gammelgransskål
Granticka
Luddlav</t>
        </is>
      </c>
      <c r="S365">
        <f>HYPERLINK("https://klasma.github.io/Logging_VINDELN/artfynd/A 60434-2022.xlsx", "A 60434-2022")</f>
        <v/>
      </c>
      <c r="T365">
        <f>HYPERLINK("https://klasma.github.io/Logging_VINDELN/kartor/A 60434-2022.png", "A 60434-2022")</f>
        <v/>
      </c>
      <c r="V365">
        <f>HYPERLINK("https://klasma.github.io/Logging_VINDELN/klagomål/A 60434-2022.docx", "A 60434-2022")</f>
        <v/>
      </c>
      <c r="W365">
        <f>HYPERLINK("https://klasma.github.io/Logging_VINDELN/klagomålsmail/A 60434-2022.docx", "A 60434-2022")</f>
        <v/>
      </c>
      <c r="X365">
        <f>HYPERLINK("https://klasma.github.io/Logging_VINDELN/tillsyn/A 60434-2022.docx", "A 60434-2022")</f>
        <v/>
      </c>
      <c r="Y365">
        <f>HYPERLINK("https://klasma.github.io/Logging_VINDELN/tillsynsmail/A 60434-2022.docx", "A 60434-2022")</f>
        <v/>
      </c>
    </row>
    <row r="366" ht="15" customHeight="1">
      <c r="A366" t="inlineStr">
        <is>
          <t>A 61824-2022</t>
        </is>
      </c>
      <c r="B366" s="1" t="n">
        <v>44917</v>
      </c>
      <c r="C366" s="1" t="n">
        <v>45204</v>
      </c>
      <c r="D366" t="inlineStr">
        <is>
          <t>VÄSTERBOTTENS LÄN</t>
        </is>
      </c>
      <c r="E366" t="inlineStr">
        <is>
          <t>VINDELN</t>
        </is>
      </c>
      <c r="G366" t="n">
        <v>4.1</v>
      </c>
      <c r="H366" t="n">
        <v>0</v>
      </c>
      <c r="I366" t="n">
        <v>1</v>
      </c>
      <c r="J366" t="n">
        <v>1</v>
      </c>
      <c r="K366" t="n">
        <v>1</v>
      </c>
      <c r="L366" t="n">
        <v>0</v>
      </c>
      <c r="M366" t="n">
        <v>0</v>
      </c>
      <c r="N366" t="n">
        <v>0</v>
      </c>
      <c r="O366" t="n">
        <v>2</v>
      </c>
      <c r="P366" t="n">
        <v>1</v>
      </c>
      <c r="Q366" t="n">
        <v>3</v>
      </c>
      <c r="R366" s="2" t="inlineStr">
        <is>
          <t>Tallgråticka
Talltaggsvamp
Mindre märgborre</t>
        </is>
      </c>
      <c r="S366">
        <f>HYPERLINK("https://klasma.github.io/Logging_VINDELN/artfynd/A 61824-2022.xlsx", "A 61824-2022")</f>
        <v/>
      </c>
      <c r="T366">
        <f>HYPERLINK("https://klasma.github.io/Logging_VINDELN/kartor/A 61824-2022.png", "A 61824-2022")</f>
        <v/>
      </c>
      <c r="V366">
        <f>HYPERLINK("https://klasma.github.io/Logging_VINDELN/klagomål/A 61824-2022.docx", "A 61824-2022")</f>
        <v/>
      </c>
      <c r="W366">
        <f>HYPERLINK("https://klasma.github.io/Logging_VINDELN/klagomålsmail/A 61824-2022.docx", "A 61824-2022")</f>
        <v/>
      </c>
      <c r="X366">
        <f>HYPERLINK("https://klasma.github.io/Logging_VINDELN/tillsyn/A 61824-2022.docx", "A 61824-2022")</f>
        <v/>
      </c>
      <c r="Y366">
        <f>HYPERLINK("https://klasma.github.io/Logging_VINDELN/tillsynsmail/A 61824-2022.docx", "A 61824-2022")</f>
        <v/>
      </c>
    </row>
    <row r="367" ht="15" customHeight="1">
      <c r="A367" t="inlineStr">
        <is>
          <t>A 684-2023</t>
        </is>
      </c>
      <c r="B367" s="1" t="n">
        <v>44925</v>
      </c>
      <c r="C367" s="1" t="n">
        <v>45204</v>
      </c>
      <c r="D367" t="inlineStr">
        <is>
          <t>VÄSTERBOTTENS LÄN</t>
        </is>
      </c>
      <c r="E367" t="inlineStr">
        <is>
          <t>UMEÅ</t>
        </is>
      </c>
      <c r="G367" t="n">
        <v>22.6</v>
      </c>
      <c r="H367" t="n">
        <v>2</v>
      </c>
      <c r="I367" t="n">
        <v>0</v>
      </c>
      <c r="J367" t="n">
        <v>3</v>
      </c>
      <c r="K367" t="n">
        <v>0</v>
      </c>
      <c r="L367" t="n">
        <v>0</v>
      </c>
      <c r="M367" t="n">
        <v>0</v>
      </c>
      <c r="N367" t="n">
        <v>0</v>
      </c>
      <c r="O367" t="n">
        <v>3</v>
      </c>
      <c r="P367" t="n">
        <v>0</v>
      </c>
      <c r="Q367" t="n">
        <v>3</v>
      </c>
      <c r="R367" s="2" t="inlineStr">
        <is>
          <t>Kolflarnlav
Talltita
Tretåig hackspett</t>
        </is>
      </c>
      <c r="S367">
        <f>HYPERLINK("https://klasma.github.io/Logging_UMEA/artfynd/A 684-2023.xlsx", "A 684-2023")</f>
        <v/>
      </c>
      <c r="T367">
        <f>HYPERLINK("https://klasma.github.io/Logging_UMEA/kartor/A 684-2023.png", "A 684-2023")</f>
        <v/>
      </c>
      <c r="V367">
        <f>HYPERLINK("https://klasma.github.io/Logging_UMEA/klagomål/A 684-2023.docx", "A 684-2023")</f>
        <v/>
      </c>
      <c r="W367">
        <f>HYPERLINK("https://klasma.github.io/Logging_UMEA/klagomålsmail/A 684-2023.docx", "A 684-2023")</f>
        <v/>
      </c>
      <c r="X367">
        <f>HYPERLINK("https://klasma.github.io/Logging_UMEA/tillsyn/A 684-2023.docx", "A 684-2023")</f>
        <v/>
      </c>
      <c r="Y367">
        <f>HYPERLINK("https://klasma.github.io/Logging_UMEA/tillsynsmail/A 684-2023.docx", "A 684-2023")</f>
        <v/>
      </c>
    </row>
    <row r="368" ht="15" customHeight="1">
      <c r="A368" t="inlineStr">
        <is>
          <t>A 4479-2023</t>
        </is>
      </c>
      <c r="B368" s="1" t="n">
        <v>44956</v>
      </c>
      <c r="C368" s="1" t="n">
        <v>45204</v>
      </c>
      <c r="D368" t="inlineStr">
        <is>
          <t>VÄSTERBOTTENS LÄN</t>
        </is>
      </c>
      <c r="E368" t="inlineStr">
        <is>
          <t>VÄNNÄS</t>
        </is>
      </c>
      <c r="G368" t="n">
        <v>6.2</v>
      </c>
      <c r="H368" t="n">
        <v>2</v>
      </c>
      <c r="I368" t="n">
        <v>2</v>
      </c>
      <c r="J368" t="n">
        <v>0</v>
      </c>
      <c r="K368" t="n">
        <v>1</v>
      </c>
      <c r="L368" t="n">
        <v>0</v>
      </c>
      <c r="M368" t="n">
        <v>0</v>
      </c>
      <c r="N368" t="n">
        <v>0</v>
      </c>
      <c r="O368" t="n">
        <v>1</v>
      </c>
      <c r="P368" t="n">
        <v>1</v>
      </c>
      <c r="Q368" t="n">
        <v>3</v>
      </c>
      <c r="R368" s="2" t="inlineStr">
        <is>
          <t>Långskägg
Plattlummer
Ögonpyrola</t>
        </is>
      </c>
      <c r="S368">
        <f>HYPERLINK("https://klasma.github.io/Logging_VANNAS/artfynd/A 4479-2023.xlsx", "A 4479-2023")</f>
        <v/>
      </c>
      <c r="T368">
        <f>HYPERLINK("https://klasma.github.io/Logging_VANNAS/kartor/A 4479-2023.png", "A 4479-2023")</f>
        <v/>
      </c>
      <c r="V368">
        <f>HYPERLINK("https://klasma.github.io/Logging_VANNAS/klagomål/A 4479-2023.docx", "A 4479-2023")</f>
        <v/>
      </c>
      <c r="W368">
        <f>HYPERLINK("https://klasma.github.io/Logging_VANNAS/klagomålsmail/A 4479-2023.docx", "A 4479-2023")</f>
        <v/>
      </c>
      <c r="X368">
        <f>HYPERLINK("https://klasma.github.io/Logging_VANNAS/tillsyn/A 4479-2023.docx", "A 4479-2023")</f>
        <v/>
      </c>
      <c r="Y368">
        <f>HYPERLINK("https://klasma.github.io/Logging_VANNAS/tillsynsmail/A 4479-2023.docx", "A 4479-2023")</f>
        <v/>
      </c>
    </row>
    <row r="369" ht="15" customHeight="1">
      <c r="A369" t="inlineStr">
        <is>
          <t>A 5702-2023</t>
        </is>
      </c>
      <c r="B369" s="1" t="n">
        <v>44960</v>
      </c>
      <c r="C369" s="1" t="n">
        <v>45204</v>
      </c>
      <c r="D369" t="inlineStr">
        <is>
          <t>VÄSTERBOTTENS LÄN</t>
        </is>
      </c>
      <c r="E369" t="inlineStr">
        <is>
          <t>ÅSELE</t>
        </is>
      </c>
      <c r="F369" t="inlineStr">
        <is>
          <t>SCA</t>
        </is>
      </c>
      <c r="G369" t="n">
        <v>8</v>
      </c>
      <c r="H369" t="n">
        <v>1</v>
      </c>
      <c r="I369" t="n">
        <v>0</v>
      </c>
      <c r="J369" t="n">
        <v>2</v>
      </c>
      <c r="K369" t="n">
        <v>0</v>
      </c>
      <c r="L369" t="n">
        <v>0</v>
      </c>
      <c r="M369" t="n">
        <v>0</v>
      </c>
      <c r="N369" t="n">
        <v>0</v>
      </c>
      <c r="O369" t="n">
        <v>2</v>
      </c>
      <c r="P369" t="n">
        <v>0</v>
      </c>
      <c r="Q369" t="n">
        <v>3</v>
      </c>
      <c r="R369" s="2" t="inlineStr">
        <is>
          <t>Dvärgbägarlav
Kolflarnlav
Revlummer</t>
        </is>
      </c>
      <c r="S369">
        <f>HYPERLINK("https://klasma.github.io/Logging_ASELE/artfynd/A 5702-2023.xlsx", "A 5702-2023")</f>
        <v/>
      </c>
      <c r="T369">
        <f>HYPERLINK("https://klasma.github.io/Logging_ASELE/kartor/A 5702-2023.png", "A 5702-2023")</f>
        <v/>
      </c>
      <c r="V369">
        <f>HYPERLINK("https://klasma.github.io/Logging_ASELE/klagomål/A 5702-2023.docx", "A 5702-2023")</f>
        <v/>
      </c>
      <c r="W369">
        <f>HYPERLINK("https://klasma.github.io/Logging_ASELE/klagomålsmail/A 5702-2023.docx", "A 5702-2023")</f>
        <v/>
      </c>
      <c r="X369">
        <f>HYPERLINK("https://klasma.github.io/Logging_ASELE/tillsyn/A 5702-2023.docx", "A 5702-2023")</f>
        <v/>
      </c>
      <c r="Y369">
        <f>HYPERLINK("https://klasma.github.io/Logging_ASELE/tillsynsmail/A 5702-2023.docx", "A 5702-2023")</f>
        <v/>
      </c>
    </row>
    <row r="370" ht="15" customHeight="1">
      <c r="A370" t="inlineStr">
        <is>
          <t>A 9157-2023</t>
        </is>
      </c>
      <c r="B370" s="1" t="n">
        <v>44972</v>
      </c>
      <c r="C370" s="1" t="n">
        <v>45204</v>
      </c>
      <c r="D370" t="inlineStr">
        <is>
          <t>VÄSTERBOTTENS LÄN</t>
        </is>
      </c>
      <c r="E370" t="inlineStr">
        <is>
          <t>VILHELMINA</t>
        </is>
      </c>
      <c r="F370" t="inlineStr">
        <is>
          <t>Allmännings- och besparingsskogar</t>
        </is>
      </c>
      <c r="G370" t="n">
        <v>408.3</v>
      </c>
      <c r="H370" t="n">
        <v>0</v>
      </c>
      <c r="I370" t="n">
        <v>0</v>
      </c>
      <c r="J370" t="n">
        <v>3</v>
      </c>
      <c r="K370" t="n">
        <v>0</v>
      </c>
      <c r="L370" t="n">
        <v>0</v>
      </c>
      <c r="M370" t="n">
        <v>0</v>
      </c>
      <c r="N370" t="n">
        <v>0</v>
      </c>
      <c r="O370" t="n">
        <v>3</v>
      </c>
      <c r="P370" t="n">
        <v>0</v>
      </c>
      <c r="Q370" t="n">
        <v>3</v>
      </c>
      <c r="R370" s="2" t="inlineStr">
        <is>
          <t>Garnlav
Granticka
Harticka</t>
        </is>
      </c>
      <c r="S370">
        <f>HYPERLINK("https://klasma.github.io/Logging_VILHELMINA/artfynd/A 9157-2023.xlsx", "A 9157-2023")</f>
        <v/>
      </c>
      <c r="T370">
        <f>HYPERLINK("https://klasma.github.io/Logging_VILHELMINA/kartor/A 9157-2023.png", "A 9157-2023")</f>
        <v/>
      </c>
      <c r="V370">
        <f>HYPERLINK("https://klasma.github.io/Logging_VILHELMINA/klagomål/A 9157-2023.docx", "A 9157-2023")</f>
        <v/>
      </c>
      <c r="W370">
        <f>HYPERLINK("https://klasma.github.io/Logging_VILHELMINA/klagomålsmail/A 9157-2023.docx", "A 9157-2023")</f>
        <v/>
      </c>
      <c r="X370">
        <f>HYPERLINK("https://klasma.github.io/Logging_VILHELMINA/tillsyn/A 9157-2023.docx", "A 9157-2023")</f>
        <v/>
      </c>
      <c r="Y370">
        <f>HYPERLINK("https://klasma.github.io/Logging_VILHELMINA/tillsynsmail/A 9157-2023.docx", "A 9157-2023")</f>
        <v/>
      </c>
    </row>
    <row r="371" ht="15" customHeight="1">
      <c r="A371" t="inlineStr">
        <is>
          <t>A 18283-2023</t>
        </is>
      </c>
      <c r="B371" s="1" t="n">
        <v>45040</v>
      </c>
      <c r="C371" s="1" t="n">
        <v>45204</v>
      </c>
      <c r="D371" t="inlineStr">
        <is>
          <t>VÄSTERBOTTENS LÄN</t>
        </is>
      </c>
      <c r="E371" t="inlineStr">
        <is>
          <t>UMEÅ</t>
        </is>
      </c>
      <c r="G371" t="n">
        <v>13.4</v>
      </c>
      <c r="H371" t="n">
        <v>1</v>
      </c>
      <c r="I371" t="n">
        <v>0</v>
      </c>
      <c r="J371" t="n">
        <v>3</v>
      </c>
      <c r="K371" t="n">
        <v>0</v>
      </c>
      <c r="L371" t="n">
        <v>0</v>
      </c>
      <c r="M371" t="n">
        <v>0</v>
      </c>
      <c r="N371" t="n">
        <v>0</v>
      </c>
      <c r="O371" t="n">
        <v>3</v>
      </c>
      <c r="P371" t="n">
        <v>0</v>
      </c>
      <c r="Q371" t="n">
        <v>3</v>
      </c>
      <c r="R371" s="2" t="inlineStr">
        <is>
          <t>Garnlav
Järpe
Ullticka</t>
        </is>
      </c>
      <c r="S371">
        <f>HYPERLINK("https://klasma.github.io/Logging_UMEA/artfynd/A 18283-2023.xlsx", "A 18283-2023")</f>
        <v/>
      </c>
      <c r="T371">
        <f>HYPERLINK("https://klasma.github.io/Logging_UMEA/kartor/A 18283-2023.png", "A 18283-2023")</f>
        <v/>
      </c>
      <c r="V371">
        <f>HYPERLINK("https://klasma.github.io/Logging_UMEA/klagomål/A 18283-2023.docx", "A 18283-2023")</f>
        <v/>
      </c>
      <c r="W371">
        <f>HYPERLINK("https://klasma.github.io/Logging_UMEA/klagomålsmail/A 18283-2023.docx", "A 18283-2023")</f>
        <v/>
      </c>
      <c r="X371">
        <f>HYPERLINK("https://klasma.github.io/Logging_UMEA/tillsyn/A 18283-2023.docx", "A 18283-2023")</f>
        <v/>
      </c>
      <c r="Y371">
        <f>HYPERLINK("https://klasma.github.io/Logging_UMEA/tillsynsmail/A 18283-2023.docx", "A 18283-2023")</f>
        <v/>
      </c>
    </row>
    <row r="372" ht="15" customHeight="1">
      <c r="A372" t="inlineStr">
        <is>
          <t>A 18360-2023</t>
        </is>
      </c>
      <c r="B372" s="1" t="n">
        <v>45041</v>
      </c>
      <c r="C372" s="1" t="n">
        <v>45204</v>
      </c>
      <c r="D372" t="inlineStr">
        <is>
          <t>VÄSTERBOTTENS LÄN</t>
        </is>
      </c>
      <c r="E372" t="inlineStr">
        <is>
          <t>VINDELN</t>
        </is>
      </c>
      <c r="G372" t="n">
        <v>3.9</v>
      </c>
      <c r="H372" t="n">
        <v>0</v>
      </c>
      <c r="I372" t="n">
        <v>1</v>
      </c>
      <c r="J372" t="n">
        <v>0</v>
      </c>
      <c r="K372" t="n">
        <v>2</v>
      </c>
      <c r="L372" t="n">
        <v>0</v>
      </c>
      <c r="M372" t="n">
        <v>0</v>
      </c>
      <c r="N372" t="n">
        <v>0</v>
      </c>
      <c r="O372" t="n">
        <v>2</v>
      </c>
      <c r="P372" t="n">
        <v>2</v>
      </c>
      <c r="Q372" t="n">
        <v>3</v>
      </c>
      <c r="R372" s="2" t="inlineStr">
        <is>
          <t>Goliatmusseron
Tallgråticka
Skarp dropptaggsvamp</t>
        </is>
      </c>
      <c r="S372">
        <f>HYPERLINK("https://klasma.github.io/Logging_VINDELN/artfynd/A 18360-2023.xlsx", "A 18360-2023")</f>
        <v/>
      </c>
      <c r="T372">
        <f>HYPERLINK("https://klasma.github.io/Logging_VINDELN/kartor/A 18360-2023.png", "A 18360-2023")</f>
        <v/>
      </c>
      <c r="V372">
        <f>HYPERLINK("https://klasma.github.io/Logging_VINDELN/klagomål/A 18360-2023.docx", "A 18360-2023")</f>
        <v/>
      </c>
      <c r="W372">
        <f>HYPERLINK("https://klasma.github.io/Logging_VINDELN/klagomålsmail/A 18360-2023.docx", "A 18360-2023")</f>
        <v/>
      </c>
      <c r="X372">
        <f>HYPERLINK("https://klasma.github.io/Logging_VINDELN/tillsyn/A 18360-2023.docx", "A 18360-2023")</f>
        <v/>
      </c>
      <c r="Y372">
        <f>HYPERLINK("https://klasma.github.io/Logging_VINDELN/tillsynsmail/A 18360-2023.docx", "A 18360-2023")</f>
        <v/>
      </c>
    </row>
    <row r="373" ht="15" customHeight="1">
      <c r="A373" t="inlineStr">
        <is>
          <t>A 21672-2023</t>
        </is>
      </c>
      <c r="B373" s="1" t="n">
        <v>45063</v>
      </c>
      <c r="C373" s="1" t="n">
        <v>45204</v>
      </c>
      <c r="D373" t="inlineStr">
        <is>
          <t>VÄSTERBOTTENS LÄN</t>
        </is>
      </c>
      <c r="E373" t="inlineStr">
        <is>
          <t>DOROTEA</t>
        </is>
      </c>
      <c r="F373" t="inlineStr">
        <is>
          <t>SCA</t>
        </is>
      </c>
      <c r="G373" t="n">
        <v>7.4</v>
      </c>
      <c r="H373" t="n">
        <v>0</v>
      </c>
      <c r="I373" t="n">
        <v>0</v>
      </c>
      <c r="J373" t="n">
        <v>3</v>
      </c>
      <c r="K373" t="n">
        <v>0</v>
      </c>
      <c r="L373" t="n">
        <v>0</v>
      </c>
      <c r="M373" t="n">
        <v>0</v>
      </c>
      <c r="N373" t="n">
        <v>0</v>
      </c>
      <c r="O373" t="n">
        <v>3</v>
      </c>
      <c r="P373" t="n">
        <v>0</v>
      </c>
      <c r="Q373" t="n">
        <v>3</v>
      </c>
      <c r="R373" s="2" t="inlineStr">
        <is>
          <t>Doftskinn
Skrovellav
Ullticka</t>
        </is>
      </c>
      <c r="S373">
        <f>HYPERLINK("https://klasma.github.io/Logging_DOROTEA/artfynd/A 21672-2023.xlsx", "A 21672-2023")</f>
        <v/>
      </c>
      <c r="T373">
        <f>HYPERLINK("https://klasma.github.io/Logging_DOROTEA/kartor/A 21672-2023.png", "A 21672-2023")</f>
        <v/>
      </c>
      <c r="V373">
        <f>HYPERLINK("https://klasma.github.io/Logging_DOROTEA/klagomål/A 21672-2023.docx", "A 21672-2023")</f>
        <v/>
      </c>
      <c r="W373">
        <f>HYPERLINK("https://klasma.github.io/Logging_DOROTEA/klagomålsmail/A 21672-2023.docx", "A 21672-2023")</f>
        <v/>
      </c>
      <c r="X373">
        <f>HYPERLINK("https://klasma.github.io/Logging_DOROTEA/tillsyn/A 21672-2023.docx", "A 21672-2023")</f>
        <v/>
      </c>
      <c r="Y373">
        <f>HYPERLINK("https://klasma.github.io/Logging_DOROTEA/tillsynsmail/A 21672-2023.docx", "A 21672-2023")</f>
        <v/>
      </c>
    </row>
    <row r="374" ht="15" customHeight="1">
      <c r="A374" t="inlineStr">
        <is>
          <t>A 22955-2023</t>
        </is>
      </c>
      <c r="B374" s="1" t="n">
        <v>45072</v>
      </c>
      <c r="C374" s="1" t="n">
        <v>45204</v>
      </c>
      <c r="D374" t="inlineStr">
        <is>
          <t>VÄSTERBOTTENS LÄN</t>
        </is>
      </c>
      <c r="E374" t="inlineStr">
        <is>
          <t>ÅSELE</t>
        </is>
      </c>
      <c r="F374" t="inlineStr">
        <is>
          <t>Holmen skog AB</t>
        </is>
      </c>
      <c r="G374" t="n">
        <v>8.4</v>
      </c>
      <c r="H374" t="n">
        <v>0</v>
      </c>
      <c r="I374" t="n">
        <v>1</v>
      </c>
      <c r="J374" t="n">
        <v>2</v>
      </c>
      <c r="K374" t="n">
        <v>0</v>
      </c>
      <c r="L374" t="n">
        <v>0</v>
      </c>
      <c r="M374" t="n">
        <v>0</v>
      </c>
      <c r="N374" t="n">
        <v>0</v>
      </c>
      <c r="O374" t="n">
        <v>2</v>
      </c>
      <c r="P374" t="n">
        <v>0</v>
      </c>
      <c r="Q374" t="n">
        <v>3</v>
      </c>
      <c r="R374" s="2" t="inlineStr">
        <is>
          <t>Garnlav
Lunglav
Luddlav</t>
        </is>
      </c>
      <c r="S374">
        <f>HYPERLINK("https://klasma.github.io/Logging_ASELE/artfynd/A 22955-2023.xlsx", "A 22955-2023")</f>
        <v/>
      </c>
      <c r="T374">
        <f>HYPERLINK("https://klasma.github.io/Logging_ASELE/kartor/A 22955-2023.png", "A 22955-2023")</f>
        <v/>
      </c>
      <c r="V374">
        <f>HYPERLINK("https://klasma.github.io/Logging_ASELE/klagomål/A 22955-2023.docx", "A 22955-2023")</f>
        <v/>
      </c>
      <c r="W374">
        <f>HYPERLINK("https://klasma.github.io/Logging_ASELE/klagomålsmail/A 22955-2023.docx", "A 22955-2023")</f>
        <v/>
      </c>
      <c r="X374">
        <f>HYPERLINK("https://klasma.github.io/Logging_ASELE/tillsyn/A 22955-2023.docx", "A 22955-2023")</f>
        <v/>
      </c>
      <c r="Y374">
        <f>HYPERLINK("https://klasma.github.io/Logging_ASELE/tillsynsmail/A 22955-2023.docx", "A 22955-2023")</f>
        <v/>
      </c>
    </row>
    <row r="375" ht="15" customHeight="1">
      <c r="A375" t="inlineStr">
        <is>
          <t>A 23338-2023</t>
        </is>
      </c>
      <c r="B375" s="1" t="n">
        <v>45076</v>
      </c>
      <c r="C375" s="1" t="n">
        <v>45204</v>
      </c>
      <c r="D375" t="inlineStr">
        <is>
          <t>VÄSTERBOTTENS LÄN</t>
        </is>
      </c>
      <c r="E375" t="inlineStr">
        <is>
          <t>ROBERTSFORS</t>
        </is>
      </c>
      <c r="F375" t="inlineStr">
        <is>
          <t>Holmen skog AB</t>
        </is>
      </c>
      <c r="G375" t="n">
        <v>8</v>
      </c>
      <c r="H375" t="n">
        <v>1</v>
      </c>
      <c r="I375" t="n">
        <v>0</v>
      </c>
      <c r="J375" t="n">
        <v>3</v>
      </c>
      <c r="K375" t="n">
        <v>0</v>
      </c>
      <c r="L375" t="n">
        <v>0</v>
      </c>
      <c r="M375" t="n">
        <v>0</v>
      </c>
      <c r="N375" t="n">
        <v>0</v>
      </c>
      <c r="O375" t="n">
        <v>3</v>
      </c>
      <c r="P375" t="n">
        <v>0</v>
      </c>
      <c r="Q375" t="n">
        <v>3</v>
      </c>
      <c r="R375" s="2" t="inlineStr">
        <is>
          <t>Gammelgransskål
Garnlav
Spillkråka</t>
        </is>
      </c>
      <c r="S375">
        <f>HYPERLINK("https://klasma.github.io/Logging_ROBERTSFORS/artfynd/A 23338-2023.xlsx", "A 23338-2023")</f>
        <v/>
      </c>
      <c r="T375">
        <f>HYPERLINK("https://klasma.github.io/Logging_ROBERTSFORS/kartor/A 23338-2023.png", "A 23338-2023")</f>
        <v/>
      </c>
      <c r="V375">
        <f>HYPERLINK("https://klasma.github.io/Logging_ROBERTSFORS/klagomål/A 23338-2023.docx", "A 23338-2023")</f>
        <v/>
      </c>
      <c r="W375">
        <f>HYPERLINK("https://klasma.github.io/Logging_ROBERTSFORS/klagomålsmail/A 23338-2023.docx", "A 23338-2023")</f>
        <v/>
      </c>
      <c r="X375">
        <f>HYPERLINK("https://klasma.github.io/Logging_ROBERTSFORS/tillsyn/A 23338-2023.docx", "A 23338-2023")</f>
        <v/>
      </c>
      <c r="Y375">
        <f>HYPERLINK("https://klasma.github.io/Logging_ROBERTSFORS/tillsynsmail/A 23338-2023.docx", "A 23338-2023")</f>
        <v/>
      </c>
    </row>
    <row r="376" ht="15" customHeight="1">
      <c r="A376" t="inlineStr">
        <is>
          <t>A 31199-2023</t>
        </is>
      </c>
      <c r="B376" s="1" t="n">
        <v>45113</v>
      </c>
      <c r="C376" s="1" t="n">
        <v>45204</v>
      </c>
      <c r="D376" t="inlineStr">
        <is>
          <t>VÄSTERBOTTENS LÄN</t>
        </is>
      </c>
      <c r="E376" t="inlineStr">
        <is>
          <t>VILHELMINA</t>
        </is>
      </c>
      <c r="F376" t="inlineStr">
        <is>
          <t>SCA</t>
        </is>
      </c>
      <c r="G376" t="n">
        <v>9.800000000000001</v>
      </c>
      <c r="H376" t="n">
        <v>0</v>
      </c>
      <c r="I376" t="n">
        <v>1</v>
      </c>
      <c r="J376" t="n">
        <v>2</v>
      </c>
      <c r="K376" t="n">
        <v>0</v>
      </c>
      <c r="L376" t="n">
        <v>0</v>
      </c>
      <c r="M376" t="n">
        <v>0</v>
      </c>
      <c r="N376" t="n">
        <v>0</v>
      </c>
      <c r="O376" t="n">
        <v>2</v>
      </c>
      <c r="P376" t="n">
        <v>0</v>
      </c>
      <c r="Q376" t="n">
        <v>3</v>
      </c>
      <c r="R376" s="2" t="inlineStr">
        <is>
          <t>Granticka
Vitgrynig nållav
Vedticka</t>
        </is>
      </c>
      <c r="S376">
        <f>HYPERLINK("https://klasma.github.io/Logging_VILHELMINA/artfynd/A 31199-2023.xlsx", "A 31199-2023")</f>
        <v/>
      </c>
      <c r="T376">
        <f>HYPERLINK("https://klasma.github.io/Logging_VILHELMINA/kartor/A 31199-2023.png", "A 31199-2023")</f>
        <v/>
      </c>
      <c r="V376">
        <f>HYPERLINK("https://klasma.github.io/Logging_VILHELMINA/klagomål/A 31199-2023.docx", "A 31199-2023")</f>
        <v/>
      </c>
      <c r="W376">
        <f>HYPERLINK("https://klasma.github.io/Logging_VILHELMINA/klagomålsmail/A 31199-2023.docx", "A 31199-2023")</f>
        <v/>
      </c>
      <c r="X376">
        <f>HYPERLINK("https://klasma.github.io/Logging_VILHELMINA/tillsyn/A 31199-2023.docx", "A 31199-2023")</f>
        <v/>
      </c>
      <c r="Y376">
        <f>HYPERLINK("https://klasma.github.io/Logging_VILHELMINA/tillsynsmail/A 31199-2023.docx", "A 31199-2023")</f>
        <v/>
      </c>
    </row>
    <row r="377" ht="15" customHeight="1">
      <c r="A377" t="inlineStr">
        <is>
          <t>A 42472-2023</t>
        </is>
      </c>
      <c r="B377" s="1" t="n">
        <v>45180</v>
      </c>
      <c r="C377" s="1" t="n">
        <v>45204</v>
      </c>
      <c r="D377" t="inlineStr">
        <is>
          <t>VÄSTERBOTTENS LÄN</t>
        </is>
      </c>
      <c r="E377" t="inlineStr">
        <is>
          <t>MALÅ</t>
        </is>
      </c>
      <c r="G377" t="n">
        <v>94</v>
      </c>
      <c r="H377" t="n">
        <v>3</v>
      </c>
      <c r="I377" t="n">
        <v>0</v>
      </c>
      <c r="J377" t="n">
        <v>2</v>
      </c>
      <c r="K377" t="n">
        <v>0</v>
      </c>
      <c r="L377" t="n">
        <v>1</v>
      </c>
      <c r="M377" t="n">
        <v>0</v>
      </c>
      <c r="N377" t="n">
        <v>0</v>
      </c>
      <c r="O377" t="n">
        <v>3</v>
      </c>
      <c r="P377" t="n">
        <v>1</v>
      </c>
      <c r="Q377" t="n">
        <v>3</v>
      </c>
      <c r="R377" s="2" t="inlineStr">
        <is>
          <t>Grönfink
Svartvit flugsnappare
Talltita</t>
        </is>
      </c>
      <c r="S377">
        <f>HYPERLINK("https://klasma.github.io/Logging_MALA/artfynd/A 42472-2023.xlsx", "A 42472-2023")</f>
        <v/>
      </c>
      <c r="T377">
        <f>HYPERLINK("https://klasma.github.io/Logging_MALA/kartor/A 42472-2023.png", "A 42472-2023")</f>
        <v/>
      </c>
      <c r="V377">
        <f>HYPERLINK("https://klasma.github.io/Logging_MALA/klagomål/A 42472-2023.docx", "A 42472-2023")</f>
        <v/>
      </c>
      <c r="W377">
        <f>HYPERLINK("https://klasma.github.io/Logging_MALA/klagomålsmail/A 42472-2023.docx", "A 42472-2023")</f>
        <v/>
      </c>
      <c r="X377">
        <f>HYPERLINK("https://klasma.github.io/Logging_MALA/tillsyn/A 42472-2023.docx", "A 42472-2023")</f>
        <v/>
      </c>
      <c r="Y377">
        <f>HYPERLINK("https://klasma.github.io/Logging_MALA/tillsynsmail/A 42472-2023.docx", "A 42472-2023")</f>
        <v/>
      </c>
    </row>
    <row r="378" ht="15" customHeight="1">
      <c r="A378" t="inlineStr">
        <is>
          <t>A 47496-2023</t>
        </is>
      </c>
      <c r="B378" s="1" t="n">
        <v>45202</v>
      </c>
      <c r="C378" s="1" t="n">
        <v>45204</v>
      </c>
      <c r="D378" t="inlineStr">
        <is>
          <t>VÄSTERBOTTENS LÄN</t>
        </is>
      </c>
      <c r="E378" t="inlineStr">
        <is>
          <t>DOROTEA</t>
        </is>
      </c>
      <c r="F378" t="inlineStr">
        <is>
          <t>SCA</t>
        </is>
      </c>
      <c r="G378" t="n">
        <v>7.4</v>
      </c>
      <c r="H378" t="n">
        <v>1</v>
      </c>
      <c r="I378" t="n">
        <v>0</v>
      </c>
      <c r="J378" t="n">
        <v>2</v>
      </c>
      <c r="K378" t="n">
        <v>1</v>
      </c>
      <c r="L378" t="n">
        <v>0</v>
      </c>
      <c r="M378" t="n">
        <v>0</v>
      </c>
      <c r="N378" t="n">
        <v>0</v>
      </c>
      <c r="O378" t="n">
        <v>3</v>
      </c>
      <c r="P378" t="n">
        <v>1</v>
      </c>
      <c r="Q378" t="n">
        <v>3</v>
      </c>
      <c r="R378" s="2" t="inlineStr">
        <is>
          <t>Aspgelélav
Gammelgransskål
Tretåig hackspett</t>
        </is>
      </c>
      <c r="S378">
        <f>HYPERLINK("https://klasma.github.io/Logging_DOROTEA/artfynd/A 47496-2023.xlsx", "A 47496-2023")</f>
        <v/>
      </c>
      <c r="T378">
        <f>HYPERLINK("https://klasma.github.io/Logging_DOROTEA/kartor/A 47496-2023.png", "A 47496-2023")</f>
        <v/>
      </c>
      <c r="V378">
        <f>HYPERLINK("https://klasma.github.io/Logging_DOROTEA/klagomål/A 47496-2023.docx", "A 47496-2023")</f>
        <v/>
      </c>
      <c r="W378">
        <f>HYPERLINK("https://klasma.github.io/Logging_DOROTEA/klagomålsmail/A 47496-2023.docx", "A 47496-2023")</f>
        <v/>
      </c>
      <c r="X378">
        <f>HYPERLINK("https://klasma.github.io/Logging_DOROTEA/tillsyn/A 47496-2023.docx", "A 47496-2023")</f>
        <v/>
      </c>
      <c r="Y378">
        <f>HYPERLINK("https://klasma.github.io/Logging_DOROTEA/tillsynsmail/A 47496-2023.docx", "A 47496-2023")</f>
        <v/>
      </c>
    </row>
    <row r="379" ht="15" customHeight="1">
      <c r="A379" t="inlineStr">
        <is>
          <t>A 40016-2018</t>
        </is>
      </c>
      <c r="B379" s="1" t="n">
        <v>43342</v>
      </c>
      <c r="C379" s="1" t="n">
        <v>45204</v>
      </c>
      <c r="D379" t="inlineStr">
        <is>
          <t>VÄSTERBOTTENS LÄN</t>
        </is>
      </c>
      <c r="E379" t="inlineStr">
        <is>
          <t>BJURHOLM</t>
        </is>
      </c>
      <c r="G379" t="n">
        <v>1.3</v>
      </c>
      <c r="H379" t="n">
        <v>0</v>
      </c>
      <c r="I379" t="n">
        <v>1</v>
      </c>
      <c r="J379" t="n">
        <v>1</v>
      </c>
      <c r="K379" t="n">
        <v>0</v>
      </c>
      <c r="L379" t="n">
        <v>0</v>
      </c>
      <c r="M379" t="n">
        <v>0</v>
      </c>
      <c r="N379" t="n">
        <v>0</v>
      </c>
      <c r="O379" t="n">
        <v>1</v>
      </c>
      <c r="P379" t="n">
        <v>0</v>
      </c>
      <c r="Q379" t="n">
        <v>2</v>
      </c>
      <c r="R379" s="2" t="inlineStr">
        <is>
          <t>Lunglav
Stuplav</t>
        </is>
      </c>
      <c r="S379">
        <f>HYPERLINK("https://klasma.github.io/Logging_BJURHOLM/artfynd/A 40016-2018.xlsx", "A 40016-2018")</f>
        <v/>
      </c>
      <c r="T379">
        <f>HYPERLINK("https://klasma.github.io/Logging_BJURHOLM/kartor/A 40016-2018.png", "A 40016-2018")</f>
        <v/>
      </c>
      <c r="V379">
        <f>HYPERLINK("https://klasma.github.io/Logging_BJURHOLM/klagomål/A 40016-2018.docx", "A 40016-2018")</f>
        <v/>
      </c>
      <c r="W379">
        <f>HYPERLINK("https://klasma.github.io/Logging_BJURHOLM/klagomålsmail/A 40016-2018.docx", "A 40016-2018")</f>
        <v/>
      </c>
      <c r="X379">
        <f>HYPERLINK("https://klasma.github.io/Logging_BJURHOLM/tillsyn/A 40016-2018.docx", "A 40016-2018")</f>
        <v/>
      </c>
      <c r="Y379">
        <f>HYPERLINK("https://klasma.github.io/Logging_BJURHOLM/tillsynsmail/A 40016-2018.docx", "A 40016-2018")</f>
        <v/>
      </c>
    </row>
    <row r="380" ht="15" customHeight="1">
      <c r="A380" t="inlineStr">
        <is>
          <t>A 46738-2018</t>
        </is>
      </c>
      <c r="B380" s="1" t="n">
        <v>43364</v>
      </c>
      <c r="C380" s="1" t="n">
        <v>45204</v>
      </c>
      <c r="D380" t="inlineStr">
        <is>
          <t>VÄSTERBOTTENS LÄN</t>
        </is>
      </c>
      <c r="E380" t="inlineStr">
        <is>
          <t>ROBERTSFORS</t>
        </is>
      </c>
      <c r="F380" t="inlineStr">
        <is>
          <t>Sveaskog</t>
        </is>
      </c>
      <c r="G380" t="n">
        <v>75.09999999999999</v>
      </c>
      <c r="H380" t="n">
        <v>0</v>
      </c>
      <c r="I380" t="n">
        <v>2</v>
      </c>
      <c r="J380" t="n">
        <v>0</v>
      </c>
      <c r="K380" t="n">
        <v>0</v>
      </c>
      <c r="L380" t="n">
        <v>0</v>
      </c>
      <c r="M380" t="n">
        <v>0</v>
      </c>
      <c r="N380" t="n">
        <v>0</v>
      </c>
      <c r="O380" t="n">
        <v>0</v>
      </c>
      <c r="P380" t="n">
        <v>0</v>
      </c>
      <c r="Q380" t="n">
        <v>2</v>
      </c>
      <c r="R380" s="2" t="inlineStr">
        <is>
          <t>Luddlav
Stuplav</t>
        </is>
      </c>
      <c r="S380">
        <f>HYPERLINK("https://klasma.github.io/Logging_ROBERTSFORS/artfynd/A 46738-2018.xlsx", "A 46738-2018")</f>
        <v/>
      </c>
      <c r="T380">
        <f>HYPERLINK("https://klasma.github.io/Logging_ROBERTSFORS/kartor/A 46738-2018.png", "A 46738-2018")</f>
        <v/>
      </c>
      <c r="V380">
        <f>HYPERLINK("https://klasma.github.io/Logging_ROBERTSFORS/klagomål/A 46738-2018.docx", "A 46738-2018")</f>
        <v/>
      </c>
      <c r="W380">
        <f>HYPERLINK("https://klasma.github.io/Logging_ROBERTSFORS/klagomålsmail/A 46738-2018.docx", "A 46738-2018")</f>
        <v/>
      </c>
      <c r="X380">
        <f>HYPERLINK("https://klasma.github.io/Logging_ROBERTSFORS/tillsyn/A 46738-2018.docx", "A 46738-2018")</f>
        <v/>
      </c>
      <c r="Y380">
        <f>HYPERLINK("https://klasma.github.io/Logging_ROBERTSFORS/tillsynsmail/A 46738-2018.docx", "A 46738-2018")</f>
        <v/>
      </c>
    </row>
    <row r="381" ht="15" customHeight="1">
      <c r="A381" t="inlineStr">
        <is>
          <t>A 61019-2018</t>
        </is>
      </c>
      <c r="B381" s="1" t="n">
        <v>43412</v>
      </c>
      <c r="C381" s="1" t="n">
        <v>45204</v>
      </c>
      <c r="D381" t="inlineStr">
        <is>
          <t>VÄSTERBOTTENS LÄN</t>
        </is>
      </c>
      <c r="E381" t="inlineStr">
        <is>
          <t>SKELLEFTEÅ</t>
        </is>
      </c>
      <c r="G381" t="n">
        <v>2.6</v>
      </c>
      <c r="H381" t="n">
        <v>2</v>
      </c>
      <c r="I381" t="n">
        <v>0</v>
      </c>
      <c r="J381" t="n">
        <v>2</v>
      </c>
      <c r="K381" t="n">
        <v>0</v>
      </c>
      <c r="L381" t="n">
        <v>0</v>
      </c>
      <c r="M381" t="n">
        <v>0</v>
      </c>
      <c r="N381" t="n">
        <v>0</v>
      </c>
      <c r="O381" t="n">
        <v>2</v>
      </c>
      <c r="P381" t="n">
        <v>0</v>
      </c>
      <c r="Q381" t="n">
        <v>2</v>
      </c>
      <c r="R381" s="2" t="inlineStr">
        <is>
          <t>Rödvingetrast
Spillkråka</t>
        </is>
      </c>
      <c r="S381">
        <f>HYPERLINK("https://klasma.github.io/Logging_SKELLEFTEA/artfynd/A 61019-2018.xlsx", "A 61019-2018")</f>
        <v/>
      </c>
      <c r="T381">
        <f>HYPERLINK("https://klasma.github.io/Logging_SKELLEFTEA/kartor/A 61019-2018.png", "A 61019-2018")</f>
        <v/>
      </c>
      <c r="V381">
        <f>HYPERLINK("https://klasma.github.io/Logging_SKELLEFTEA/klagomål/A 61019-2018.docx", "A 61019-2018")</f>
        <v/>
      </c>
      <c r="W381">
        <f>HYPERLINK("https://klasma.github.io/Logging_SKELLEFTEA/klagomålsmail/A 61019-2018.docx", "A 61019-2018")</f>
        <v/>
      </c>
      <c r="X381">
        <f>HYPERLINK("https://klasma.github.io/Logging_SKELLEFTEA/tillsyn/A 61019-2018.docx", "A 61019-2018")</f>
        <v/>
      </c>
      <c r="Y381">
        <f>HYPERLINK("https://klasma.github.io/Logging_SKELLEFTEA/tillsynsmail/A 61019-2018.docx", "A 61019-2018")</f>
        <v/>
      </c>
    </row>
    <row r="382" ht="15" customHeight="1">
      <c r="A382" t="inlineStr">
        <is>
          <t>A 62996-2018</t>
        </is>
      </c>
      <c r="B382" s="1" t="n">
        <v>43417</v>
      </c>
      <c r="C382" s="1" t="n">
        <v>45204</v>
      </c>
      <c r="D382" t="inlineStr">
        <is>
          <t>VÄSTERBOTTENS LÄN</t>
        </is>
      </c>
      <c r="E382" t="inlineStr">
        <is>
          <t>ÅSELE</t>
        </is>
      </c>
      <c r="F382" t="inlineStr">
        <is>
          <t>SCA</t>
        </is>
      </c>
      <c r="G382" t="n">
        <v>2</v>
      </c>
      <c r="H382" t="n">
        <v>0</v>
      </c>
      <c r="I382" t="n">
        <v>0</v>
      </c>
      <c r="J382" t="n">
        <v>1</v>
      </c>
      <c r="K382" t="n">
        <v>1</v>
      </c>
      <c r="L382" t="n">
        <v>0</v>
      </c>
      <c r="M382" t="n">
        <v>0</v>
      </c>
      <c r="N382" t="n">
        <v>0</v>
      </c>
      <c r="O382" t="n">
        <v>2</v>
      </c>
      <c r="P382" t="n">
        <v>1</v>
      </c>
      <c r="Q382" t="n">
        <v>2</v>
      </c>
      <c r="R382" s="2" t="inlineStr">
        <is>
          <t>Rynkskinn
Granticka</t>
        </is>
      </c>
      <c r="S382">
        <f>HYPERLINK("https://klasma.github.io/Logging_ASELE/artfynd/A 62996-2018.xlsx", "A 62996-2018")</f>
        <v/>
      </c>
      <c r="T382">
        <f>HYPERLINK("https://klasma.github.io/Logging_ASELE/kartor/A 62996-2018.png", "A 62996-2018")</f>
        <v/>
      </c>
      <c r="V382">
        <f>HYPERLINK("https://klasma.github.io/Logging_ASELE/klagomål/A 62996-2018.docx", "A 62996-2018")</f>
        <v/>
      </c>
      <c r="W382">
        <f>HYPERLINK("https://klasma.github.io/Logging_ASELE/klagomålsmail/A 62996-2018.docx", "A 62996-2018")</f>
        <v/>
      </c>
      <c r="X382">
        <f>HYPERLINK("https://klasma.github.io/Logging_ASELE/tillsyn/A 62996-2018.docx", "A 62996-2018")</f>
        <v/>
      </c>
      <c r="Y382">
        <f>HYPERLINK("https://klasma.github.io/Logging_ASELE/tillsynsmail/A 62996-2018.docx", "A 62996-2018")</f>
        <v/>
      </c>
    </row>
    <row r="383" ht="15" customHeight="1">
      <c r="A383" t="inlineStr">
        <is>
          <t>A 67241-2018</t>
        </is>
      </c>
      <c r="B383" s="1" t="n">
        <v>43431</v>
      </c>
      <c r="C383" s="1" t="n">
        <v>45204</v>
      </c>
      <c r="D383" t="inlineStr">
        <is>
          <t>VÄSTERBOTTENS LÄN</t>
        </is>
      </c>
      <c r="E383" t="inlineStr">
        <is>
          <t>SKELLEFTEÅ</t>
        </is>
      </c>
      <c r="G383" t="n">
        <v>6.5</v>
      </c>
      <c r="H383" t="n">
        <v>0</v>
      </c>
      <c r="I383" t="n">
        <v>0</v>
      </c>
      <c r="J383" t="n">
        <v>1</v>
      </c>
      <c r="K383" t="n">
        <v>1</v>
      </c>
      <c r="L383" t="n">
        <v>0</v>
      </c>
      <c r="M383" t="n">
        <v>0</v>
      </c>
      <c r="N383" t="n">
        <v>0</v>
      </c>
      <c r="O383" t="n">
        <v>2</v>
      </c>
      <c r="P383" t="n">
        <v>1</v>
      </c>
      <c r="Q383" t="n">
        <v>2</v>
      </c>
      <c r="R383" s="2" t="inlineStr">
        <is>
          <t>Fläckporing
Gammelgransskål</t>
        </is>
      </c>
      <c r="S383">
        <f>HYPERLINK("https://klasma.github.io/Logging_SKELLEFTEA/artfynd/A 67241-2018.xlsx", "A 67241-2018")</f>
        <v/>
      </c>
      <c r="T383">
        <f>HYPERLINK("https://klasma.github.io/Logging_SKELLEFTEA/kartor/A 67241-2018.png", "A 67241-2018")</f>
        <v/>
      </c>
      <c r="V383">
        <f>HYPERLINK("https://klasma.github.io/Logging_SKELLEFTEA/klagomål/A 67241-2018.docx", "A 67241-2018")</f>
        <v/>
      </c>
      <c r="W383">
        <f>HYPERLINK("https://klasma.github.io/Logging_SKELLEFTEA/klagomålsmail/A 67241-2018.docx", "A 67241-2018")</f>
        <v/>
      </c>
      <c r="X383">
        <f>HYPERLINK("https://klasma.github.io/Logging_SKELLEFTEA/tillsyn/A 67241-2018.docx", "A 67241-2018")</f>
        <v/>
      </c>
      <c r="Y383">
        <f>HYPERLINK("https://klasma.github.io/Logging_SKELLEFTEA/tillsynsmail/A 67241-2018.docx", "A 67241-2018")</f>
        <v/>
      </c>
    </row>
    <row r="384" ht="15" customHeight="1">
      <c r="A384" t="inlineStr">
        <is>
          <t>A 2764-2019</t>
        </is>
      </c>
      <c r="B384" s="1" t="n">
        <v>43479</v>
      </c>
      <c r="C384" s="1" t="n">
        <v>45204</v>
      </c>
      <c r="D384" t="inlineStr">
        <is>
          <t>VÄSTERBOTTENS LÄN</t>
        </is>
      </c>
      <c r="E384" t="inlineStr">
        <is>
          <t>SKELLEFTEÅ</t>
        </is>
      </c>
      <c r="F384" t="inlineStr">
        <is>
          <t>Sveaskog</t>
        </is>
      </c>
      <c r="G384" t="n">
        <v>5.2</v>
      </c>
      <c r="H384" t="n">
        <v>0</v>
      </c>
      <c r="I384" t="n">
        <v>0</v>
      </c>
      <c r="J384" t="n">
        <v>2</v>
      </c>
      <c r="K384" t="n">
        <v>0</v>
      </c>
      <c r="L384" t="n">
        <v>0</v>
      </c>
      <c r="M384" t="n">
        <v>0</v>
      </c>
      <c r="N384" t="n">
        <v>0</v>
      </c>
      <c r="O384" t="n">
        <v>2</v>
      </c>
      <c r="P384" t="n">
        <v>0</v>
      </c>
      <c r="Q384" t="n">
        <v>2</v>
      </c>
      <c r="R384" s="2" t="inlineStr">
        <is>
          <t>Lunglav
Violettgrå tagellav</t>
        </is>
      </c>
      <c r="S384">
        <f>HYPERLINK("https://klasma.github.io/Logging_SKELLEFTEA/artfynd/A 2764-2019.xlsx", "A 2764-2019")</f>
        <v/>
      </c>
      <c r="T384">
        <f>HYPERLINK("https://klasma.github.io/Logging_SKELLEFTEA/kartor/A 2764-2019.png", "A 2764-2019")</f>
        <v/>
      </c>
      <c r="V384">
        <f>HYPERLINK("https://klasma.github.io/Logging_SKELLEFTEA/klagomål/A 2764-2019.docx", "A 2764-2019")</f>
        <v/>
      </c>
      <c r="W384">
        <f>HYPERLINK("https://klasma.github.io/Logging_SKELLEFTEA/klagomålsmail/A 2764-2019.docx", "A 2764-2019")</f>
        <v/>
      </c>
      <c r="X384">
        <f>HYPERLINK("https://klasma.github.io/Logging_SKELLEFTEA/tillsyn/A 2764-2019.docx", "A 2764-2019")</f>
        <v/>
      </c>
      <c r="Y384">
        <f>HYPERLINK("https://klasma.github.io/Logging_SKELLEFTEA/tillsynsmail/A 2764-2019.docx", "A 2764-2019")</f>
        <v/>
      </c>
    </row>
    <row r="385" ht="15" customHeight="1">
      <c r="A385" t="inlineStr">
        <is>
          <t>A 3638-2019</t>
        </is>
      </c>
      <c r="B385" s="1" t="n">
        <v>43481</v>
      </c>
      <c r="C385" s="1" t="n">
        <v>45204</v>
      </c>
      <c r="D385" t="inlineStr">
        <is>
          <t>VÄSTERBOTTENS LÄN</t>
        </is>
      </c>
      <c r="E385" t="inlineStr">
        <is>
          <t>STORUMAN</t>
        </is>
      </c>
      <c r="F385" t="inlineStr">
        <is>
          <t>Sveaskog</t>
        </is>
      </c>
      <c r="G385" t="n">
        <v>6</v>
      </c>
      <c r="H385" t="n">
        <v>0</v>
      </c>
      <c r="I385" t="n">
        <v>1</v>
      </c>
      <c r="J385" t="n">
        <v>1</v>
      </c>
      <c r="K385" t="n">
        <v>0</v>
      </c>
      <c r="L385" t="n">
        <v>0</v>
      </c>
      <c r="M385" t="n">
        <v>0</v>
      </c>
      <c r="N385" t="n">
        <v>0</v>
      </c>
      <c r="O385" t="n">
        <v>1</v>
      </c>
      <c r="P385" t="n">
        <v>0</v>
      </c>
      <c r="Q385" t="n">
        <v>2</v>
      </c>
      <c r="R385" s="2" t="inlineStr">
        <is>
          <t>Granticka
Mörk husmossa</t>
        </is>
      </c>
      <c r="S385">
        <f>HYPERLINK("https://klasma.github.io/Logging_STORUMAN/artfynd/A 3638-2019.xlsx", "A 3638-2019")</f>
        <v/>
      </c>
      <c r="T385">
        <f>HYPERLINK("https://klasma.github.io/Logging_STORUMAN/kartor/A 3638-2019.png", "A 3638-2019")</f>
        <v/>
      </c>
      <c r="V385">
        <f>HYPERLINK("https://klasma.github.io/Logging_STORUMAN/klagomål/A 3638-2019.docx", "A 3638-2019")</f>
        <v/>
      </c>
      <c r="W385">
        <f>HYPERLINK("https://klasma.github.io/Logging_STORUMAN/klagomålsmail/A 3638-2019.docx", "A 3638-2019")</f>
        <v/>
      </c>
      <c r="X385">
        <f>HYPERLINK("https://klasma.github.io/Logging_STORUMAN/tillsyn/A 3638-2019.docx", "A 3638-2019")</f>
        <v/>
      </c>
      <c r="Y385">
        <f>HYPERLINK("https://klasma.github.io/Logging_STORUMAN/tillsynsmail/A 3638-2019.docx", "A 3638-2019")</f>
        <v/>
      </c>
    </row>
    <row r="386" ht="15" customHeight="1">
      <c r="A386" t="inlineStr">
        <is>
          <t>A 4374-2019</t>
        </is>
      </c>
      <c r="B386" s="1" t="n">
        <v>43483</v>
      </c>
      <c r="C386" s="1" t="n">
        <v>45204</v>
      </c>
      <c r="D386" t="inlineStr">
        <is>
          <t>VÄSTERBOTTENS LÄN</t>
        </is>
      </c>
      <c r="E386" t="inlineStr">
        <is>
          <t>UMEÅ</t>
        </is>
      </c>
      <c r="G386" t="n">
        <v>6.7</v>
      </c>
      <c r="H386" t="n">
        <v>0</v>
      </c>
      <c r="I386" t="n">
        <v>0</v>
      </c>
      <c r="J386" t="n">
        <v>1</v>
      </c>
      <c r="K386" t="n">
        <v>1</v>
      </c>
      <c r="L386" t="n">
        <v>0</v>
      </c>
      <c r="M386" t="n">
        <v>0</v>
      </c>
      <c r="N386" t="n">
        <v>0</v>
      </c>
      <c r="O386" t="n">
        <v>2</v>
      </c>
      <c r="P386" t="n">
        <v>1</v>
      </c>
      <c r="Q386" t="n">
        <v>2</v>
      </c>
      <c r="R386" s="2" t="inlineStr">
        <is>
          <t>Rynkskinn
Ullticka</t>
        </is>
      </c>
      <c r="S386">
        <f>HYPERLINK("https://klasma.github.io/Logging_UMEA/artfynd/A 4374-2019.xlsx", "A 4374-2019")</f>
        <v/>
      </c>
      <c r="T386">
        <f>HYPERLINK("https://klasma.github.io/Logging_UMEA/kartor/A 4374-2019.png", "A 4374-2019")</f>
        <v/>
      </c>
      <c r="V386">
        <f>HYPERLINK("https://klasma.github.io/Logging_UMEA/klagomål/A 4374-2019.docx", "A 4374-2019")</f>
        <v/>
      </c>
      <c r="W386">
        <f>HYPERLINK("https://klasma.github.io/Logging_UMEA/klagomålsmail/A 4374-2019.docx", "A 4374-2019")</f>
        <v/>
      </c>
      <c r="X386">
        <f>HYPERLINK("https://klasma.github.io/Logging_UMEA/tillsyn/A 4374-2019.docx", "A 4374-2019")</f>
        <v/>
      </c>
      <c r="Y386">
        <f>HYPERLINK("https://klasma.github.io/Logging_UMEA/tillsynsmail/A 4374-2019.docx", "A 4374-2019")</f>
        <v/>
      </c>
    </row>
    <row r="387" ht="15" customHeight="1">
      <c r="A387" t="inlineStr">
        <is>
          <t>A 4756-2019</t>
        </is>
      </c>
      <c r="B387" s="1" t="n">
        <v>43486</v>
      </c>
      <c r="C387" s="1" t="n">
        <v>45204</v>
      </c>
      <c r="D387" t="inlineStr">
        <is>
          <t>VÄSTERBOTTENS LÄN</t>
        </is>
      </c>
      <c r="E387" t="inlineStr">
        <is>
          <t>SKELLEFTEÅ</t>
        </is>
      </c>
      <c r="G387" t="n">
        <v>7.6</v>
      </c>
      <c r="H387" t="n">
        <v>0</v>
      </c>
      <c r="I387" t="n">
        <v>0</v>
      </c>
      <c r="J387" t="n">
        <v>2</v>
      </c>
      <c r="K387" t="n">
        <v>0</v>
      </c>
      <c r="L387" t="n">
        <v>0</v>
      </c>
      <c r="M387" t="n">
        <v>0</v>
      </c>
      <c r="N387" t="n">
        <v>0</v>
      </c>
      <c r="O387" t="n">
        <v>2</v>
      </c>
      <c r="P387" t="n">
        <v>0</v>
      </c>
      <c r="Q387" t="n">
        <v>2</v>
      </c>
      <c r="R387" s="2" t="inlineStr">
        <is>
          <t>Garnlav
Granticka</t>
        </is>
      </c>
      <c r="S387">
        <f>HYPERLINK("https://klasma.github.io/Logging_SKELLEFTEA/artfynd/A 4756-2019.xlsx", "A 4756-2019")</f>
        <v/>
      </c>
      <c r="T387">
        <f>HYPERLINK("https://klasma.github.io/Logging_SKELLEFTEA/kartor/A 4756-2019.png", "A 4756-2019")</f>
        <v/>
      </c>
      <c r="V387">
        <f>HYPERLINK("https://klasma.github.io/Logging_SKELLEFTEA/klagomål/A 4756-2019.docx", "A 4756-2019")</f>
        <v/>
      </c>
      <c r="W387">
        <f>HYPERLINK("https://klasma.github.io/Logging_SKELLEFTEA/klagomålsmail/A 4756-2019.docx", "A 4756-2019")</f>
        <v/>
      </c>
      <c r="X387">
        <f>HYPERLINK("https://klasma.github.io/Logging_SKELLEFTEA/tillsyn/A 4756-2019.docx", "A 4756-2019")</f>
        <v/>
      </c>
      <c r="Y387">
        <f>HYPERLINK("https://klasma.github.io/Logging_SKELLEFTEA/tillsynsmail/A 4756-2019.docx", "A 4756-2019")</f>
        <v/>
      </c>
    </row>
    <row r="388" ht="15" customHeight="1">
      <c r="A388" t="inlineStr">
        <is>
          <t>A 9403-2019</t>
        </is>
      </c>
      <c r="B388" s="1" t="n">
        <v>43507</v>
      </c>
      <c r="C388" s="1" t="n">
        <v>45204</v>
      </c>
      <c r="D388" t="inlineStr">
        <is>
          <t>VÄSTERBOTTENS LÄN</t>
        </is>
      </c>
      <c r="E388" t="inlineStr">
        <is>
          <t>SKELLEFTEÅ</t>
        </is>
      </c>
      <c r="G388" t="n">
        <v>0.8</v>
      </c>
      <c r="H388" t="n">
        <v>1</v>
      </c>
      <c r="I388" t="n">
        <v>0</v>
      </c>
      <c r="J388" t="n">
        <v>1</v>
      </c>
      <c r="K388" t="n">
        <v>1</v>
      </c>
      <c r="L388" t="n">
        <v>0</v>
      </c>
      <c r="M388" t="n">
        <v>0</v>
      </c>
      <c r="N388" t="n">
        <v>0</v>
      </c>
      <c r="O388" t="n">
        <v>2</v>
      </c>
      <c r="P388" t="n">
        <v>1</v>
      </c>
      <c r="Q388" t="n">
        <v>2</v>
      </c>
      <c r="R388" s="2" t="inlineStr">
        <is>
          <t>Knärot
Ullticka</t>
        </is>
      </c>
      <c r="S388">
        <f>HYPERLINK("https://klasma.github.io/Logging_SKELLEFTEA/artfynd/A 9403-2019.xlsx", "A 9403-2019")</f>
        <v/>
      </c>
      <c r="T388">
        <f>HYPERLINK("https://klasma.github.io/Logging_SKELLEFTEA/kartor/A 9403-2019.png", "A 9403-2019")</f>
        <v/>
      </c>
      <c r="U388">
        <f>HYPERLINK("https://klasma.github.io/Logging_SKELLEFTEA/knärot/A 9403-2019.png", "A 9403-2019")</f>
        <v/>
      </c>
      <c r="V388">
        <f>HYPERLINK("https://klasma.github.io/Logging_SKELLEFTEA/klagomål/A 9403-2019.docx", "A 9403-2019")</f>
        <v/>
      </c>
      <c r="W388">
        <f>HYPERLINK("https://klasma.github.io/Logging_SKELLEFTEA/klagomålsmail/A 9403-2019.docx", "A 9403-2019")</f>
        <v/>
      </c>
      <c r="X388">
        <f>HYPERLINK("https://klasma.github.io/Logging_SKELLEFTEA/tillsyn/A 9403-2019.docx", "A 9403-2019")</f>
        <v/>
      </c>
      <c r="Y388">
        <f>HYPERLINK("https://klasma.github.io/Logging_SKELLEFTEA/tillsynsmail/A 9403-2019.docx", "A 9403-2019")</f>
        <v/>
      </c>
    </row>
    <row r="389" ht="15" customHeight="1">
      <c r="A389" t="inlineStr">
        <is>
          <t>A 12533-2019</t>
        </is>
      </c>
      <c r="B389" s="1" t="n">
        <v>43523</v>
      </c>
      <c r="C389" s="1" t="n">
        <v>45204</v>
      </c>
      <c r="D389" t="inlineStr">
        <is>
          <t>VÄSTERBOTTENS LÄN</t>
        </is>
      </c>
      <c r="E389" t="inlineStr">
        <is>
          <t>VILHELMINA</t>
        </is>
      </c>
      <c r="F389" t="inlineStr">
        <is>
          <t>Allmännings- och besparingsskogar</t>
        </is>
      </c>
      <c r="G389" t="n">
        <v>15</v>
      </c>
      <c r="H389" t="n">
        <v>0</v>
      </c>
      <c r="I389" t="n">
        <v>0</v>
      </c>
      <c r="J389" t="n">
        <v>1</v>
      </c>
      <c r="K389" t="n">
        <v>1</v>
      </c>
      <c r="L389" t="n">
        <v>0</v>
      </c>
      <c r="M389" t="n">
        <v>0</v>
      </c>
      <c r="N389" t="n">
        <v>0</v>
      </c>
      <c r="O389" t="n">
        <v>2</v>
      </c>
      <c r="P389" t="n">
        <v>1</v>
      </c>
      <c r="Q389" t="n">
        <v>2</v>
      </c>
      <c r="R389" s="2" t="inlineStr">
        <is>
          <t>Grantickeporing
Granticka</t>
        </is>
      </c>
      <c r="S389">
        <f>HYPERLINK("https://klasma.github.io/Logging_VILHELMINA/artfynd/A 12533-2019.xlsx", "A 12533-2019")</f>
        <v/>
      </c>
      <c r="T389">
        <f>HYPERLINK("https://klasma.github.io/Logging_VILHELMINA/kartor/A 12533-2019.png", "A 12533-2019")</f>
        <v/>
      </c>
      <c r="V389">
        <f>HYPERLINK("https://klasma.github.io/Logging_VILHELMINA/klagomål/A 12533-2019.docx", "A 12533-2019")</f>
        <v/>
      </c>
      <c r="W389">
        <f>HYPERLINK("https://klasma.github.io/Logging_VILHELMINA/klagomålsmail/A 12533-2019.docx", "A 12533-2019")</f>
        <v/>
      </c>
      <c r="X389">
        <f>HYPERLINK("https://klasma.github.io/Logging_VILHELMINA/tillsyn/A 12533-2019.docx", "A 12533-2019")</f>
        <v/>
      </c>
      <c r="Y389">
        <f>HYPERLINK("https://klasma.github.io/Logging_VILHELMINA/tillsynsmail/A 12533-2019.docx", "A 12533-2019")</f>
        <v/>
      </c>
    </row>
    <row r="390" ht="15" customHeight="1">
      <c r="A390" t="inlineStr">
        <is>
          <t>A 13681-2019</t>
        </is>
      </c>
      <c r="B390" s="1" t="n">
        <v>43530</v>
      </c>
      <c r="C390" s="1" t="n">
        <v>45204</v>
      </c>
      <c r="D390" t="inlineStr">
        <is>
          <t>VÄSTERBOTTENS LÄN</t>
        </is>
      </c>
      <c r="E390" t="inlineStr">
        <is>
          <t>MALÅ</t>
        </is>
      </c>
      <c r="F390" t="inlineStr">
        <is>
          <t>SCA</t>
        </is>
      </c>
      <c r="G390" t="n">
        <v>3.5</v>
      </c>
      <c r="H390" t="n">
        <v>1</v>
      </c>
      <c r="I390" t="n">
        <v>0</v>
      </c>
      <c r="J390" t="n">
        <v>2</v>
      </c>
      <c r="K390" t="n">
        <v>0</v>
      </c>
      <c r="L390" t="n">
        <v>0</v>
      </c>
      <c r="M390" t="n">
        <v>0</v>
      </c>
      <c r="N390" t="n">
        <v>0</v>
      </c>
      <c r="O390" t="n">
        <v>2</v>
      </c>
      <c r="P390" t="n">
        <v>0</v>
      </c>
      <c r="Q390" t="n">
        <v>2</v>
      </c>
      <c r="R390" s="2" t="inlineStr">
        <is>
          <t>Granticka
Tretåig hackspett</t>
        </is>
      </c>
      <c r="S390">
        <f>HYPERLINK("https://klasma.github.io/Logging_MALA/artfynd/A 13681-2019.xlsx", "A 13681-2019")</f>
        <v/>
      </c>
      <c r="T390">
        <f>HYPERLINK("https://klasma.github.io/Logging_MALA/kartor/A 13681-2019.png", "A 13681-2019")</f>
        <v/>
      </c>
      <c r="V390">
        <f>HYPERLINK("https://klasma.github.io/Logging_MALA/klagomål/A 13681-2019.docx", "A 13681-2019")</f>
        <v/>
      </c>
      <c r="W390">
        <f>HYPERLINK("https://klasma.github.io/Logging_MALA/klagomålsmail/A 13681-2019.docx", "A 13681-2019")</f>
        <v/>
      </c>
      <c r="X390">
        <f>HYPERLINK("https://klasma.github.io/Logging_MALA/tillsyn/A 13681-2019.docx", "A 13681-2019")</f>
        <v/>
      </c>
      <c r="Y390">
        <f>HYPERLINK("https://klasma.github.io/Logging_MALA/tillsynsmail/A 13681-2019.docx", "A 13681-2019")</f>
        <v/>
      </c>
    </row>
    <row r="391" ht="15" customHeight="1">
      <c r="A391" t="inlineStr">
        <is>
          <t>A 14561-2019</t>
        </is>
      </c>
      <c r="B391" s="1" t="n">
        <v>43535</v>
      </c>
      <c r="C391" s="1" t="n">
        <v>45204</v>
      </c>
      <c r="D391" t="inlineStr">
        <is>
          <t>VÄSTERBOTTENS LÄN</t>
        </is>
      </c>
      <c r="E391" t="inlineStr">
        <is>
          <t>SKELLEFTEÅ</t>
        </is>
      </c>
      <c r="G391" t="n">
        <v>3.2</v>
      </c>
      <c r="H391" t="n">
        <v>0</v>
      </c>
      <c r="I391" t="n">
        <v>0</v>
      </c>
      <c r="J391" t="n">
        <v>2</v>
      </c>
      <c r="K391" t="n">
        <v>0</v>
      </c>
      <c r="L391" t="n">
        <v>0</v>
      </c>
      <c r="M391" t="n">
        <v>0</v>
      </c>
      <c r="N391" t="n">
        <v>0</v>
      </c>
      <c r="O391" t="n">
        <v>2</v>
      </c>
      <c r="P391" t="n">
        <v>0</v>
      </c>
      <c r="Q391" t="n">
        <v>2</v>
      </c>
      <c r="R391" s="2" t="inlineStr">
        <is>
          <t>Gammelgransskål
Granticka</t>
        </is>
      </c>
      <c r="S391">
        <f>HYPERLINK("https://klasma.github.io/Logging_SKELLEFTEA/artfynd/A 14561-2019.xlsx", "A 14561-2019")</f>
        <v/>
      </c>
      <c r="T391">
        <f>HYPERLINK("https://klasma.github.io/Logging_SKELLEFTEA/kartor/A 14561-2019.png", "A 14561-2019")</f>
        <v/>
      </c>
      <c r="V391">
        <f>HYPERLINK("https://klasma.github.io/Logging_SKELLEFTEA/klagomål/A 14561-2019.docx", "A 14561-2019")</f>
        <v/>
      </c>
      <c r="W391">
        <f>HYPERLINK("https://klasma.github.io/Logging_SKELLEFTEA/klagomålsmail/A 14561-2019.docx", "A 14561-2019")</f>
        <v/>
      </c>
      <c r="X391">
        <f>HYPERLINK("https://klasma.github.io/Logging_SKELLEFTEA/tillsyn/A 14561-2019.docx", "A 14561-2019")</f>
        <v/>
      </c>
      <c r="Y391">
        <f>HYPERLINK("https://klasma.github.io/Logging_SKELLEFTEA/tillsynsmail/A 14561-2019.docx", "A 14561-2019")</f>
        <v/>
      </c>
    </row>
    <row r="392" ht="15" customHeight="1">
      <c r="A392" t="inlineStr">
        <is>
          <t>A 14337-2019</t>
        </is>
      </c>
      <c r="B392" s="1" t="n">
        <v>43535</v>
      </c>
      <c r="C392" s="1" t="n">
        <v>45204</v>
      </c>
      <c r="D392" t="inlineStr">
        <is>
          <t>VÄSTERBOTTENS LÄN</t>
        </is>
      </c>
      <c r="E392" t="inlineStr">
        <is>
          <t>MALÅ</t>
        </is>
      </c>
      <c r="F392" t="inlineStr">
        <is>
          <t>Sveaskog</t>
        </is>
      </c>
      <c r="G392" t="n">
        <v>8.6</v>
      </c>
      <c r="H392" t="n">
        <v>0</v>
      </c>
      <c r="I392" t="n">
        <v>0</v>
      </c>
      <c r="J392" t="n">
        <v>2</v>
      </c>
      <c r="K392" t="n">
        <v>0</v>
      </c>
      <c r="L392" t="n">
        <v>0</v>
      </c>
      <c r="M392" t="n">
        <v>0</v>
      </c>
      <c r="N392" t="n">
        <v>0</v>
      </c>
      <c r="O392" t="n">
        <v>2</v>
      </c>
      <c r="P392" t="n">
        <v>0</v>
      </c>
      <c r="Q392" t="n">
        <v>2</v>
      </c>
      <c r="R392" s="2" t="inlineStr">
        <is>
          <t>Garnlav
Lunglav</t>
        </is>
      </c>
      <c r="S392">
        <f>HYPERLINK("https://klasma.github.io/Logging_MALA/artfynd/A 14337-2019.xlsx", "A 14337-2019")</f>
        <v/>
      </c>
      <c r="T392">
        <f>HYPERLINK("https://klasma.github.io/Logging_MALA/kartor/A 14337-2019.png", "A 14337-2019")</f>
        <v/>
      </c>
      <c r="V392">
        <f>HYPERLINK("https://klasma.github.io/Logging_MALA/klagomål/A 14337-2019.docx", "A 14337-2019")</f>
        <v/>
      </c>
      <c r="W392">
        <f>HYPERLINK("https://klasma.github.io/Logging_MALA/klagomålsmail/A 14337-2019.docx", "A 14337-2019")</f>
        <v/>
      </c>
      <c r="X392">
        <f>HYPERLINK("https://klasma.github.io/Logging_MALA/tillsyn/A 14337-2019.docx", "A 14337-2019")</f>
        <v/>
      </c>
      <c r="Y392">
        <f>HYPERLINK("https://klasma.github.io/Logging_MALA/tillsynsmail/A 14337-2019.docx", "A 14337-2019")</f>
        <v/>
      </c>
    </row>
    <row r="393" ht="15" customHeight="1">
      <c r="A393" t="inlineStr">
        <is>
          <t>A 17998-2019</t>
        </is>
      </c>
      <c r="B393" s="1" t="n">
        <v>43556</v>
      </c>
      <c r="C393" s="1" t="n">
        <v>45204</v>
      </c>
      <c r="D393" t="inlineStr">
        <is>
          <t>VÄSTERBOTTENS LÄN</t>
        </is>
      </c>
      <c r="E393" t="inlineStr">
        <is>
          <t>NORDMALING</t>
        </is>
      </c>
      <c r="G393" t="n">
        <v>6</v>
      </c>
      <c r="H393" t="n">
        <v>0</v>
      </c>
      <c r="I393" t="n">
        <v>0</v>
      </c>
      <c r="J393" t="n">
        <v>2</v>
      </c>
      <c r="K393" t="n">
        <v>0</v>
      </c>
      <c r="L393" t="n">
        <v>0</v>
      </c>
      <c r="M393" t="n">
        <v>0</v>
      </c>
      <c r="N393" t="n">
        <v>0</v>
      </c>
      <c r="O393" t="n">
        <v>2</v>
      </c>
      <c r="P393" t="n">
        <v>0</v>
      </c>
      <c r="Q393" t="n">
        <v>2</v>
      </c>
      <c r="R393" s="2" t="inlineStr">
        <is>
          <t>Granticka
Rosenticka</t>
        </is>
      </c>
      <c r="S393">
        <f>HYPERLINK("https://klasma.github.io/Logging_NORDMALING/artfynd/A 17998-2019.xlsx", "A 17998-2019")</f>
        <v/>
      </c>
      <c r="T393">
        <f>HYPERLINK("https://klasma.github.io/Logging_NORDMALING/kartor/A 17998-2019.png", "A 17998-2019")</f>
        <v/>
      </c>
      <c r="V393">
        <f>HYPERLINK("https://klasma.github.io/Logging_NORDMALING/klagomål/A 17998-2019.docx", "A 17998-2019")</f>
        <v/>
      </c>
      <c r="W393">
        <f>HYPERLINK("https://klasma.github.io/Logging_NORDMALING/klagomålsmail/A 17998-2019.docx", "A 17998-2019")</f>
        <v/>
      </c>
      <c r="X393">
        <f>HYPERLINK("https://klasma.github.io/Logging_NORDMALING/tillsyn/A 17998-2019.docx", "A 17998-2019")</f>
        <v/>
      </c>
      <c r="Y393">
        <f>HYPERLINK("https://klasma.github.io/Logging_NORDMALING/tillsynsmail/A 17998-2019.docx", "A 17998-2019")</f>
        <v/>
      </c>
    </row>
    <row r="394" ht="15" customHeight="1">
      <c r="A394" t="inlineStr">
        <is>
          <t>A 18882-2019</t>
        </is>
      </c>
      <c r="B394" s="1" t="n">
        <v>43563</v>
      </c>
      <c r="C394" s="1" t="n">
        <v>45204</v>
      </c>
      <c r="D394" t="inlineStr">
        <is>
          <t>VÄSTERBOTTENS LÄN</t>
        </is>
      </c>
      <c r="E394" t="inlineStr">
        <is>
          <t>SKELLEFTEÅ</t>
        </is>
      </c>
      <c r="F394" t="inlineStr">
        <is>
          <t>Kommuner</t>
        </is>
      </c>
      <c r="G394" t="n">
        <v>33.1</v>
      </c>
      <c r="H394" t="n">
        <v>2</v>
      </c>
      <c r="I394" t="n">
        <v>1</v>
      </c>
      <c r="J394" t="n">
        <v>0</v>
      </c>
      <c r="K394" t="n">
        <v>0</v>
      </c>
      <c r="L394" t="n">
        <v>0</v>
      </c>
      <c r="M394" t="n">
        <v>0</v>
      </c>
      <c r="N394" t="n">
        <v>0</v>
      </c>
      <c r="O394" t="n">
        <v>0</v>
      </c>
      <c r="P394" t="n">
        <v>0</v>
      </c>
      <c r="Q394" t="n">
        <v>2</v>
      </c>
      <c r="R394" s="2" t="inlineStr">
        <is>
          <t>Plattlummer
Revlummer</t>
        </is>
      </c>
      <c r="S394">
        <f>HYPERLINK("https://klasma.github.io/Logging_SKELLEFTEA/artfynd/A 18882-2019.xlsx", "A 18882-2019")</f>
        <v/>
      </c>
      <c r="T394">
        <f>HYPERLINK("https://klasma.github.io/Logging_SKELLEFTEA/kartor/A 18882-2019.png", "A 18882-2019")</f>
        <v/>
      </c>
      <c r="V394">
        <f>HYPERLINK("https://klasma.github.io/Logging_SKELLEFTEA/klagomål/A 18882-2019.docx", "A 18882-2019")</f>
        <v/>
      </c>
      <c r="W394">
        <f>HYPERLINK("https://klasma.github.io/Logging_SKELLEFTEA/klagomålsmail/A 18882-2019.docx", "A 18882-2019")</f>
        <v/>
      </c>
      <c r="X394">
        <f>HYPERLINK("https://klasma.github.io/Logging_SKELLEFTEA/tillsyn/A 18882-2019.docx", "A 18882-2019")</f>
        <v/>
      </c>
      <c r="Y394">
        <f>HYPERLINK("https://klasma.github.io/Logging_SKELLEFTEA/tillsynsmail/A 18882-2019.docx", "A 18882-2019")</f>
        <v/>
      </c>
    </row>
    <row r="395" ht="15" customHeight="1">
      <c r="A395" t="inlineStr">
        <is>
          <t>A 29514-2019</t>
        </is>
      </c>
      <c r="B395" s="1" t="n">
        <v>43627</v>
      </c>
      <c r="C395" s="1" t="n">
        <v>45204</v>
      </c>
      <c r="D395" t="inlineStr">
        <is>
          <t>VÄSTERBOTTENS LÄN</t>
        </is>
      </c>
      <c r="E395" t="inlineStr">
        <is>
          <t>SKELLEFTEÅ</t>
        </is>
      </c>
      <c r="G395" t="n">
        <v>9.5</v>
      </c>
      <c r="H395" t="n">
        <v>1</v>
      </c>
      <c r="I395" t="n">
        <v>1</v>
      </c>
      <c r="J395" t="n">
        <v>1</v>
      </c>
      <c r="K395" t="n">
        <v>0</v>
      </c>
      <c r="L395" t="n">
        <v>0</v>
      </c>
      <c r="M395" t="n">
        <v>0</v>
      </c>
      <c r="N395" t="n">
        <v>0</v>
      </c>
      <c r="O395" t="n">
        <v>1</v>
      </c>
      <c r="P395" t="n">
        <v>0</v>
      </c>
      <c r="Q395" t="n">
        <v>2</v>
      </c>
      <c r="R395" s="2" t="inlineStr">
        <is>
          <t>Ullticka
Lappranunkel</t>
        </is>
      </c>
      <c r="S395">
        <f>HYPERLINK("https://klasma.github.io/Logging_SKELLEFTEA/artfynd/A 29514-2019.xlsx", "A 29514-2019")</f>
        <v/>
      </c>
      <c r="T395">
        <f>HYPERLINK("https://klasma.github.io/Logging_SKELLEFTEA/kartor/A 29514-2019.png", "A 29514-2019")</f>
        <v/>
      </c>
      <c r="V395">
        <f>HYPERLINK("https://klasma.github.io/Logging_SKELLEFTEA/klagomål/A 29514-2019.docx", "A 29514-2019")</f>
        <v/>
      </c>
      <c r="W395">
        <f>HYPERLINK("https://klasma.github.io/Logging_SKELLEFTEA/klagomålsmail/A 29514-2019.docx", "A 29514-2019")</f>
        <v/>
      </c>
      <c r="X395">
        <f>HYPERLINK("https://klasma.github.io/Logging_SKELLEFTEA/tillsyn/A 29514-2019.docx", "A 29514-2019")</f>
        <v/>
      </c>
      <c r="Y395">
        <f>HYPERLINK("https://klasma.github.io/Logging_SKELLEFTEA/tillsynsmail/A 29514-2019.docx", "A 29514-2019")</f>
        <v/>
      </c>
    </row>
    <row r="396" ht="15" customHeight="1">
      <c r="A396" t="inlineStr">
        <is>
          <t>A 29824-2019</t>
        </is>
      </c>
      <c r="B396" s="1" t="n">
        <v>43629</v>
      </c>
      <c r="C396" s="1" t="n">
        <v>45204</v>
      </c>
      <c r="D396" t="inlineStr">
        <is>
          <t>VÄSTERBOTTENS LÄN</t>
        </is>
      </c>
      <c r="E396" t="inlineStr">
        <is>
          <t>NORDMALING</t>
        </is>
      </c>
      <c r="G396" t="n">
        <v>2.9</v>
      </c>
      <c r="H396" t="n">
        <v>0</v>
      </c>
      <c r="I396" t="n">
        <v>0</v>
      </c>
      <c r="J396" t="n">
        <v>1</v>
      </c>
      <c r="K396" t="n">
        <v>1</v>
      </c>
      <c r="L396" t="n">
        <v>0</v>
      </c>
      <c r="M396" t="n">
        <v>0</v>
      </c>
      <c r="N396" t="n">
        <v>0</v>
      </c>
      <c r="O396" t="n">
        <v>2</v>
      </c>
      <c r="P396" t="n">
        <v>1</v>
      </c>
      <c r="Q396" t="n">
        <v>2</v>
      </c>
      <c r="R396" s="2" t="inlineStr">
        <is>
          <t>Rynkskinn
Ullticka</t>
        </is>
      </c>
      <c r="S396">
        <f>HYPERLINK("https://klasma.github.io/Logging_NORDMALING/artfynd/A 29824-2019.xlsx", "A 29824-2019")</f>
        <v/>
      </c>
      <c r="T396">
        <f>HYPERLINK("https://klasma.github.io/Logging_NORDMALING/kartor/A 29824-2019.png", "A 29824-2019")</f>
        <v/>
      </c>
      <c r="V396">
        <f>HYPERLINK("https://klasma.github.io/Logging_NORDMALING/klagomål/A 29824-2019.docx", "A 29824-2019")</f>
        <v/>
      </c>
      <c r="W396">
        <f>HYPERLINK("https://klasma.github.io/Logging_NORDMALING/klagomålsmail/A 29824-2019.docx", "A 29824-2019")</f>
        <v/>
      </c>
      <c r="X396">
        <f>HYPERLINK("https://klasma.github.io/Logging_NORDMALING/tillsyn/A 29824-2019.docx", "A 29824-2019")</f>
        <v/>
      </c>
      <c r="Y396">
        <f>HYPERLINK("https://klasma.github.io/Logging_NORDMALING/tillsynsmail/A 29824-2019.docx", "A 29824-2019")</f>
        <v/>
      </c>
    </row>
    <row r="397" ht="15" customHeight="1">
      <c r="A397" t="inlineStr">
        <is>
          <t>A 35097-2019</t>
        </is>
      </c>
      <c r="B397" s="1" t="n">
        <v>43661</v>
      </c>
      <c r="C397" s="1" t="n">
        <v>45204</v>
      </c>
      <c r="D397" t="inlineStr">
        <is>
          <t>VÄSTERBOTTENS LÄN</t>
        </is>
      </c>
      <c r="E397" t="inlineStr">
        <is>
          <t>SKELLEFTEÅ</t>
        </is>
      </c>
      <c r="F397" t="inlineStr">
        <is>
          <t>Sveaskog</t>
        </is>
      </c>
      <c r="G397" t="n">
        <v>19.2</v>
      </c>
      <c r="H397" t="n">
        <v>0</v>
      </c>
      <c r="I397" t="n">
        <v>1</v>
      </c>
      <c r="J397" t="n">
        <v>1</v>
      </c>
      <c r="K397" t="n">
        <v>0</v>
      </c>
      <c r="L397" t="n">
        <v>0</v>
      </c>
      <c r="M397" t="n">
        <v>0</v>
      </c>
      <c r="N397" t="n">
        <v>0</v>
      </c>
      <c r="O397" t="n">
        <v>1</v>
      </c>
      <c r="P397" t="n">
        <v>0</v>
      </c>
      <c r="Q397" t="n">
        <v>2</v>
      </c>
      <c r="R397" s="2" t="inlineStr">
        <is>
          <t>Grönhjon
Bronshjon</t>
        </is>
      </c>
      <c r="S397">
        <f>HYPERLINK("https://klasma.github.io/Logging_SKELLEFTEA/artfynd/A 35097-2019.xlsx", "A 35097-2019")</f>
        <v/>
      </c>
      <c r="T397">
        <f>HYPERLINK("https://klasma.github.io/Logging_SKELLEFTEA/kartor/A 35097-2019.png", "A 35097-2019")</f>
        <v/>
      </c>
      <c r="V397">
        <f>HYPERLINK("https://klasma.github.io/Logging_SKELLEFTEA/klagomål/A 35097-2019.docx", "A 35097-2019")</f>
        <v/>
      </c>
      <c r="W397">
        <f>HYPERLINK("https://klasma.github.io/Logging_SKELLEFTEA/klagomålsmail/A 35097-2019.docx", "A 35097-2019")</f>
        <v/>
      </c>
      <c r="X397">
        <f>HYPERLINK("https://klasma.github.io/Logging_SKELLEFTEA/tillsyn/A 35097-2019.docx", "A 35097-2019")</f>
        <v/>
      </c>
      <c r="Y397">
        <f>HYPERLINK("https://klasma.github.io/Logging_SKELLEFTEA/tillsynsmail/A 35097-2019.docx", "A 35097-2019")</f>
        <v/>
      </c>
    </row>
    <row r="398" ht="15" customHeight="1">
      <c r="A398" t="inlineStr">
        <is>
          <t>A 42000-2019</t>
        </is>
      </c>
      <c r="B398" s="1" t="n">
        <v>43700</v>
      </c>
      <c r="C398" s="1" t="n">
        <v>45204</v>
      </c>
      <c r="D398" t="inlineStr">
        <is>
          <t>VÄSTERBOTTENS LÄN</t>
        </is>
      </c>
      <c r="E398" t="inlineStr">
        <is>
          <t>STORUMAN</t>
        </is>
      </c>
      <c r="F398" t="inlineStr">
        <is>
          <t>Holmen skog AB</t>
        </is>
      </c>
      <c r="G398" t="n">
        <v>18.4</v>
      </c>
      <c r="H398" t="n">
        <v>0</v>
      </c>
      <c r="I398" t="n">
        <v>0</v>
      </c>
      <c r="J398" t="n">
        <v>0</v>
      </c>
      <c r="K398" t="n">
        <v>2</v>
      </c>
      <c r="L398" t="n">
        <v>0</v>
      </c>
      <c r="M398" t="n">
        <v>0</v>
      </c>
      <c r="N398" t="n">
        <v>0</v>
      </c>
      <c r="O398" t="n">
        <v>2</v>
      </c>
      <c r="P398" t="n">
        <v>2</v>
      </c>
      <c r="Q398" t="n">
        <v>2</v>
      </c>
      <c r="R398" s="2" t="inlineStr">
        <is>
          <t>Liten sotlav
Ostticka</t>
        </is>
      </c>
      <c r="S398">
        <f>HYPERLINK("https://klasma.github.io/Logging_STORUMAN/artfynd/A 42000-2019.xlsx", "A 42000-2019")</f>
        <v/>
      </c>
      <c r="T398">
        <f>HYPERLINK("https://klasma.github.io/Logging_STORUMAN/kartor/A 42000-2019.png", "A 42000-2019")</f>
        <v/>
      </c>
      <c r="V398">
        <f>HYPERLINK("https://klasma.github.io/Logging_STORUMAN/klagomål/A 42000-2019.docx", "A 42000-2019")</f>
        <v/>
      </c>
      <c r="W398">
        <f>HYPERLINK("https://klasma.github.io/Logging_STORUMAN/klagomålsmail/A 42000-2019.docx", "A 42000-2019")</f>
        <v/>
      </c>
      <c r="X398">
        <f>HYPERLINK("https://klasma.github.io/Logging_STORUMAN/tillsyn/A 42000-2019.docx", "A 42000-2019")</f>
        <v/>
      </c>
      <c r="Y398">
        <f>HYPERLINK("https://klasma.github.io/Logging_STORUMAN/tillsynsmail/A 42000-2019.docx", "A 42000-2019")</f>
        <v/>
      </c>
    </row>
    <row r="399" ht="15" customHeight="1">
      <c r="A399" t="inlineStr">
        <is>
          <t>A 46354-2019</t>
        </is>
      </c>
      <c r="B399" s="1" t="n">
        <v>43718</v>
      </c>
      <c r="C399" s="1" t="n">
        <v>45204</v>
      </c>
      <c r="D399" t="inlineStr">
        <is>
          <t>VÄSTERBOTTENS LÄN</t>
        </is>
      </c>
      <c r="E399" t="inlineStr">
        <is>
          <t>SKELLEFTEÅ</t>
        </is>
      </c>
      <c r="F399" t="inlineStr">
        <is>
          <t>SCA</t>
        </is>
      </c>
      <c r="G399" t="n">
        <v>5.5</v>
      </c>
      <c r="H399" t="n">
        <v>2</v>
      </c>
      <c r="I399" t="n">
        <v>0</v>
      </c>
      <c r="J399" t="n">
        <v>0</v>
      </c>
      <c r="K399" t="n">
        <v>0</v>
      </c>
      <c r="L399" t="n">
        <v>0</v>
      </c>
      <c r="M399" t="n">
        <v>0</v>
      </c>
      <c r="N399" t="n">
        <v>0</v>
      </c>
      <c r="O399" t="n">
        <v>0</v>
      </c>
      <c r="P399" t="n">
        <v>0</v>
      </c>
      <c r="Q399" t="n">
        <v>2</v>
      </c>
      <c r="R399" s="2" t="inlineStr">
        <is>
          <t>Vanlig groda
Revlummer</t>
        </is>
      </c>
      <c r="S399">
        <f>HYPERLINK("https://klasma.github.io/Logging_SKELLEFTEA/artfynd/A 46354-2019.xlsx", "A 46354-2019")</f>
        <v/>
      </c>
      <c r="T399">
        <f>HYPERLINK("https://klasma.github.io/Logging_SKELLEFTEA/kartor/A 46354-2019.png", "A 46354-2019")</f>
        <v/>
      </c>
      <c r="V399">
        <f>HYPERLINK("https://klasma.github.io/Logging_SKELLEFTEA/klagomål/A 46354-2019.docx", "A 46354-2019")</f>
        <v/>
      </c>
      <c r="W399">
        <f>HYPERLINK("https://klasma.github.io/Logging_SKELLEFTEA/klagomålsmail/A 46354-2019.docx", "A 46354-2019")</f>
        <v/>
      </c>
      <c r="X399">
        <f>HYPERLINK("https://klasma.github.io/Logging_SKELLEFTEA/tillsyn/A 46354-2019.docx", "A 46354-2019")</f>
        <v/>
      </c>
      <c r="Y399">
        <f>HYPERLINK("https://klasma.github.io/Logging_SKELLEFTEA/tillsynsmail/A 46354-2019.docx", "A 46354-2019")</f>
        <v/>
      </c>
    </row>
    <row r="400" ht="15" customHeight="1">
      <c r="A400" t="inlineStr">
        <is>
          <t>A 47994-2019</t>
        </is>
      </c>
      <c r="B400" s="1" t="n">
        <v>43725</v>
      </c>
      <c r="C400" s="1" t="n">
        <v>45204</v>
      </c>
      <c r="D400" t="inlineStr">
        <is>
          <t>VÄSTERBOTTENS LÄN</t>
        </is>
      </c>
      <c r="E400" t="inlineStr">
        <is>
          <t>STORUMAN</t>
        </is>
      </c>
      <c r="G400" t="n">
        <v>22.2</v>
      </c>
      <c r="H400" t="n">
        <v>0</v>
      </c>
      <c r="I400" t="n">
        <v>0</v>
      </c>
      <c r="J400" t="n">
        <v>2</v>
      </c>
      <c r="K400" t="n">
        <v>0</v>
      </c>
      <c r="L400" t="n">
        <v>0</v>
      </c>
      <c r="M400" t="n">
        <v>0</v>
      </c>
      <c r="N400" t="n">
        <v>0</v>
      </c>
      <c r="O400" t="n">
        <v>2</v>
      </c>
      <c r="P400" t="n">
        <v>0</v>
      </c>
      <c r="Q400" t="n">
        <v>2</v>
      </c>
      <c r="R400" s="2" t="inlineStr">
        <is>
          <t>Harticka
Violettkantad guldvinge</t>
        </is>
      </c>
      <c r="S400">
        <f>HYPERLINK("https://klasma.github.io/Logging_STORUMAN/artfynd/A 47994-2019.xlsx", "A 47994-2019")</f>
        <v/>
      </c>
      <c r="T400">
        <f>HYPERLINK("https://klasma.github.io/Logging_STORUMAN/kartor/A 47994-2019.png", "A 47994-2019")</f>
        <v/>
      </c>
      <c r="V400">
        <f>HYPERLINK("https://klasma.github.io/Logging_STORUMAN/klagomål/A 47994-2019.docx", "A 47994-2019")</f>
        <v/>
      </c>
      <c r="W400">
        <f>HYPERLINK("https://klasma.github.io/Logging_STORUMAN/klagomålsmail/A 47994-2019.docx", "A 47994-2019")</f>
        <v/>
      </c>
      <c r="X400">
        <f>HYPERLINK("https://klasma.github.io/Logging_STORUMAN/tillsyn/A 47994-2019.docx", "A 47994-2019")</f>
        <v/>
      </c>
      <c r="Y400">
        <f>HYPERLINK("https://klasma.github.io/Logging_STORUMAN/tillsynsmail/A 47994-2019.docx", "A 47994-2019")</f>
        <v/>
      </c>
    </row>
    <row r="401" ht="15" customHeight="1">
      <c r="A401" t="inlineStr">
        <is>
          <t>A 50020-2019</t>
        </is>
      </c>
      <c r="B401" s="1" t="n">
        <v>43731</v>
      </c>
      <c r="C401" s="1" t="n">
        <v>45204</v>
      </c>
      <c r="D401" t="inlineStr">
        <is>
          <t>VÄSTERBOTTENS LÄN</t>
        </is>
      </c>
      <c r="E401" t="inlineStr">
        <is>
          <t>VILHELMINA</t>
        </is>
      </c>
      <c r="F401" t="inlineStr">
        <is>
          <t>Allmännings- och besparingsskogar</t>
        </is>
      </c>
      <c r="G401" t="n">
        <v>4</v>
      </c>
      <c r="H401" t="n">
        <v>0</v>
      </c>
      <c r="I401" t="n">
        <v>0</v>
      </c>
      <c r="J401" t="n">
        <v>2</v>
      </c>
      <c r="K401" t="n">
        <v>0</v>
      </c>
      <c r="L401" t="n">
        <v>0</v>
      </c>
      <c r="M401" t="n">
        <v>0</v>
      </c>
      <c r="N401" t="n">
        <v>0</v>
      </c>
      <c r="O401" t="n">
        <v>2</v>
      </c>
      <c r="P401" t="n">
        <v>0</v>
      </c>
      <c r="Q401" t="n">
        <v>2</v>
      </c>
      <c r="R401" s="2" t="inlineStr">
        <is>
          <t>Harticka
Rödbrun blekspik</t>
        </is>
      </c>
      <c r="S401">
        <f>HYPERLINK("https://klasma.github.io/Logging_VILHELMINA/artfynd/A 50020-2019.xlsx", "A 50020-2019")</f>
        <v/>
      </c>
      <c r="T401">
        <f>HYPERLINK("https://klasma.github.io/Logging_VILHELMINA/kartor/A 50020-2019.png", "A 50020-2019")</f>
        <v/>
      </c>
      <c r="V401">
        <f>HYPERLINK("https://klasma.github.io/Logging_VILHELMINA/klagomål/A 50020-2019.docx", "A 50020-2019")</f>
        <v/>
      </c>
      <c r="W401">
        <f>HYPERLINK("https://klasma.github.io/Logging_VILHELMINA/klagomålsmail/A 50020-2019.docx", "A 50020-2019")</f>
        <v/>
      </c>
      <c r="X401">
        <f>HYPERLINK("https://klasma.github.io/Logging_VILHELMINA/tillsyn/A 50020-2019.docx", "A 50020-2019")</f>
        <v/>
      </c>
      <c r="Y401">
        <f>HYPERLINK("https://klasma.github.io/Logging_VILHELMINA/tillsynsmail/A 50020-2019.docx", "A 50020-2019")</f>
        <v/>
      </c>
    </row>
    <row r="402" ht="15" customHeight="1">
      <c r="A402" t="inlineStr">
        <is>
          <t>A 51539-2019</t>
        </is>
      </c>
      <c r="B402" s="1" t="n">
        <v>43740</v>
      </c>
      <c r="C402" s="1" t="n">
        <v>45204</v>
      </c>
      <c r="D402" t="inlineStr">
        <is>
          <t>VÄSTERBOTTENS LÄN</t>
        </is>
      </c>
      <c r="E402" t="inlineStr">
        <is>
          <t>ROBERTSFORS</t>
        </is>
      </c>
      <c r="G402" t="n">
        <v>5</v>
      </c>
      <c r="H402" t="n">
        <v>0</v>
      </c>
      <c r="I402" t="n">
        <v>0</v>
      </c>
      <c r="J402" t="n">
        <v>2</v>
      </c>
      <c r="K402" t="n">
        <v>0</v>
      </c>
      <c r="L402" t="n">
        <v>0</v>
      </c>
      <c r="M402" t="n">
        <v>0</v>
      </c>
      <c r="N402" t="n">
        <v>0</v>
      </c>
      <c r="O402" t="n">
        <v>2</v>
      </c>
      <c r="P402" t="n">
        <v>0</v>
      </c>
      <c r="Q402" t="n">
        <v>2</v>
      </c>
      <c r="R402" s="2" t="inlineStr">
        <is>
          <t>Granticka
Stjärntagging</t>
        </is>
      </c>
      <c r="S402">
        <f>HYPERLINK("https://klasma.github.io/Logging_ROBERTSFORS/artfynd/A 51539-2019.xlsx", "A 51539-2019")</f>
        <v/>
      </c>
      <c r="T402">
        <f>HYPERLINK("https://klasma.github.io/Logging_ROBERTSFORS/kartor/A 51539-2019.png", "A 51539-2019")</f>
        <v/>
      </c>
      <c r="V402">
        <f>HYPERLINK("https://klasma.github.io/Logging_ROBERTSFORS/klagomål/A 51539-2019.docx", "A 51539-2019")</f>
        <v/>
      </c>
      <c r="W402">
        <f>HYPERLINK("https://klasma.github.io/Logging_ROBERTSFORS/klagomålsmail/A 51539-2019.docx", "A 51539-2019")</f>
        <v/>
      </c>
      <c r="X402">
        <f>HYPERLINK("https://klasma.github.io/Logging_ROBERTSFORS/tillsyn/A 51539-2019.docx", "A 51539-2019")</f>
        <v/>
      </c>
      <c r="Y402">
        <f>HYPERLINK("https://klasma.github.io/Logging_ROBERTSFORS/tillsynsmail/A 51539-2019.docx", "A 51539-2019")</f>
        <v/>
      </c>
    </row>
    <row r="403" ht="15" customHeight="1">
      <c r="A403" t="inlineStr">
        <is>
          <t>A 53694-2019</t>
        </is>
      </c>
      <c r="B403" s="1" t="n">
        <v>43749</v>
      </c>
      <c r="C403" s="1" t="n">
        <v>45204</v>
      </c>
      <c r="D403" t="inlineStr">
        <is>
          <t>VÄSTERBOTTENS LÄN</t>
        </is>
      </c>
      <c r="E403" t="inlineStr">
        <is>
          <t>NORSJÖ</t>
        </is>
      </c>
      <c r="F403" t="inlineStr">
        <is>
          <t>Holmen skog AB</t>
        </is>
      </c>
      <c r="G403" t="n">
        <v>1.8</v>
      </c>
      <c r="H403" t="n">
        <v>0</v>
      </c>
      <c r="I403" t="n">
        <v>0</v>
      </c>
      <c r="J403" t="n">
        <v>2</v>
      </c>
      <c r="K403" t="n">
        <v>0</v>
      </c>
      <c r="L403" t="n">
        <v>0</v>
      </c>
      <c r="M403" t="n">
        <v>0</v>
      </c>
      <c r="N403" t="n">
        <v>0</v>
      </c>
      <c r="O403" t="n">
        <v>2</v>
      </c>
      <c r="P403" t="n">
        <v>0</v>
      </c>
      <c r="Q403" t="n">
        <v>2</v>
      </c>
      <c r="R403" s="2" t="inlineStr">
        <is>
          <t>Granticka
Harticka</t>
        </is>
      </c>
      <c r="S403">
        <f>HYPERLINK("https://klasma.github.io/Logging_NORSJO/artfynd/A 53694-2019.xlsx", "A 53694-2019")</f>
        <v/>
      </c>
      <c r="T403">
        <f>HYPERLINK("https://klasma.github.io/Logging_NORSJO/kartor/A 53694-2019.png", "A 53694-2019")</f>
        <v/>
      </c>
      <c r="V403">
        <f>HYPERLINK("https://klasma.github.io/Logging_NORSJO/klagomål/A 53694-2019.docx", "A 53694-2019")</f>
        <v/>
      </c>
      <c r="W403">
        <f>HYPERLINK("https://klasma.github.io/Logging_NORSJO/klagomålsmail/A 53694-2019.docx", "A 53694-2019")</f>
        <v/>
      </c>
      <c r="X403">
        <f>HYPERLINK("https://klasma.github.io/Logging_NORSJO/tillsyn/A 53694-2019.docx", "A 53694-2019")</f>
        <v/>
      </c>
      <c r="Y403">
        <f>HYPERLINK("https://klasma.github.io/Logging_NORSJO/tillsynsmail/A 53694-2019.docx", "A 53694-2019")</f>
        <v/>
      </c>
    </row>
    <row r="404" ht="15" customHeight="1">
      <c r="A404" t="inlineStr">
        <is>
          <t>A 58398-2019</t>
        </is>
      </c>
      <c r="B404" s="1" t="n">
        <v>43772</v>
      </c>
      <c r="C404" s="1" t="n">
        <v>45204</v>
      </c>
      <c r="D404" t="inlineStr">
        <is>
          <t>VÄSTERBOTTENS LÄN</t>
        </is>
      </c>
      <c r="E404" t="inlineStr">
        <is>
          <t>BJURHOLM</t>
        </is>
      </c>
      <c r="G404" t="n">
        <v>13.8</v>
      </c>
      <c r="H404" t="n">
        <v>0</v>
      </c>
      <c r="I404" t="n">
        <v>0</v>
      </c>
      <c r="J404" t="n">
        <v>2</v>
      </c>
      <c r="K404" t="n">
        <v>0</v>
      </c>
      <c r="L404" t="n">
        <v>0</v>
      </c>
      <c r="M404" t="n">
        <v>0</v>
      </c>
      <c r="N404" t="n">
        <v>0</v>
      </c>
      <c r="O404" t="n">
        <v>2</v>
      </c>
      <c r="P404" t="n">
        <v>0</v>
      </c>
      <c r="Q404" t="n">
        <v>2</v>
      </c>
      <c r="R404" s="2" t="inlineStr">
        <is>
          <t>Granticka
Tallticka</t>
        </is>
      </c>
      <c r="S404">
        <f>HYPERLINK("https://klasma.github.io/Logging_BJURHOLM/artfynd/A 58398-2019.xlsx", "A 58398-2019")</f>
        <v/>
      </c>
      <c r="T404">
        <f>HYPERLINK("https://klasma.github.io/Logging_BJURHOLM/kartor/A 58398-2019.png", "A 58398-2019")</f>
        <v/>
      </c>
      <c r="V404">
        <f>HYPERLINK("https://klasma.github.io/Logging_BJURHOLM/klagomål/A 58398-2019.docx", "A 58398-2019")</f>
        <v/>
      </c>
      <c r="W404">
        <f>HYPERLINK("https://klasma.github.io/Logging_BJURHOLM/klagomålsmail/A 58398-2019.docx", "A 58398-2019")</f>
        <v/>
      </c>
      <c r="X404">
        <f>HYPERLINK("https://klasma.github.io/Logging_BJURHOLM/tillsyn/A 58398-2019.docx", "A 58398-2019")</f>
        <v/>
      </c>
      <c r="Y404">
        <f>HYPERLINK("https://klasma.github.io/Logging_BJURHOLM/tillsynsmail/A 58398-2019.docx", "A 58398-2019")</f>
        <v/>
      </c>
    </row>
    <row r="405" ht="15" customHeight="1">
      <c r="A405" t="inlineStr">
        <is>
          <t>A 63593-2019</t>
        </is>
      </c>
      <c r="B405" s="1" t="n">
        <v>43780</v>
      </c>
      <c r="C405" s="1" t="n">
        <v>45204</v>
      </c>
      <c r="D405" t="inlineStr">
        <is>
          <t>VÄSTERBOTTENS LÄN</t>
        </is>
      </c>
      <c r="E405" t="inlineStr">
        <is>
          <t>SKELLEFTEÅ</t>
        </is>
      </c>
      <c r="G405" t="n">
        <v>37.6</v>
      </c>
      <c r="H405" t="n">
        <v>1</v>
      </c>
      <c r="I405" t="n">
        <v>0</v>
      </c>
      <c r="J405" t="n">
        <v>0</v>
      </c>
      <c r="K405" t="n">
        <v>1</v>
      </c>
      <c r="L405" t="n">
        <v>0</v>
      </c>
      <c r="M405" t="n">
        <v>0</v>
      </c>
      <c r="N405" t="n">
        <v>0</v>
      </c>
      <c r="O405" t="n">
        <v>1</v>
      </c>
      <c r="P405" t="n">
        <v>1</v>
      </c>
      <c r="Q405" t="n">
        <v>2</v>
      </c>
      <c r="R405" s="2" t="inlineStr">
        <is>
          <t>Grenlav
Revlummer</t>
        </is>
      </c>
      <c r="S405">
        <f>HYPERLINK("https://klasma.github.io/Logging_SKELLEFTEA/artfynd/A 63593-2019.xlsx", "A 63593-2019")</f>
        <v/>
      </c>
      <c r="T405">
        <f>HYPERLINK("https://klasma.github.io/Logging_SKELLEFTEA/kartor/A 63593-2019.png", "A 63593-2019")</f>
        <v/>
      </c>
      <c r="V405">
        <f>HYPERLINK("https://klasma.github.io/Logging_SKELLEFTEA/klagomål/A 63593-2019.docx", "A 63593-2019")</f>
        <v/>
      </c>
      <c r="W405">
        <f>HYPERLINK("https://klasma.github.io/Logging_SKELLEFTEA/klagomålsmail/A 63593-2019.docx", "A 63593-2019")</f>
        <v/>
      </c>
      <c r="X405">
        <f>HYPERLINK("https://klasma.github.io/Logging_SKELLEFTEA/tillsyn/A 63593-2019.docx", "A 63593-2019")</f>
        <v/>
      </c>
      <c r="Y405">
        <f>HYPERLINK("https://klasma.github.io/Logging_SKELLEFTEA/tillsynsmail/A 63593-2019.docx", "A 63593-2019")</f>
        <v/>
      </c>
    </row>
    <row r="406" ht="15" customHeight="1">
      <c r="A406" t="inlineStr">
        <is>
          <t>A 63400-2019</t>
        </is>
      </c>
      <c r="B406" s="1" t="n">
        <v>43787</v>
      </c>
      <c r="C406" s="1" t="n">
        <v>45204</v>
      </c>
      <c r="D406" t="inlineStr">
        <is>
          <t>VÄSTERBOTTENS LÄN</t>
        </is>
      </c>
      <c r="E406" t="inlineStr">
        <is>
          <t>ROBERTSFORS</t>
        </is>
      </c>
      <c r="F406" t="inlineStr">
        <is>
          <t>SCA</t>
        </is>
      </c>
      <c r="G406" t="n">
        <v>2.1</v>
      </c>
      <c r="H406" t="n">
        <v>0</v>
      </c>
      <c r="I406" t="n">
        <v>0</v>
      </c>
      <c r="J406" t="n">
        <v>2</v>
      </c>
      <c r="K406" t="n">
        <v>0</v>
      </c>
      <c r="L406" t="n">
        <v>0</v>
      </c>
      <c r="M406" t="n">
        <v>0</v>
      </c>
      <c r="N406" t="n">
        <v>0</v>
      </c>
      <c r="O406" t="n">
        <v>2</v>
      </c>
      <c r="P406" t="n">
        <v>0</v>
      </c>
      <c r="Q406" t="n">
        <v>2</v>
      </c>
      <c r="R406" s="2" t="inlineStr">
        <is>
          <t>Nordtagging
Vaddporing</t>
        </is>
      </c>
      <c r="S406">
        <f>HYPERLINK("https://klasma.github.io/Logging_ROBERTSFORS/artfynd/A 63400-2019.xlsx", "A 63400-2019")</f>
        <v/>
      </c>
      <c r="T406">
        <f>HYPERLINK("https://klasma.github.io/Logging_ROBERTSFORS/kartor/A 63400-2019.png", "A 63400-2019")</f>
        <v/>
      </c>
      <c r="V406">
        <f>HYPERLINK("https://klasma.github.io/Logging_ROBERTSFORS/klagomål/A 63400-2019.docx", "A 63400-2019")</f>
        <v/>
      </c>
      <c r="W406">
        <f>HYPERLINK("https://klasma.github.io/Logging_ROBERTSFORS/klagomålsmail/A 63400-2019.docx", "A 63400-2019")</f>
        <v/>
      </c>
      <c r="X406">
        <f>HYPERLINK("https://klasma.github.io/Logging_ROBERTSFORS/tillsyn/A 63400-2019.docx", "A 63400-2019")</f>
        <v/>
      </c>
      <c r="Y406">
        <f>HYPERLINK("https://klasma.github.io/Logging_ROBERTSFORS/tillsynsmail/A 63400-2019.docx", "A 63400-2019")</f>
        <v/>
      </c>
    </row>
    <row r="407" ht="15" customHeight="1">
      <c r="A407" t="inlineStr">
        <is>
          <t>A 65569-2019</t>
        </is>
      </c>
      <c r="B407" s="1" t="n">
        <v>43803</v>
      </c>
      <c r="C407" s="1" t="n">
        <v>45204</v>
      </c>
      <c r="D407" t="inlineStr">
        <is>
          <t>VÄSTERBOTTENS LÄN</t>
        </is>
      </c>
      <c r="E407" t="inlineStr">
        <is>
          <t>DOROTEA</t>
        </is>
      </c>
      <c r="F407" t="inlineStr">
        <is>
          <t>SCA</t>
        </is>
      </c>
      <c r="G407" t="n">
        <v>5.1</v>
      </c>
      <c r="H407" t="n">
        <v>0</v>
      </c>
      <c r="I407" t="n">
        <v>0</v>
      </c>
      <c r="J407" t="n">
        <v>1</v>
      </c>
      <c r="K407" t="n">
        <v>0</v>
      </c>
      <c r="L407" t="n">
        <v>1</v>
      </c>
      <c r="M407" t="n">
        <v>0</v>
      </c>
      <c r="N407" t="n">
        <v>0</v>
      </c>
      <c r="O407" t="n">
        <v>2</v>
      </c>
      <c r="P407" t="n">
        <v>1</v>
      </c>
      <c r="Q407" t="n">
        <v>2</v>
      </c>
      <c r="R407" s="2" t="inlineStr">
        <is>
          <t>Raggtaggsvamp
Knottrig blåslav</t>
        </is>
      </c>
      <c r="S407">
        <f>HYPERLINK("https://klasma.github.io/Logging_DOROTEA/artfynd/A 65569-2019.xlsx", "A 65569-2019")</f>
        <v/>
      </c>
      <c r="T407">
        <f>HYPERLINK("https://klasma.github.io/Logging_DOROTEA/kartor/A 65569-2019.png", "A 65569-2019")</f>
        <v/>
      </c>
      <c r="V407">
        <f>HYPERLINK("https://klasma.github.io/Logging_DOROTEA/klagomål/A 65569-2019.docx", "A 65569-2019")</f>
        <v/>
      </c>
      <c r="W407">
        <f>HYPERLINK("https://klasma.github.io/Logging_DOROTEA/klagomålsmail/A 65569-2019.docx", "A 65569-2019")</f>
        <v/>
      </c>
      <c r="X407">
        <f>HYPERLINK("https://klasma.github.io/Logging_DOROTEA/tillsyn/A 65569-2019.docx", "A 65569-2019")</f>
        <v/>
      </c>
      <c r="Y407">
        <f>HYPERLINK("https://klasma.github.io/Logging_DOROTEA/tillsynsmail/A 65569-2019.docx", "A 65569-2019")</f>
        <v/>
      </c>
    </row>
    <row r="408" ht="15" customHeight="1">
      <c r="A408" t="inlineStr">
        <is>
          <t>A 65564-2019</t>
        </is>
      </c>
      <c r="B408" s="1" t="n">
        <v>43803</v>
      </c>
      <c r="C408" s="1" t="n">
        <v>45204</v>
      </c>
      <c r="D408" t="inlineStr">
        <is>
          <t>VÄSTERBOTTENS LÄN</t>
        </is>
      </c>
      <c r="E408" t="inlineStr">
        <is>
          <t>DOROTEA</t>
        </is>
      </c>
      <c r="F408" t="inlineStr">
        <is>
          <t>SCA</t>
        </is>
      </c>
      <c r="G408" t="n">
        <v>6.6</v>
      </c>
      <c r="H408" t="n">
        <v>0</v>
      </c>
      <c r="I408" t="n">
        <v>0</v>
      </c>
      <c r="J408" t="n">
        <v>2</v>
      </c>
      <c r="K408" t="n">
        <v>0</v>
      </c>
      <c r="L408" t="n">
        <v>0</v>
      </c>
      <c r="M408" t="n">
        <v>0</v>
      </c>
      <c r="N408" t="n">
        <v>0</v>
      </c>
      <c r="O408" t="n">
        <v>2</v>
      </c>
      <c r="P408" t="n">
        <v>0</v>
      </c>
      <c r="Q408" t="n">
        <v>2</v>
      </c>
      <c r="R408" s="2" t="inlineStr">
        <is>
          <t>Doftskinn
Knottrig blåslav</t>
        </is>
      </c>
      <c r="S408">
        <f>HYPERLINK("https://klasma.github.io/Logging_DOROTEA/artfynd/A 65564-2019.xlsx", "A 65564-2019")</f>
        <v/>
      </c>
      <c r="T408">
        <f>HYPERLINK("https://klasma.github.io/Logging_DOROTEA/kartor/A 65564-2019.png", "A 65564-2019")</f>
        <v/>
      </c>
      <c r="V408">
        <f>HYPERLINK("https://klasma.github.io/Logging_DOROTEA/klagomål/A 65564-2019.docx", "A 65564-2019")</f>
        <v/>
      </c>
      <c r="W408">
        <f>HYPERLINK("https://klasma.github.io/Logging_DOROTEA/klagomålsmail/A 65564-2019.docx", "A 65564-2019")</f>
        <v/>
      </c>
      <c r="X408">
        <f>HYPERLINK("https://klasma.github.io/Logging_DOROTEA/tillsyn/A 65564-2019.docx", "A 65564-2019")</f>
        <v/>
      </c>
      <c r="Y408">
        <f>HYPERLINK("https://klasma.github.io/Logging_DOROTEA/tillsynsmail/A 65564-2019.docx", "A 65564-2019")</f>
        <v/>
      </c>
    </row>
    <row r="409" ht="15" customHeight="1">
      <c r="A409" t="inlineStr">
        <is>
          <t>A 65623-2019</t>
        </is>
      </c>
      <c r="B409" s="1" t="n">
        <v>43804</v>
      </c>
      <c r="C409" s="1" t="n">
        <v>45204</v>
      </c>
      <c r="D409" t="inlineStr">
        <is>
          <t>VÄSTERBOTTENS LÄN</t>
        </is>
      </c>
      <c r="E409" t="inlineStr">
        <is>
          <t>SKELLEFTEÅ</t>
        </is>
      </c>
      <c r="G409" t="n">
        <v>1.2</v>
      </c>
      <c r="H409" t="n">
        <v>0</v>
      </c>
      <c r="I409" t="n">
        <v>1</v>
      </c>
      <c r="J409" t="n">
        <v>1</v>
      </c>
      <c r="K409" t="n">
        <v>0</v>
      </c>
      <c r="L409" t="n">
        <v>0</v>
      </c>
      <c r="M409" t="n">
        <v>0</v>
      </c>
      <c r="N409" t="n">
        <v>0</v>
      </c>
      <c r="O409" t="n">
        <v>1</v>
      </c>
      <c r="P409" t="n">
        <v>0</v>
      </c>
      <c r="Q409" t="n">
        <v>2</v>
      </c>
      <c r="R409" s="2" t="inlineStr">
        <is>
          <t>Granticka
Vedticka</t>
        </is>
      </c>
      <c r="S409">
        <f>HYPERLINK("https://klasma.github.io/Logging_SKELLEFTEA/artfynd/A 65623-2019.xlsx", "A 65623-2019")</f>
        <v/>
      </c>
      <c r="T409">
        <f>HYPERLINK("https://klasma.github.io/Logging_SKELLEFTEA/kartor/A 65623-2019.png", "A 65623-2019")</f>
        <v/>
      </c>
      <c r="V409">
        <f>HYPERLINK("https://klasma.github.io/Logging_SKELLEFTEA/klagomål/A 65623-2019.docx", "A 65623-2019")</f>
        <v/>
      </c>
      <c r="W409">
        <f>HYPERLINK("https://klasma.github.io/Logging_SKELLEFTEA/klagomålsmail/A 65623-2019.docx", "A 65623-2019")</f>
        <v/>
      </c>
      <c r="X409">
        <f>HYPERLINK("https://klasma.github.io/Logging_SKELLEFTEA/tillsyn/A 65623-2019.docx", "A 65623-2019")</f>
        <v/>
      </c>
      <c r="Y409">
        <f>HYPERLINK("https://klasma.github.io/Logging_SKELLEFTEA/tillsynsmail/A 65623-2019.docx", "A 65623-2019")</f>
        <v/>
      </c>
    </row>
    <row r="410" ht="15" customHeight="1">
      <c r="A410" t="inlineStr">
        <is>
          <t>A 3124-2020</t>
        </is>
      </c>
      <c r="B410" s="1" t="n">
        <v>43843</v>
      </c>
      <c r="C410" s="1" t="n">
        <v>45204</v>
      </c>
      <c r="D410" t="inlineStr">
        <is>
          <t>VÄSTERBOTTENS LÄN</t>
        </is>
      </c>
      <c r="E410" t="inlineStr">
        <is>
          <t>NORDMALING</t>
        </is>
      </c>
      <c r="G410" t="n">
        <v>2</v>
      </c>
      <c r="H410" t="n">
        <v>0</v>
      </c>
      <c r="I410" t="n">
        <v>0</v>
      </c>
      <c r="J410" t="n">
        <v>2</v>
      </c>
      <c r="K410" t="n">
        <v>0</v>
      </c>
      <c r="L410" t="n">
        <v>0</v>
      </c>
      <c r="M410" t="n">
        <v>0</v>
      </c>
      <c r="N410" t="n">
        <v>0</v>
      </c>
      <c r="O410" t="n">
        <v>2</v>
      </c>
      <c r="P410" t="n">
        <v>0</v>
      </c>
      <c r="Q410" t="n">
        <v>2</v>
      </c>
      <c r="R410" s="2" t="inlineStr">
        <is>
          <t>Garnlav
Violettgrå tagellav</t>
        </is>
      </c>
      <c r="S410">
        <f>HYPERLINK("https://klasma.github.io/Logging_NORDMALING/artfynd/A 3124-2020.xlsx", "A 3124-2020")</f>
        <v/>
      </c>
      <c r="T410">
        <f>HYPERLINK("https://klasma.github.io/Logging_NORDMALING/kartor/A 3124-2020.png", "A 3124-2020")</f>
        <v/>
      </c>
      <c r="V410">
        <f>HYPERLINK("https://klasma.github.io/Logging_NORDMALING/klagomål/A 3124-2020.docx", "A 3124-2020")</f>
        <v/>
      </c>
      <c r="W410">
        <f>HYPERLINK("https://klasma.github.io/Logging_NORDMALING/klagomålsmail/A 3124-2020.docx", "A 3124-2020")</f>
        <v/>
      </c>
      <c r="X410">
        <f>HYPERLINK("https://klasma.github.io/Logging_NORDMALING/tillsyn/A 3124-2020.docx", "A 3124-2020")</f>
        <v/>
      </c>
      <c r="Y410">
        <f>HYPERLINK("https://klasma.github.io/Logging_NORDMALING/tillsynsmail/A 3124-2020.docx", "A 3124-2020")</f>
        <v/>
      </c>
    </row>
    <row r="411" ht="15" customHeight="1">
      <c r="A411" t="inlineStr">
        <is>
          <t>A 17776-2020</t>
        </is>
      </c>
      <c r="B411" s="1" t="n">
        <v>43923</v>
      </c>
      <c r="C411" s="1" t="n">
        <v>45204</v>
      </c>
      <c r="D411" t="inlineStr">
        <is>
          <t>VÄSTERBOTTENS LÄN</t>
        </is>
      </c>
      <c r="E411" t="inlineStr">
        <is>
          <t>VILHELMINA</t>
        </is>
      </c>
      <c r="F411" t="inlineStr">
        <is>
          <t>Allmännings- och besparingsskogar</t>
        </is>
      </c>
      <c r="G411" t="n">
        <v>1</v>
      </c>
      <c r="H411" t="n">
        <v>0</v>
      </c>
      <c r="I411" t="n">
        <v>0</v>
      </c>
      <c r="J411" t="n">
        <v>2</v>
      </c>
      <c r="K411" t="n">
        <v>0</v>
      </c>
      <c r="L411" t="n">
        <v>0</v>
      </c>
      <c r="M411" t="n">
        <v>0</v>
      </c>
      <c r="N411" t="n">
        <v>0</v>
      </c>
      <c r="O411" t="n">
        <v>2</v>
      </c>
      <c r="P411" t="n">
        <v>0</v>
      </c>
      <c r="Q411" t="n">
        <v>2</v>
      </c>
      <c r="R411" s="2" t="inlineStr">
        <is>
          <t>Lunglav
Skrovellav</t>
        </is>
      </c>
      <c r="S411">
        <f>HYPERLINK("https://klasma.github.io/Logging_VILHELMINA/artfynd/A 17776-2020.xlsx", "A 17776-2020")</f>
        <v/>
      </c>
      <c r="T411">
        <f>HYPERLINK("https://klasma.github.io/Logging_VILHELMINA/kartor/A 17776-2020.png", "A 17776-2020")</f>
        <v/>
      </c>
      <c r="V411">
        <f>HYPERLINK("https://klasma.github.io/Logging_VILHELMINA/klagomål/A 17776-2020.docx", "A 17776-2020")</f>
        <v/>
      </c>
      <c r="W411">
        <f>HYPERLINK("https://klasma.github.io/Logging_VILHELMINA/klagomålsmail/A 17776-2020.docx", "A 17776-2020")</f>
        <v/>
      </c>
      <c r="X411">
        <f>HYPERLINK("https://klasma.github.io/Logging_VILHELMINA/tillsyn/A 17776-2020.docx", "A 17776-2020")</f>
        <v/>
      </c>
      <c r="Y411">
        <f>HYPERLINK("https://klasma.github.io/Logging_VILHELMINA/tillsynsmail/A 17776-2020.docx", "A 17776-2020")</f>
        <v/>
      </c>
    </row>
    <row r="412" ht="15" customHeight="1">
      <c r="A412" t="inlineStr">
        <is>
          <t>A 17910-2020</t>
        </is>
      </c>
      <c r="B412" s="1" t="n">
        <v>43924</v>
      </c>
      <c r="C412" s="1" t="n">
        <v>45204</v>
      </c>
      <c r="D412" t="inlineStr">
        <is>
          <t>VÄSTERBOTTENS LÄN</t>
        </is>
      </c>
      <c r="E412" t="inlineStr">
        <is>
          <t>VILHELMINA</t>
        </is>
      </c>
      <c r="F412" t="inlineStr">
        <is>
          <t>SCA</t>
        </is>
      </c>
      <c r="G412" t="n">
        <v>6.8</v>
      </c>
      <c r="H412" t="n">
        <v>0</v>
      </c>
      <c r="I412" t="n">
        <v>0</v>
      </c>
      <c r="J412" t="n">
        <v>2</v>
      </c>
      <c r="K412" t="n">
        <v>0</v>
      </c>
      <c r="L412" t="n">
        <v>0</v>
      </c>
      <c r="M412" t="n">
        <v>0</v>
      </c>
      <c r="N412" t="n">
        <v>0</v>
      </c>
      <c r="O412" t="n">
        <v>2</v>
      </c>
      <c r="P412" t="n">
        <v>0</v>
      </c>
      <c r="Q412" t="n">
        <v>2</v>
      </c>
      <c r="R412" s="2" t="inlineStr">
        <is>
          <t>Lunglav
Skrovellav</t>
        </is>
      </c>
      <c r="S412">
        <f>HYPERLINK("https://klasma.github.io/Logging_VILHELMINA/artfynd/A 17910-2020.xlsx", "A 17910-2020")</f>
        <v/>
      </c>
      <c r="T412">
        <f>HYPERLINK("https://klasma.github.io/Logging_VILHELMINA/kartor/A 17910-2020.png", "A 17910-2020")</f>
        <v/>
      </c>
      <c r="V412">
        <f>HYPERLINK("https://klasma.github.io/Logging_VILHELMINA/klagomål/A 17910-2020.docx", "A 17910-2020")</f>
        <v/>
      </c>
      <c r="W412">
        <f>HYPERLINK("https://klasma.github.io/Logging_VILHELMINA/klagomålsmail/A 17910-2020.docx", "A 17910-2020")</f>
        <v/>
      </c>
      <c r="X412">
        <f>HYPERLINK("https://klasma.github.io/Logging_VILHELMINA/tillsyn/A 17910-2020.docx", "A 17910-2020")</f>
        <v/>
      </c>
      <c r="Y412">
        <f>HYPERLINK("https://klasma.github.io/Logging_VILHELMINA/tillsynsmail/A 17910-2020.docx", "A 17910-2020")</f>
        <v/>
      </c>
    </row>
    <row r="413" ht="15" customHeight="1">
      <c r="A413" t="inlineStr">
        <is>
          <t>A 20878-2020</t>
        </is>
      </c>
      <c r="B413" s="1" t="n">
        <v>43949</v>
      </c>
      <c r="C413" s="1" t="n">
        <v>45204</v>
      </c>
      <c r="D413" t="inlineStr">
        <is>
          <t>VÄSTERBOTTENS LÄN</t>
        </is>
      </c>
      <c r="E413" t="inlineStr">
        <is>
          <t>DOROTEA</t>
        </is>
      </c>
      <c r="G413" t="n">
        <v>8.800000000000001</v>
      </c>
      <c r="H413" t="n">
        <v>0</v>
      </c>
      <c r="I413" t="n">
        <v>0</v>
      </c>
      <c r="J413" t="n">
        <v>2</v>
      </c>
      <c r="K413" t="n">
        <v>0</v>
      </c>
      <c r="L413" t="n">
        <v>0</v>
      </c>
      <c r="M413" t="n">
        <v>0</v>
      </c>
      <c r="N413" t="n">
        <v>0</v>
      </c>
      <c r="O413" t="n">
        <v>2</v>
      </c>
      <c r="P413" t="n">
        <v>0</v>
      </c>
      <c r="Q413" t="n">
        <v>2</v>
      </c>
      <c r="R413" s="2" t="inlineStr">
        <is>
          <t>Garnlav
Granticka</t>
        </is>
      </c>
      <c r="S413">
        <f>HYPERLINK("https://klasma.github.io/Logging_DOROTEA/artfynd/A 20878-2020.xlsx", "A 20878-2020")</f>
        <v/>
      </c>
      <c r="T413">
        <f>HYPERLINK("https://klasma.github.io/Logging_DOROTEA/kartor/A 20878-2020.png", "A 20878-2020")</f>
        <v/>
      </c>
      <c r="V413">
        <f>HYPERLINK("https://klasma.github.io/Logging_DOROTEA/klagomål/A 20878-2020.docx", "A 20878-2020")</f>
        <v/>
      </c>
      <c r="W413">
        <f>HYPERLINK("https://klasma.github.io/Logging_DOROTEA/klagomålsmail/A 20878-2020.docx", "A 20878-2020")</f>
        <v/>
      </c>
      <c r="X413">
        <f>HYPERLINK("https://klasma.github.io/Logging_DOROTEA/tillsyn/A 20878-2020.docx", "A 20878-2020")</f>
        <v/>
      </c>
      <c r="Y413">
        <f>HYPERLINK("https://klasma.github.io/Logging_DOROTEA/tillsynsmail/A 20878-2020.docx", "A 20878-2020")</f>
        <v/>
      </c>
    </row>
    <row r="414" ht="15" customHeight="1">
      <c r="A414" t="inlineStr">
        <is>
          <t>A 25026-2020</t>
        </is>
      </c>
      <c r="B414" s="1" t="n">
        <v>43979</v>
      </c>
      <c r="C414" s="1" t="n">
        <v>45204</v>
      </c>
      <c r="D414" t="inlineStr">
        <is>
          <t>VÄSTERBOTTENS LÄN</t>
        </is>
      </c>
      <c r="E414" t="inlineStr">
        <is>
          <t>MALÅ</t>
        </is>
      </c>
      <c r="F414" t="inlineStr">
        <is>
          <t>Sveaskog</t>
        </is>
      </c>
      <c r="G414" t="n">
        <v>14.3</v>
      </c>
      <c r="H414" t="n">
        <v>0</v>
      </c>
      <c r="I414" t="n">
        <v>0</v>
      </c>
      <c r="J414" t="n">
        <v>2</v>
      </c>
      <c r="K414" t="n">
        <v>0</v>
      </c>
      <c r="L414" t="n">
        <v>0</v>
      </c>
      <c r="M414" t="n">
        <v>0</v>
      </c>
      <c r="N414" t="n">
        <v>0</v>
      </c>
      <c r="O414" t="n">
        <v>2</v>
      </c>
      <c r="P414" t="n">
        <v>0</v>
      </c>
      <c r="Q414" t="n">
        <v>2</v>
      </c>
      <c r="R414" s="2" t="inlineStr">
        <is>
          <t>Nepachys cardiacae
Slät tallkapuschongbagge</t>
        </is>
      </c>
      <c r="S414">
        <f>HYPERLINK("https://klasma.github.io/Logging_MALA/artfynd/A 25026-2020.xlsx", "A 25026-2020")</f>
        <v/>
      </c>
      <c r="T414">
        <f>HYPERLINK("https://klasma.github.io/Logging_MALA/kartor/A 25026-2020.png", "A 25026-2020")</f>
        <v/>
      </c>
      <c r="V414">
        <f>HYPERLINK("https://klasma.github.io/Logging_MALA/klagomål/A 25026-2020.docx", "A 25026-2020")</f>
        <v/>
      </c>
      <c r="W414">
        <f>HYPERLINK("https://klasma.github.io/Logging_MALA/klagomålsmail/A 25026-2020.docx", "A 25026-2020")</f>
        <v/>
      </c>
      <c r="X414">
        <f>HYPERLINK("https://klasma.github.io/Logging_MALA/tillsyn/A 25026-2020.docx", "A 25026-2020")</f>
        <v/>
      </c>
      <c r="Y414">
        <f>HYPERLINK("https://klasma.github.io/Logging_MALA/tillsynsmail/A 25026-2020.docx", "A 25026-2020")</f>
        <v/>
      </c>
    </row>
    <row r="415" ht="15" customHeight="1">
      <c r="A415" t="inlineStr">
        <is>
          <t>A 32445-2020</t>
        </is>
      </c>
      <c r="B415" s="1" t="n">
        <v>44015</v>
      </c>
      <c r="C415" s="1" t="n">
        <v>45204</v>
      </c>
      <c r="D415" t="inlineStr">
        <is>
          <t>VÄSTERBOTTENS LÄN</t>
        </is>
      </c>
      <c r="E415" t="inlineStr">
        <is>
          <t>ÅSELE</t>
        </is>
      </c>
      <c r="G415" t="n">
        <v>2.5</v>
      </c>
      <c r="H415" t="n">
        <v>0</v>
      </c>
      <c r="I415" t="n">
        <v>0</v>
      </c>
      <c r="J415" t="n">
        <v>2</v>
      </c>
      <c r="K415" t="n">
        <v>0</v>
      </c>
      <c r="L415" t="n">
        <v>0</v>
      </c>
      <c r="M415" t="n">
        <v>0</v>
      </c>
      <c r="N415" t="n">
        <v>0</v>
      </c>
      <c r="O415" t="n">
        <v>2</v>
      </c>
      <c r="P415" t="n">
        <v>0</v>
      </c>
      <c r="Q415" t="n">
        <v>2</v>
      </c>
      <c r="R415" s="2" t="inlineStr">
        <is>
          <t>Dvärgbägarlav
Ullticka</t>
        </is>
      </c>
      <c r="S415">
        <f>HYPERLINK("https://klasma.github.io/Logging_ASELE/artfynd/A 32445-2020.xlsx", "A 32445-2020")</f>
        <v/>
      </c>
      <c r="T415">
        <f>HYPERLINK("https://klasma.github.io/Logging_ASELE/kartor/A 32445-2020.png", "A 32445-2020")</f>
        <v/>
      </c>
      <c r="V415">
        <f>HYPERLINK("https://klasma.github.io/Logging_ASELE/klagomål/A 32445-2020.docx", "A 32445-2020")</f>
        <v/>
      </c>
      <c r="W415">
        <f>HYPERLINK("https://klasma.github.io/Logging_ASELE/klagomålsmail/A 32445-2020.docx", "A 32445-2020")</f>
        <v/>
      </c>
      <c r="X415">
        <f>HYPERLINK("https://klasma.github.io/Logging_ASELE/tillsyn/A 32445-2020.docx", "A 32445-2020")</f>
        <v/>
      </c>
      <c r="Y415">
        <f>HYPERLINK("https://klasma.github.io/Logging_ASELE/tillsynsmail/A 32445-2020.docx", "A 32445-2020")</f>
        <v/>
      </c>
    </row>
    <row r="416" ht="15" customHeight="1">
      <c r="A416" t="inlineStr">
        <is>
          <t>A 34276-2020</t>
        </is>
      </c>
      <c r="B416" s="1" t="n">
        <v>44029</v>
      </c>
      <c r="C416" s="1" t="n">
        <v>45204</v>
      </c>
      <c r="D416" t="inlineStr">
        <is>
          <t>VÄSTERBOTTENS LÄN</t>
        </is>
      </c>
      <c r="E416" t="inlineStr">
        <is>
          <t>STORUMAN</t>
        </is>
      </c>
      <c r="F416" t="inlineStr">
        <is>
          <t>SCA</t>
        </is>
      </c>
      <c r="G416" t="n">
        <v>3.5</v>
      </c>
      <c r="H416" t="n">
        <v>1</v>
      </c>
      <c r="I416" t="n">
        <v>0</v>
      </c>
      <c r="J416" t="n">
        <v>1</v>
      </c>
      <c r="K416" t="n">
        <v>1</v>
      </c>
      <c r="L416" t="n">
        <v>0</v>
      </c>
      <c r="M416" t="n">
        <v>0</v>
      </c>
      <c r="N416" t="n">
        <v>0</v>
      </c>
      <c r="O416" t="n">
        <v>2</v>
      </c>
      <c r="P416" t="n">
        <v>1</v>
      </c>
      <c r="Q416" t="n">
        <v>2</v>
      </c>
      <c r="R416" s="2" t="inlineStr">
        <is>
          <t>Goliatmusseron
Duvhök</t>
        </is>
      </c>
      <c r="S416">
        <f>HYPERLINK("https://klasma.github.io/Logging_STORUMAN/artfynd/A 34276-2020.xlsx", "A 34276-2020")</f>
        <v/>
      </c>
      <c r="T416">
        <f>HYPERLINK("https://klasma.github.io/Logging_STORUMAN/kartor/A 34276-2020.png", "A 34276-2020")</f>
        <v/>
      </c>
      <c r="V416">
        <f>HYPERLINK("https://klasma.github.io/Logging_STORUMAN/klagomål/A 34276-2020.docx", "A 34276-2020")</f>
        <v/>
      </c>
      <c r="W416">
        <f>HYPERLINK("https://klasma.github.io/Logging_STORUMAN/klagomålsmail/A 34276-2020.docx", "A 34276-2020")</f>
        <v/>
      </c>
      <c r="X416">
        <f>HYPERLINK("https://klasma.github.io/Logging_STORUMAN/tillsyn/A 34276-2020.docx", "A 34276-2020")</f>
        <v/>
      </c>
      <c r="Y416">
        <f>HYPERLINK("https://klasma.github.io/Logging_STORUMAN/tillsynsmail/A 34276-2020.docx", "A 34276-2020")</f>
        <v/>
      </c>
    </row>
    <row r="417" ht="15" customHeight="1">
      <c r="A417" t="inlineStr">
        <is>
          <t>A 36344-2020</t>
        </is>
      </c>
      <c r="B417" s="1" t="n">
        <v>44049</v>
      </c>
      <c r="C417" s="1" t="n">
        <v>45204</v>
      </c>
      <c r="D417" t="inlineStr">
        <is>
          <t>VÄSTERBOTTENS LÄN</t>
        </is>
      </c>
      <c r="E417" t="inlineStr">
        <is>
          <t>SORSELE</t>
        </is>
      </c>
      <c r="G417" t="n">
        <v>5.4</v>
      </c>
      <c r="H417" t="n">
        <v>0</v>
      </c>
      <c r="I417" t="n">
        <v>0</v>
      </c>
      <c r="J417" t="n">
        <v>2</v>
      </c>
      <c r="K417" t="n">
        <v>0</v>
      </c>
      <c r="L417" t="n">
        <v>0</v>
      </c>
      <c r="M417" t="n">
        <v>0</v>
      </c>
      <c r="N417" t="n">
        <v>0</v>
      </c>
      <c r="O417" t="n">
        <v>2</v>
      </c>
      <c r="P417" t="n">
        <v>0</v>
      </c>
      <c r="Q417" t="n">
        <v>2</v>
      </c>
      <c r="R417" s="2" t="inlineStr">
        <is>
          <t>Garnlav
Rödbrun blekspik</t>
        </is>
      </c>
      <c r="S417">
        <f>HYPERLINK("https://klasma.github.io/Logging_SORSELE/artfynd/A 36344-2020.xlsx", "A 36344-2020")</f>
        <v/>
      </c>
      <c r="T417">
        <f>HYPERLINK("https://klasma.github.io/Logging_SORSELE/kartor/A 36344-2020.png", "A 36344-2020")</f>
        <v/>
      </c>
      <c r="V417">
        <f>HYPERLINK("https://klasma.github.io/Logging_SORSELE/klagomål/A 36344-2020.docx", "A 36344-2020")</f>
        <v/>
      </c>
      <c r="W417">
        <f>HYPERLINK("https://klasma.github.io/Logging_SORSELE/klagomålsmail/A 36344-2020.docx", "A 36344-2020")</f>
        <v/>
      </c>
      <c r="X417">
        <f>HYPERLINK("https://klasma.github.io/Logging_SORSELE/tillsyn/A 36344-2020.docx", "A 36344-2020")</f>
        <v/>
      </c>
      <c r="Y417">
        <f>HYPERLINK("https://klasma.github.io/Logging_SORSELE/tillsynsmail/A 36344-2020.docx", "A 36344-2020")</f>
        <v/>
      </c>
    </row>
    <row r="418" ht="15" customHeight="1">
      <c r="A418" t="inlineStr">
        <is>
          <t>A 40134-2020</t>
        </is>
      </c>
      <c r="B418" s="1" t="n">
        <v>44067</v>
      </c>
      <c r="C418" s="1" t="n">
        <v>45204</v>
      </c>
      <c r="D418" t="inlineStr">
        <is>
          <t>VÄSTERBOTTENS LÄN</t>
        </is>
      </c>
      <c r="E418" t="inlineStr">
        <is>
          <t>SKELLEFTEÅ</t>
        </is>
      </c>
      <c r="G418" t="n">
        <v>6.1</v>
      </c>
      <c r="H418" t="n">
        <v>0</v>
      </c>
      <c r="I418" t="n">
        <v>1</v>
      </c>
      <c r="J418" t="n">
        <v>0</v>
      </c>
      <c r="K418" t="n">
        <v>0</v>
      </c>
      <c r="L418" t="n">
        <v>1</v>
      </c>
      <c r="M418" t="n">
        <v>0</v>
      </c>
      <c r="N418" t="n">
        <v>0</v>
      </c>
      <c r="O418" t="n">
        <v>1</v>
      </c>
      <c r="P418" t="n">
        <v>1</v>
      </c>
      <c r="Q418" t="n">
        <v>2</v>
      </c>
      <c r="R418" s="2" t="inlineStr">
        <is>
          <t>Större svartbagge
Stekelbock</t>
        </is>
      </c>
      <c r="S418">
        <f>HYPERLINK("https://klasma.github.io/Logging_SKELLEFTEA/artfynd/A 40134-2020.xlsx", "A 40134-2020")</f>
        <v/>
      </c>
      <c r="T418">
        <f>HYPERLINK("https://klasma.github.io/Logging_SKELLEFTEA/kartor/A 40134-2020.png", "A 40134-2020")</f>
        <v/>
      </c>
      <c r="V418">
        <f>HYPERLINK("https://klasma.github.io/Logging_SKELLEFTEA/klagomål/A 40134-2020.docx", "A 40134-2020")</f>
        <v/>
      </c>
      <c r="W418">
        <f>HYPERLINK("https://klasma.github.io/Logging_SKELLEFTEA/klagomålsmail/A 40134-2020.docx", "A 40134-2020")</f>
        <v/>
      </c>
      <c r="X418">
        <f>HYPERLINK("https://klasma.github.io/Logging_SKELLEFTEA/tillsyn/A 40134-2020.docx", "A 40134-2020")</f>
        <v/>
      </c>
      <c r="Y418">
        <f>HYPERLINK("https://klasma.github.io/Logging_SKELLEFTEA/tillsynsmail/A 40134-2020.docx", "A 40134-2020")</f>
        <v/>
      </c>
    </row>
    <row r="419" ht="15" customHeight="1">
      <c r="A419" t="inlineStr">
        <is>
          <t>A 40420-2020</t>
        </is>
      </c>
      <c r="B419" s="1" t="n">
        <v>44068</v>
      </c>
      <c r="C419" s="1" t="n">
        <v>45204</v>
      </c>
      <c r="D419" t="inlineStr">
        <is>
          <t>VÄSTERBOTTENS LÄN</t>
        </is>
      </c>
      <c r="E419" t="inlineStr">
        <is>
          <t>UMEÅ</t>
        </is>
      </c>
      <c r="F419" t="inlineStr">
        <is>
          <t>Kommuner</t>
        </is>
      </c>
      <c r="G419" t="n">
        <v>4.1</v>
      </c>
      <c r="H419" t="n">
        <v>1</v>
      </c>
      <c r="I419" t="n">
        <v>0</v>
      </c>
      <c r="J419" t="n">
        <v>2</v>
      </c>
      <c r="K419" t="n">
        <v>0</v>
      </c>
      <c r="L419" t="n">
        <v>0</v>
      </c>
      <c r="M419" t="n">
        <v>0</v>
      </c>
      <c r="N419" t="n">
        <v>0</v>
      </c>
      <c r="O419" t="n">
        <v>2</v>
      </c>
      <c r="P419" t="n">
        <v>0</v>
      </c>
      <c r="Q419" t="n">
        <v>2</v>
      </c>
      <c r="R419" s="2" t="inlineStr">
        <is>
          <t>Leptoporus mollis
Tretåig hackspett</t>
        </is>
      </c>
      <c r="S419">
        <f>HYPERLINK("https://klasma.github.io/Logging_UMEA/artfynd/A 40420-2020.xlsx", "A 40420-2020")</f>
        <v/>
      </c>
      <c r="T419">
        <f>HYPERLINK("https://klasma.github.io/Logging_UMEA/kartor/A 40420-2020.png", "A 40420-2020")</f>
        <v/>
      </c>
      <c r="V419">
        <f>HYPERLINK("https://klasma.github.io/Logging_UMEA/klagomål/A 40420-2020.docx", "A 40420-2020")</f>
        <v/>
      </c>
      <c r="W419">
        <f>HYPERLINK("https://klasma.github.io/Logging_UMEA/klagomålsmail/A 40420-2020.docx", "A 40420-2020")</f>
        <v/>
      </c>
      <c r="X419">
        <f>HYPERLINK("https://klasma.github.io/Logging_UMEA/tillsyn/A 40420-2020.docx", "A 40420-2020")</f>
        <v/>
      </c>
      <c r="Y419">
        <f>HYPERLINK("https://klasma.github.io/Logging_UMEA/tillsynsmail/A 40420-2020.docx", "A 40420-2020")</f>
        <v/>
      </c>
    </row>
    <row r="420" ht="15" customHeight="1">
      <c r="A420" t="inlineStr">
        <is>
          <t>A 40914-2020</t>
        </is>
      </c>
      <c r="B420" s="1" t="n">
        <v>44068</v>
      </c>
      <c r="C420" s="1" t="n">
        <v>45204</v>
      </c>
      <c r="D420" t="inlineStr">
        <is>
          <t>VÄSTERBOTTENS LÄN</t>
        </is>
      </c>
      <c r="E420" t="inlineStr">
        <is>
          <t>NORDMALING</t>
        </is>
      </c>
      <c r="G420" t="n">
        <v>1.2</v>
      </c>
      <c r="H420" t="n">
        <v>0</v>
      </c>
      <c r="I420" t="n">
        <v>1</v>
      </c>
      <c r="J420" t="n">
        <v>1</v>
      </c>
      <c r="K420" t="n">
        <v>0</v>
      </c>
      <c r="L420" t="n">
        <v>0</v>
      </c>
      <c r="M420" t="n">
        <v>0</v>
      </c>
      <c r="N420" t="n">
        <v>0</v>
      </c>
      <c r="O420" t="n">
        <v>1</v>
      </c>
      <c r="P420" t="n">
        <v>0</v>
      </c>
      <c r="Q420" t="n">
        <v>2</v>
      </c>
      <c r="R420" s="2" t="inlineStr">
        <is>
          <t>Asppraktbagge
Stekelbock</t>
        </is>
      </c>
      <c r="S420">
        <f>HYPERLINK("https://klasma.github.io/Logging_NORDMALING/artfynd/A 40914-2020.xlsx", "A 40914-2020")</f>
        <v/>
      </c>
      <c r="T420">
        <f>HYPERLINK("https://klasma.github.io/Logging_NORDMALING/kartor/A 40914-2020.png", "A 40914-2020")</f>
        <v/>
      </c>
      <c r="V420">
        <f>HYPERLINK("https://klasma.github.io/Logging_NORDMALING/klagomål/A 40914-2020.docx", "A 40914-2020")</f>
        <v/>
      </c>
      <c r="W420">
        <f>HYPERLINK("https://klasma.github.io/Logging_NORDMALING/klagomålsmail/A 40914-2020.docx", "A 40914-2020")</f>
        <v/>
      </c>
      <c r="X420">
        <f>HYPERLINK("https://klasma.github.io/Logging_NORDMALING/tillsyn/A 40914-2020.docx", "A 40914-2020")</f>
        <v/>
      </c>
      <c r="Y420">
        <f>HYPERLINK("https://klasma.github.io/Logging_NORDMALING/tillsynsmail/A 40914-2020.docx", "A 40914-2020")</f>
        <v/>
      </c>
    </row>
    <row r="421" ht="15" customHeight="1">
      <c r="A421" t="inlineStr">
        <is>
          <t>A 41578-2020</t>
        </is>
      </c>
      <c r="B421" s="1" t="n">
        <v>44074</v>
      </c>
      <c r="C421" s="1" t="n">
        <v>45204</v>
      </c>
      <c r="D421" t="inlineStr">
        <is>
          <t>VÄSTERBOTTENS LÄN</t>
        </is>
      </c>
      <c r="E421" t="inlineStr">
        <is>
          <t>VINDELN</t>
        </is>
      </c>
      <c r="F421" t="inlineStr">
        <is>
          <t>Sveaskog</t>
        </is>
      </c>
      <c r="G421" t="n">
        <v>6.8</v>
      </c>
      <c r="H421" t="n">
        <v>0</v>
      </c>
      <c r="I421" t="n">
        <v>1</v>
      </c>
      <c r="J421" t="n">
        <v>1</v>
      </c>
      <c r="K421" t="n">
        <v>0</v>
      </c>
      <c r="L421" t="n">
        <v>0</v>
      </c>
      <c r="M421" t="n">
        <v>0</v>
      </c>
      <c r="N421" t="n">
        <v>0</v>
      </c>
      <c r="O421" t="n">
        <v>1</v>
      </c>
      <c r="P421" t="n">
        <v>0</v>
      </c>
      <c r="Q421" t="n">
        <v>2</v>
      </c>
      <c r="R421" s="2" t="inlineStr">
        <is>
          <t>Stiftgelélav
Skinnlav</t>
        </is>
      </c>
      <c r="S421">
        <f>HYPERLINK("https://klasma.github.io/Logging_VINDELN/artfynd/A 41578-2020.xlsx", "A 41578-2020")</f>
        <v/>
      </c>
      <c r="T421">
        <f>HYPERLINK("https://klasma.github.io/Logging_VINDELN/kartor/A 41578-2020.png", "A 41578-2020")</f>
        <v/>
      </c>
      <c r="V421">
        <f>HYPERLINK("https://klasma.github.io/Logging_VINDELN/klagomål/A 41578-2020.docx", "A 41578-2020")</f>
        <v/>
      </c>
      <c r="W421">
        <f>HYPERLINK("https://klasma.github.io/Logging_VINDELN/klagomålsmail/A 41578-2020.docx", "A 41578-2020")</f>
        <v/>
      </c>
      <c r="X421">
        <f>HYPERLINK("https://klasma.github.io/Logging_VINDELN/tillsyn/A 41578-2020.docx", "A 41578-2020")</f>
        <v/>
      </c>
      <c r="Y421">
        <f>HYPERLINK("https://klasma.github.io/Logging_VINDELN/tillsynsmail/A 41578-2020.docx", "A 41578-2020")</f>
        <v/>
      </c>
    </row>
    <row r="422" ht="15" customHeight="1">
      <c r="A422" t="inlineStr">
        <is>
          <t>A 42118-2020</t>
        </is>
      </c>
      <c r="B422" s="1" t="n">
        <v>44075</v>
      </c>
      <c r="C422" s="1" t="n">
        <v>45204</v>
      </c>
      <c r="D422" t="inlineStr">
        <is>
          <t>VÄSTERBOTTENS LÄN</t>
        </is>
      </c>
      <c r="E422" t="inlineStr">
        <is>
          <t>SORSELE</t>
        </is>
      </c>
      <c r="F422" t="inlineStr">
        <is>
          <t>Sveaskog</t>
        </is>
      </c>
      <c r="G422" t="n">
        <v>6.2</v>
      </c>
      <c r="H422" t="n">
        <v>0</v>
      </c>
      <c r="I422" t="n">
        <v>0</v>
      </c>
      <c r="J422" t="n">
        <v>1</v>
      </c>
      <c r="K422" t="n">
        <v>1</v>
      </c>
      <c r="L422" t="n">
        <v>0</v>
      </c>
      <c r="M422" t="n">
        <v>0</v>
      </c>
      <c r="N422" t="n">
        <v>0</v>
      </c>
      <c r="O422" t="n">
        <v>2</v>
      </c>
      <c r="P422" t="n">
        <v>1</v>
      </c>
      <c r="Q422" t="n">
        <v>2</v>
      </c>
      <c r="R422" s="2" t="inlineStr">
        <is>
          <t>Torrmusseron
Blå taggsvamp</t>
        </is>
      </c>
      <c r="S422">
        <f>HYPERLINK("https://klasma.github.io/Logging_SORSELE/artfynd/A 42118-2020.xlsx", "A 42118-2020")</f>
        <v/>
      </c>
      <c r="T422">
        <f>HYPERLINK("https://klasma.github.io/Logging_SORSELE/kartor/A 42118-2020.png", "A 42118-2020")</f>
        <v/>
      </c>
      <c r="V422">
        <f>HYPERLINK("https://klasma.github.io/Logging_SORSELE/klagomål/A 42118-2020.docx", "A 42118-2020")</f>
        <v/>
      </c>
      <c r="W422">
        <f>HYPERLINK("https://klasma.github.io/Logging_SORSELE/klagomålsmail/A 42118-2020.docx", "A 42118-2020")</f>
        <v/>
      </c>
      <c r="X422">
        <f>HYPERLINK("https://klasma.github.io/Logging_SORSELE/tillsyn/A 42118-2020.docx", "A 42118-2020")</f>
        <v/>
      </c>
      <c r="Y422">
        <f>HYPERLINK("https://klasma.github.io/Logging_SORSELE/tillsynsmail/A 42118-2020.docx", "A 42118-2020")</f>
        <v/>
      </c>
    </row>
    <row r="423" ht="15" customHeight="1">
      <c r="A423" t="inlineStr">
        <is>
          <t>A 43940-2020</t>
        </is>
      </c>
      <c r="B423" s="1" t="n">
        <v>44078</v>
      </c>
      <c r="C423" s="1" t="n">
        <v>45204</v>
      </c>
      <c r="D423" t="inlineStr">
        <is>
          <t>VÄSTERBOTTENS LÄN</t>
        </is>
      </c>
      <c r="E423" t="inlineStr">
        <is>
          <t>SORSELE</t>
        </is>
      </c>
      <c r="F423" t="inlineStr">
        <is>
          <t>Allmännings- och besparingsskogar</t>
        </is>
      </c>
      <c r="G423" t="n">
        <v>126.6</v>
      </c>
      <c r="H423" t="n">
        <v>0</v>
      </c>
      <c r="I423" t="n">
        <v>0</v>
      </c>
      <c r="J423" t="n">
        <v>1</v>
      </c>
      <c r="K423" t="n">
        <v>1</v>
      </c>
      <c r="L423" t="n">
        <v>0</v>
      </c>
      <c r="M423" t="n">
        <v>0</v>
      </c>
      <c r="N423" t="n">
        <v>0</v>
      </c>
      <c r="O423" t="n">
        <v>2</v>
      </c>
      <c r="P423" t="n">
        <v>1</v>
      </c>
      <c r="Q423" t="n">
        <v>2</v>
      </c>
      <c r="R423" s="2" t="inlineStr">
        <is>
          <t>Tajgaskinn
Dvärgbägarlav</t>
        </is>
      </c>
      <c r="S423">
        <f>HYPERLINK("https://klasma.github.io/Logging_SORSELE/artfynd/A 43940-2020.xlsx", "A 43940-2020")</f>
        <v/>
      </c>
      <c r="T423">
        <f>HYPERLINK("https://klasma.github.io/Logging_SORSELE/kartor/A 43940-2020.png", "A 43940-2020")</f>
        <v/>
      </c>
      <c r="V423">
        <f>HYPERLINK("https://klasma.github.io/Logging_SORSELE/klagomål/A 43940-2020.docx", "A 43940-2020")</f>
        <v/>
      </c>
      <c r="W423">
        <f>HYPERLINK("https://klasma.github.io/Logging_SORSELE/klagomålsmail/A 43940-2020.docx", "A 43940-2020")</f>
        <v/>
      </c>
      <c r="X423">
        <f>HYPERLINK("https://klasma.github.io/Logging_SORSELE/tillsyn/A 43940-2020.docx", "A 43940-2020")</f>
        <v/>
      </c>
      <c r="Y423">
        <f>HYPERLINK("https://klasma.github.io/Logging_SORSELE/tillsynsmail/A 43940-2020.docx", "A 43940-2020")</f>
        <v/>
      </c>
    </row>
    <row r="424" ht="15" customHeight="1">
      <c r="A424" t="inlineStr">
        <is>
          <t>A 44648-2020</t>
        </is>
      </c>
      <c r="B424" s="1" t="n">
        <v>44085</v>
      </c>
      <c r="C424" s="1" t="n">
        <v>45204</v>
      </c>
      <c r="D424" t="inlineStr">
        <is>
          <t>VÄSTERBOTTENS LÄN</t>
        </is>
      </c>
      <c r="E424" t="inlineStr">
        <is>
          <t>SKELLEFTEÅ</t>
        </is>
      </c>
      <c r="F424" t="inlineStr">
        <is>
          <t>Sveaskog</t>
        </is>
      </c>
      <c r="G424" t="n">
        <v>7.6</v>
      </c>
      <c r="H424" t="n">
        <v>0</v>
      </c>
      <c r="I424" t="n">
        <v>0</v>
      </c>
      <c r="J424" t="n">
        <v>2</v>
      </c>
      <c r="K424" t="n">
        <v>0</v>
      </c>
      <c r="L424" t="n">
        <v>0</v>
      </c>
      <c r="M424" t="n">
        <v>0</v>
      </c>
      <c r="N424" t="n">
        <v>0</v>
      </c>
      <c r="O424" t="n">
        <v>2</v>
      </c>
      <c r="P424" t="n">
        <v>0</v>
      </c>
      <c r="Q424" t="n">
        <v>2</v>
      </c>
      <c r="R424" s="2" t="inlineStr">
        <is>
          <t>Lunglav
Veckticka</t>
        </is>
      </c>
      <c r="S424">
        <f>HYPERLINK("https://klasma.github.io/Logging_SKELLEFTEA/artfynd/A 44648-2020.xlsx", "A 44648-2020")</f>
        <v/>
      </c>
      <c r="T424">
        <f>HYPERLINK("https://klasma.github.io/Logging_SKELLEFTEA/kartor/A 44648-2020.png", "A 44648-2020")</f>
        <v/>
      </c>
      <c r="V424">
        <f>HYPERLINK("https://klasma.github.io/Logging_SKELLEFTEA/klagomål/A 44648-2020.docx", "A 44648-2020")</f>
        <v/>
      </c>
      <c r="W424">
        <f>HYPERLINK("https://klasma.github.io/Logging_SKELLEFTEA/klagomålsmail/A 44648-2020.docx", "A 44648-2020")</f>
        <v/>
      </c>
      <c r="X424">
        <f>HYPERLINK("https://klasma.github.io/Logging_SKELLEFTEA/tillsyn/A 44648-2020.docx", "A 44648-2020")</f>
        <v/>
      </c>
      <c r="Y424">
        <f>HYPERLINK("https://klasma.github.io/Logging_SKELLEFTEA/tillsynsmail/A 44648-2020.docx", "A 44648-2020")</f>
        <v/>
      </c>
    </row>
    <row r="425" ht="15" customHeight="1">
      <c r="A425" t="inlineStr">
        <is>
          <t>A 53541-2020</t>
        </is>
      </c>
      <c r="B425" s="1" t="n">
        <v>44124</v>
      </c>
      <c r="C425" s="1" t="n">
        <v>45204</v>
      </c>
      <c r="D425" t="inlineStr">
        <is>
          <t>VÄSTERBOTTENS LÄN</t>
        </is>
      </c>
      <c r="E425" t="inlineStr">
        <is>
          <t>SKELLEFTEÅ</t>
        </is>
      </c>
      <c r="F425" t="inlineStr">
        <is>
          <t>Sveaskog</t>
        </is>
      </c>
      <c r="G425" t="n">
        <v>4.4</v>
      </c>
      <c r="H425" t="n">
        <v>0</v>
      </c>
      <c r="I425" t="n">
        <v>1</v>
      </c>
      <c r="J425" t="n">
        <v>1</v>
      </c>
      <c r="K425" t="n">
        <v>0</v>
      </c>
      <c r="L425" t="n">
        <v>0</v>
      </c>
      <c r="M425" t="n">
        <v>0</v>
      </c>
      <c r="N425" t="n">
        <v>0</v>
      </c>
      <c r="O425" t="n">
        <v>1</v>
      </c>
      <c r="P425" t="n">
        <v>0</v>
      </c>
      <c r="Q425" t="n">
        <v>2</v>
      </c>
      <c r="R425" s="2" t="inlineStr">
        <is>
          <t>Motaggsvamp
Dropptaggsvamp</t>
        </is>
      </c>
      <c r="S425">
        <f>HYPERLINK("https://klasma.github.io/Logging_SKELLEFTEA/artfynd/A 53541-2020.xlsx", "A 53541-2020")</f>
        <v/>
      </c>
      <c r="T425">
        <f>HYPERLINK("https://klasma.github.io/Logging_SKELLEFTEA/kartor/A 53541-2020.png", "A 53541-2020")</f>
        <v/>
      </c>
      <c r="V425">
        <f>HYPERLINK("https://klasma.github.io/Logging_SKELLEFTEA/klagomål/A 53541-2020.docx", "A 53541-2020")</f>
        <v/>
      </c>
      <c r="W425">
        <f>HYPERLINK("https://klasma.github.io/Logging_SKELLEFTEA/klagomålsmail/A 53541-2020.docx", "A 53541-2020")</f>
        <v/>
      </c>
      <c r="X425">
        <f>HYPERLINK("https://klasma.github.io/Logging_SKELLEFTEA/tillsyn/A 53541-2020.docx", "A 53541-2020")</f>
        <v/>
      </c>
      <c r="Y425">
        <f>HYPERLINK("https://klasma.github.io/Logging_SKELLEFTEA/tillsynsmail/A 53541-2020.docx", "A 53541-2020")</f>
        <v/>
      </c>
    </row>
    <row r="426" ht="15" customHeight="1">
      <c r="A426" t="inlineStr">
        <is>
          <t>A 54504-2020</t>
        </is>
      </c>
      <c r="B426" s="1" t="n">
        <v>44126</v>
      </c>
      <c r="C426" s="1" t="n">
        <v>45204</v>
      </c>
      <c r="D426" t="inlineStr">
        <is>
          <t>VÄSTERBOTTENS LÄN</t>
        </is>
      </c>
      <c r="E426" t="inlineStr">
        <is>
          <t>ROBERTSFORS</t>
        </is>
      </c>
      <c r="F426" t="inlineStr">
        <is>
          <t>Holmen skog AB</t>
        </is>
      </c>
      <c r="G426" t="n">
        <v>6.4</v>
      </c>
      <c r="H426" t="n">
        <v>2</v>
      </c>
      <c r="I426" t="n">
        <v>0</v>
      </c>
      <c r="J426" t="n">
        <v>2</v>
      </c>
      <c r="K426" t="n">
        <v>0</v>
      </c>
      <c r="L426" t="n">
        <v>0</v>
      </c>
      <c r="M426" t="n">
        <v>0</v>
      </c>
      <c r="N426" t="n">
        <v>0</v>
      </c>
      <c r="O426" t="n">
        <v>2</v>
      </c>
      <c r="P426" t="n">
        <v>0</v>
      </c>
      <c r="Q426" t="n">
        <v>2</v>
      </c>
      <c r="R426" s="2" t="inlineStr">
        <is>
          <t>Svartvit flugsnappare
Talltita</t>
        </is>
      </c>
      <c r="S426">
        <f>HYPERLINK("https://klasma.github.io/Logging_ROBERTSFORS/artfynd/A 54504-2020.xlsx", "A 54504-2020")</f>
        <v/>
      </c>
      <c r="T426">
        <f>HYPERLINK("https://klasma.github.io/Logging_ROBERTSFORS/kartor/A 54504-2020.png", "A 54504-2020")</f>
        <v/>
      </c>
      <c r="V426">
        <f>HYPERLINK("https://klasma.github.io/Logging_ROBERTSFORS/klagomål/A 54504-2020.docx", "A 54504-2020")</f>
        <v/>
      </c>
      <c r="W426">
        <f>HYPERLINK("https://klasma.github.io/Logging_ROBERTSFORS/klagomålsmail/A 54504-2020.docx", "A 54504-2020")</f>
        <v/>
      </c>
      <c r="X426">
        <f>HYPERLINK("https://klasma.github.io/Logging_ROBERTSFORS/tillsyn/A 54504-2020.docx", "A 54504-2020")</f>
        <v/>
      </c>
      <c r="Y426">
        <f>HYPERLINK("https://klasma.github.io/Logging_ROBERTSFORS/tillsynsmail/A 54504-2020.docx", "A 54504-2020")</f>
        <v/>
      </c>
    </row>
    <row r="427" ht="15" customHeight="1">
      <c r="A427" t="inlineStr">
        <is>
          <t>A 55809-2020</t>
        </is>
      </c>
      <c r="B427" s="1" t="n">
        <v>44132</v>
      </c>
      <c r="C427" s="1" t="n">
        <v>45204</v>
      </c>
      <c r="D427" t="inlineStr">
        <is>
          <t>VÄSTERBOTTENS LÄN</t>
        </is>
      </c>
      <c r="E427" t="inlineStr">
        <is>
          <t>SKELLEFTEÅ</t>
        </is>
      </c>
      <c r="F427" t="inlineStr">
        <is>
          <t>Sveaskog</t>
        </is>
      </c>
      <c r="G427" t="n">
        <v>9.9</v>
      </c>
      <c r="H427" t="n">
        <v>2</v>
      </c>
      <c r="I427" t="n">
        <v>0</v>
      </c>
      <c r="J427" t="n">
        <v>1</v>
      </c>
      <c r="K427" t="n">
        <v>0</v>
      </c>
      <c r="L427" t="n">
        <v>0</v>
      </c>
      <c r="M427" t="n">
        <v>0</v>
      </c>
      <c r="N427" t="n">
        <v>0</v>
      </c>
      <c r="O427" t="n">
        <v>1</v>
      </c>
      <c r="P427" t="n">
        <v>0</v>
      </c>
      <c r="Q427" t="n">
        <v>2</v>
      </c>
      <c r="R427" s="2" t="inlineStr">
        <is>
          <t>Nordfladdermus
Fläcknycklar</t>
        </is>
      </c>
      <c r="S427">
        <f>HYPERLINK("https://klasma.github.io/Logging_SKELLEFTEA/artfynd/A 55809-2020.xlsx", "A 55809-2020")</f>
        <v/>
      </c>
      <c r="T427">
        <f>HYPERLINK("https://klasma.github.io/Logging_SKELLEFTEA/kartor/A 55809-2020.png", "A 55809-2020")</f>
        <v/>
      </c>
      <c r="V427">
        <f>HYPERLINK("https://klasma.github.io/Logging_SKELLEFTEA/klagomål/A 55809-2020.docx", "A 55809-2020")</f>
        <v/>
      </c>
      <c r="W427">
        <f>HYPERLINK("https://klasma.github.io/Logging_SKELLEFTEA/klagomålsmail/A 55809-2020.docx", "A 55809-2020")</f>
        <v/>
      </c>
      <c r="X427">
        <f>HYPERLINK("https://klasma.github.io/Logging_SKELLEFTEA/tillsyn/A 55809-2020.docx", "A 55809-2020")</f>
        <v/>
      </c>
      <c r="Y427">
        <f>HYPERLINK("https://klasma.github.io/Logging_SKELLEFTEA/tillsynsmail/A 55809-2020.docx", "A 55809-2020")</f>
        <v/>
      </c>
    </row>
    <row r="428" ht="15" customHeight="1">
      <c r="A428" t="inlineStr">
        <is>
          <t>A 57315-2020</t>
        </is>
      </c>
      <c r="B428" s="1" t="n">
        <v>44139</v>
      </c>
      <c r="C428" s="1" t="n">
        <v>45204</v>
      </c>
      <c r="D428" t="inlineStr">
        <is>
          <t>VÄSTERBOTTENS LÄN</t>
        </is>
      </c>
      <c r="E428" t="inlineStr">
        <is>
          <t>ÅSELE</t>
        </is>
      </c>
      <c r="G428" t="n">
        <v>10.7</v>
      </c>
      <c r="H428" t="n">
        <v>0</v>
      </c>
      <c r="I428" t="n">
        <v>0</v>
      </c>
      <c r="J428" t="n">
        <v>2</v>
      </c>
      <c r="K428" t="n">
        <v>0</v>
      </c>
      <c r="L428" t="n">
        <v>0</v>
      </c>
      <c r="M428" t="n">
        <v>0</v>
      </c>
      <c r="N428" t="n">
        <v>0</v>
      </c>
      <c r="O428" t="n">
        <v>2</v>
      </c>
      <c r="P428" t="n">
        <v>0</v>
      </c>
      <c r="Q428" t="n">
        <v>2</v>
      </c>
      <c r="R428" s="2" t="inlineStr">
        <is>
          <t>Gammelgransskål
Skrovellav</t>
        </is>
      </c>
      <c r="S428">
        <f>HYPERLINK("https://klasma.github.io/Logging_ASELE/artfynd/A 57315-2020.xlsx", "A 57315-2020")</f>
        <v/>
      </c>
      <c r="T428">
        <f>HYPERLINK("https://klasma.github.io/Logging_ASELE/kartor/A 57315-2020.png", "A 57315-2020")</f>
        <v/>
      </c>
      <c r="V428">
        <f>HYPERLINK("https://klasma.github.io/Logging_ASELE/klagomål/A 57315-2020.docx", "A 57315-2020")</f>
        <v/>
      </c>
      <c r="W428">
        <f>HYPERLINK("https://klasma.github.io/Logging_ASELE/klagomålsmail/A 57315-2020.docx", "A 57315-2020")</f>
        <v/>
      </c>
      <c r="X428">
        <f>HYPERLINK("https://klasma.github.io/Logging_ASELE/tillsyn/A 57315-2020.docx", "A 57315-2020")</f>
        <v/>
      </c>
      <c r="Y428">
        <f>HYPERLINK("https://klasma.github.io/Logging_ASELE/tillsynsmail/A 57315-2020.docx", "A 57315-2020")</f>
        <v/>
      </c>
    </row>
    <row r="429" ht="15" customHeight="1">
      <c r="A429" t="inlineStr">
        <is>
          <t>A 63236-2020</t>
        </is>
      </c>
      <c r="B429" s="1" t="n">
        <v>44163</v>
      </c>
      <c r="C429" s="1" t="n">
        <v>45204</v>
      </c>
      <c r="D429" t="inlineStr">
        <is>
          <t>VÄSTERBOTTENS LÄN</t>
        </is>
      </c>
      <c r="E429" t="inlineStr">
        <is>
          <t>ROBERTSFORS</t>
        </is>
      </c>
      <c r="F429" t="inlineStr">
        <is>
          <t>Sveaskog</t>
        </is>
      </c>
      <c r="G429" t="n">
        <v>0.7</v>
      </c>
      <c r="H429" t="n">
        <v>0</v>
      </c>
      <c r="I429" t="n">
        <v>0</v>
      </c>
      <c r="J429" t="n">
        <v>2</v>
      </c>
      <c r="K429" t="n">
        <v>0</v>
      </c>
      <c r="L429" t="n">
        <v>0</v>
      </c>
      <c r="M429" t="n">
        <v>0</v>
      </c>
      <c r="N429" t="n">
        <v>0</v>
      </c>
      <c r="O429" t="n">
        <v>2</v>
      </c>
      <c r="P429" t="n">
        <v>0</v>
      </c>
      <c r="Q429" t="n">
        <v>2</v>
      </c>
      <c r="R429" s="2" t="inlineStr">
        <is>
          <t>Gammelgransskål
Garnlav</t>
        </is>
      </c>
      <c r="S429">
        <f>HYPERLINK("https://klasma.github.io/Logging_ROBERTSFORS/artfynd/A 63236-2020.xlsx", "A 63236-2020")</f>
        <v/>
      </c>
      <c r="T429">
        <f>HYPERLINK("https://klasma.github.io/Logging_ROBERTSFORS/kartor/A 63236-2020.png", "A 63236-2020")</f>
        <v/>
      </c>
      <c r="V429">
        <f>HYPERLINK("https://klasma.github.io/Logging_ROBERTSFORS/klagomål/A 63236-2020.docx", "A 63236-2020")</f>
        <v/>
      </c>
      <c r="W429">
        <f>HYPERLINK("https://klasma.github.io/Logging_ROBERTSFORS/klagomålsmail/A 63236-2020.docx", "A 63236-2020")</f>
        <v/>
      </c>
      <c r="X429">
        <f>HYPERLINK("https://klasma.github.io/Logging_ROBERTSFORS/tillsyn/A 63236-2020.docx", "A 63236-2020")</f>
        <v/>
      </c>
      <c r="Y429">
        <f>HYPERLINK("https://klasma.github.io/Logging_ROBERTSFORS/tillsynsmail/A 63236-2020.docx", "A 63236-2020")</f>
        <v/>
      </c>
    </row>
    <row r="430" ht="15" customHeight="1">
      <c r="A430" t="inlineStr">
        <is>
          <t>A 64203-2020</t>
        </is>
      </c>
      <c r="B430" s="1" t="n">
        <v>44167</v>
      </c>
      <c r="C430" s="1" t="n">
        <v>45204</v>
      </c>
      <c r="D430" t="inlineStr">
        <is>
          <t>VÄSTERBOTTENS LÄN</t>
        </is>
      </c>
      <c r="E430" t="inlineStr">
        <is>
          <t>SKELLEFTEÅ</t>
        </is>
      </c>
      <c r="G430" t="n">
        <v>9.800000000000001</v>
      </c>
      <c r="H430" t="n">
        <v>2</v>
      </c>
      <c r="I430" t="n">
        <v>0</v>
      </c>
      <c r="J430" t="n">
        <v>0</v>
      </c>
      <c r="K430" t="n">
        <v>0</v>
      </c>
      <c r="L430" t="n">
        <v>0</v>
      </c>
      <c r="M430" t="n">
        <v>0</v>
      </c>
      <c r="N430" t="n">
        <v>0</v>
      </c>
      <c r="O430" t="n">
        <v>0</v>
      </c>
      <c r="P430" t="n">
        <v>0</v>
      </c>
      <c r="Q430" t="n">
        <v>2</v>
      </c>
      <c r="R430" s="2" t="inlineStr">
        <is>
          <t>Brudsporre
Fläcknycklar</t>
        </is>
      </c>
      <c r="S430">
        <f>HYPERLINK("https://klasma.github.io/Logging_SKELLEFTEA/artfynd/A 64203-2020.xlsx", "A 64203-2020")</f>
        <v/>
      </c>
      <c r="T430">
        <f>HYPERLINK("https://klasma.github.io/Logging_SKELLEFTEA/kartor/A 64203-2020.png", "A 64203-2020")</f>
        <v/>
      </c>
      <c r="V430">
        <f>HYPERLINK("https://klasma.github.io/Logging_SKELLEFTEA/klagomål/A 64203-2020.docx", "A 64203-2020")</f>
        <v/>
      </c>
      <c r="W430">
        <f>HYPERLINK("https://klasma.github.io/Logging_SKELLEFTEA/klagomålsmail/A 64203-2020.docx", "A 64203-2020")</f>
        <v/>
      </c>
      <c r="X430">
        <f>HYPERLINK("https://klasma.github.io/Logging_SKELLEFTEA/tillsyn/A 64203-2020.docx", "A 64203-2020")</f>
        <v/>
      </c>
      <c r="Y430">
        <f>HYPERLINK("https://klasma.github.io/Logging_SKELLEFTEA/tillsynsmail/A 64203-2020.docx", "A 64203-2020")</f>
        <v/>
      </c>
    </row>
    <row r="431" ht="15" customHeight="1">
      <c r="A431" t="inlineStr">
        <is>
          <t>A 1148-2021</t>
        </is>
      </c>
      <c r="B431" s="1" t="n">
        <v>44207</v>
      </c>
      <c r="C431" s="1" t="n">
        <v>45204</v>
      </c>
      <c r="D431" t="inlineStr">
        <is>
          <t>VÄSTERBOTTENS LÄN</t>
        </is>
      </c>
      <c r="E431" t="inlineStr">
        <is>
          <t>NORDMALING</t>
        </is>
      </c>
      <c r="G431" t="n">
        <v>6.8</v>
      </c>
      <c r="H431" t="n">
        <v>1</v>
      </c>
      <c r="I431" t="n">
        <v>0</v>
      </c>
      <c r="J431" t="n">
        <v>2</v>
      </c>
      <c r="K431" t="n">
        <v>0</v>
      </c>
      <c r="L431" t="n">
        <v>0</v>
      </c>
      <c r="M431" t="n">
        <v>0</v>
      </c>
      <c r="N431" t="n">
        <v>0</v>
      </c>
      <c r="O431" t="n">
        <v>2</v>
      </c>
      <c r="P431" t="n">
        <v>0</v>
      </c>
      <c r="Q431" t="n">
        <v>2</v>
      </c>
      <c r="R431" s="2" t="inlineStr">
        <is>
          <t>Spillkråka
Violettgrå tagellav</t>
        </is>
      </c>
      <c r="S431">
        <f>HYPERLINK("https://klasma.github.io/Logging_NORDMALING/artfynd/A 1148-2021.xlsx", "A 1148-2021")</f>
        <v/>
      </c>
      <c r="T431">
        <f>HYPERLINK("https://klasma.github.io/Logging_NORDMALING/kartor/A 1148-2021.png", "A 1148-2021")</f>
        <v/>
      </c>
      <c r="V431">
        <f>HYPERLINK("https://klasma.github.io/Logging_NORDMALING/klagomål/A 1148-2021.docx", "A 1148-2021")</f>
        <v/>
      </c>
      <c r="W431">
        <f>HYPERLINK("https://klasma.github.io/Logging_NORDMALING/klagomålsmail/A 1148-2021.docx", "A 1148-2021")</f>
        <v/>
      </c>
      <c r="X431">
        <f>HYPERLINK("https://klasma.github.io/Logging_NORDMALING/tillsyn/A 1148-2021.docx", "A 1148-2021")</f>
        <v/>
      </c>
      <c r="Y431">
        <f>HYPERLINK("https://klasma.github.io/Logging_NORDMALING/tillsynsmail/A 1148-2021.docx", "A 1148-2021")</f>
        <v/>
      </c>
    </row>
    <row r="432" ht="15" customHeight="1">
      <c r="A432" t="inlineStr">
        <is>
          <t>A 6704-2021</t>
        </is>
      </c>
      <c r="B432" s="1" t="n">
        <v>44235</v>
      </c>
      <c r="C432" s="1" t="n">
        <v>45204</v>
      </c>
      <c r="D432" t="inlineStr">
        <is>
          <t>VÄSTERBOTTENS LÄN</t>
        </is>
      </c>
      <c r="E432" t="inlineStr">
        <is>
          <t>VILHELMINA</t>
        </is>
      </c>
      <c r="G432" t="n">
        <v>14.5</v>
      </c>
      <c r="H432" t="n">
        <v>1</v>
      </c>
      <c r="I432" t="n">
        <v>1</v>
      </c>
      <c r="J432" t="n">
        <v>1</v>
      </c>
      <c r="K432" t="n">
        <v>0</v>
      </c>
      <c r="L432" t="n">
        <v>0</v>
      </c>
      <c r="M432" t="n">
        <v>0</v>
      </c>
      <c r="N432" t="n">
        <v>0</v>
      </c>
      <c r="O432" t="n">
        <v>1</v>
      </c>
      <c r="P432" t="n">
        <v>0</v>
      </c>
      <c r="Q432" t="n">
        <v>2</v>
      </c>
      <c r="R432" s="2" t="inlineStr">
        <is>
          <t>Tretåig hackspett
Trådticka</t>
        </is>
      </c>
      <c r="S432">
        <f>HYPERLINK("https://klasma.github.io/Logging_VILHELMINA/artfynd/A 6704-2021.xlsx", "A 6704-2021")</f>
        <v/>
      </c>
      <c r="T432">
        <f>HYPERLINK("https://klasma.github.io/Logging_VILHELMINA/kartor/A 6704-2021.png", "A 6704-2021")</f>
        <v/>
      </c>
      <c r="V432">
        <f>HYPERLINK("https://klasma.github.io/Logging_VILHELMINA/klagomål/A 6704-2021.docx", "A 6704-2021")</f>
        <v/>
      </c>
      <c r="W432">
        <f>HYPERLINK("https://klasma.github.io/Logging_VILHELMINA/klagomålsmail/A 6704-2021.docx", "A 6704-2021")</f>
        <v/>
      </c>
      <c r="X432">
        <f>HYPERLINK("https://klasma.github.io/Logging_VILHELMINA/tillsyn/A 6704-2021.docx", "A 6704-2021")</f>
        <v/>
      </c>
      <c r="Y432">
        <f>HYPERLINK("https://klasma.github.io/Logging_VILHELMINA/tillsynsmail/A 6704-2021.docx", "A 6704-2021")</f>
        <v/>
      </c>
    </row>
    <row r="433" ht="15" customHeight="1">
      <c r="A433" t="inlineStr">
        <is>
          <t>A 9917-2021</t>
        </is>
      </c>
      <c r="B433" s="1" t="n">
        <v>44253</v>
      </c>
      <c r="C433" s="1" t="n">
        <v>45204</v>
      </c>
      <c r="D433" t="inlineStr">
        <is>
          <t>VÄSTERBOTTENS LÄN</t>
        </is>
      </c>
      <c r="E433" t="inlineStr">
        <is>
          <t>VILHELMINA</t>
        </is>
      </c>
      <c r="G433" t="n">
        <v>1.5</v>
      </c>
      <c r="H433" t="n">
        <v>0</v>
      </c>
      <c r="I433" t="n">
        <v>0</v>
      </c>
      <c r="J433" t="n">
        <v>2</v>
      </c>
      <c r="K433" t="n">
        <v>0</v>
      </c>
      <c r="L433" t="n">
        <v>0</v>
      </c>
      <c r="M433" t="n">
        <v>0</v>
      </c>
      <c r="N433" t="n">
        <v>0</v>
      </c>
      <c r="O433" t="n">
        <v>2</v>
      </c>
      <c r="P433" t="n">
        <v>0</v>
      </c>
      <c r="Q433" t="n">
        <v>2</v>
      </c>
      <c r="R433" s="2" t="inlineStr">
        <is>
          <t>Garnlav
Granticka</t>
        </is>
      </c>
      <c r="S433">
        <f>HYPERLINK("https://klasma.github.io/Logging_VILHELMINA/artfynd/A 9917-2021.xlsx", "A 9917-2021")</f>
        <v/>
      </c>
      <c r="T433">
        <f>HYPERLINK("https://klasma.github.io/Logging_VILHELMINA/kartor/A 9917-2021.png", "A 9917-2021")</f>
        <v/>
      </c>
      <c r="V433">
        <f>HYPERLINK("https://klasma.github.io/Logging_VILHELMINA/klagomål/A 9917-2021.docx", "A 9917-2021")</f>
        <v/>
      </c>
      <c r="W433">
        <f>HYPERLINK("https://klasma.github.io/Logging_VILHELMINA/klagomålsmail/A 9917-2021.docx", "A 9917-2021")</f>
        <v/>
      </c>
      <c r="X433">
        <f>HYPERLINK("https://klasma.github.io/Logging_VILHELMINA/tillsyn/A 9917-2021.docx", "A 9917-2021")</f>
        <v/>
      </c>
      <c r="Y433">
        <f>HYPERLINK("https://klasma.github.io/Logging_VILHELMINA/tillsynsmail/A 9917-2021.docx", "A 9917-2021")</f>
        <v/>
      </c>
    </row>
    <row r="434" ht="15" customHeight="1">
      <c r="A434" t="inlineStr">
        <is>
          <t>A 19234-2021</t>
        </is>
      </c>
      <c r="B434" s="1" t="n">
        <v>44309</v>
      </c>
      <c r="C434" s="1" t="n">
        <v>45204</v>
      </c>
      <c r="D434" t="inlineStr">
        <is>
          <t>VÄSTERBOTTENS LÄN</t>
        </is>
      </c>
      <c r="E434" t="inlineStr">
        <is>
          <t>VILHELMINA</t>
        </is>
      </c>
      <c r="F434" t="inlineStr">
        <is>
          <t>Övriga Aktiebolag</t>
        </is>
      </c>
      <c r="G434" t="n">
        <v>12</v>
      </c>
      <c r="H434" t="n">
        <v>0</v>
      </c>
      <c r="I434" t="n">
        <v>0</v>
      </c>
      <c r="J434" t="n">
        <v>2</v>
      </c>
      <c r="K434" t="n">
        <v>0</v>
      </c>
      <c r="L434" t="n">
        <v>0</v>
      </c>
      <c r="M434" t="n">
        <v>0</v>
      </c>
      <c r="N434" t="n">
        <v>0</v>
      </c>
      <c r="O434" t="n">
        <v>2</v>
      </c>
      <c r="P434" t="n">
        <v>0</v>
      </c>
      <c r="Q434" t="n">
        <v>2</v>
      </c>
      <c r="R434" s="2" t="inlineStr">
        <is>
          <t>Granticka
Harticka</t>
        </is>
      </c>
      <c r="S434">
        <f>HYPERLINK("https://klasma.github.io/Logging_VILHELMINA/artfynd/A 19234-2021.xlsx", "A 19234-2021")</f>
        <v/>
      </c>
      <c r="T434">
        <f>HYPERLINK("https://klasma.github.io/Logging_VILHELMINA/kartor/A 19234-2021.png", "A 19234-2021")</f>
        <v/>
      </c>
      <c r="V434">
        <f>HYPERLINK("https://klasma.github.io/Logging_VILHELMINA/klagomål/A 19234-2021.docx", "A 19234-2021")</f>
        <v/>
      </c>
      <c r="W434">
        <f>HYPERLINK("https://klasma.github.io/Logging_VILHELMINA/klagomålsmail/A 19234-2021.docx", "A 19234-2021")</f>
        <v/>
      </c>
      <c r="X434">
        <f>HYPERLINK("https://klasma.github.io/Logging_VILHELMINA/tillsyn/A 19234-2021.docx", "A 19234-2021")</f>
        <v/>
      </c>
      <c r="Y434">
        <f>HYPERLINK("https://klasma.github.io/Logging_VILHELMINA/tillsynsmail/A 19234-2021.docx", "A 19234-2021")</f>
        <v/>
      </c>
    </row>
    <row r="435" ht="15" customHeight="1">
      <c r="A435" t="inlineStr">
        <is>
          <t>A 29349-2021</t>
        </is>
      </c>
      <c r="B435" s="1" t="n">
        <v>44361</v>
      </c>
      <c r="C435" s="1" t="n">
        <v>45204</v>
      </c>
      <c r="D435" t="inlineStr">
        <is>
          <t>VÄSTERBOTTENS LÄN</t>
        </is>
      </c>
      <c r="E435" t="inlineStr">
        <is>
          <t>STORUMAN</t>
        </is>
      </c>
      <c r="F435" t="inlineStr">
        <is>
          <t>Sveaskog</t>
        </is>
      </c>
      <c r="G435" t="n">
        <v>12.4</v>
      </c>
      <c r="H435" t="n">
        <v>0</v>
      </c>
      <c r="I435" t="n">
        <v>2</v>
      </c>
      <c r="J435" t="n">
        <v>0</v>
      </c>
      <c r="K435" t="n">
        <v>0</v>
      </c>
      <c r="L435" t="n">
        <v>0</v>
      </c>
      <c r="M435" t="n">
        <v>0</v>
      </c>
      <c r="N435" t="n">
        <v>0</v>
      </c>
      <c r="O435" t="n">
        <v>0</v>
      </c>
      <c r="P435" t="n">
        <v>0</v>
      </c>
      <c r="Q435" t="n">
        <v>2</v>
      </c>
      <c r="R435" s="2" t="inlineStr">
        <is>
          <t>Luddlav
Stuplav</t>
        </is>
      </c>
      <c r="S435">
        <f>HYPERLINK("https://klasma.github.io/Logging_STORUMAN/artfynd/A 29349-2021.xlsx", "A 29349-2021")</f>
        <v/>
      </c>
      <c r="T435">
        <f>HYPERLINK("https://klasma.github.io/Logging_STORUMAN/kartor/A 29349-2021.png", "A 29349-2021")</f>
        <v/>
      </c>
      <c r="V435">
        <f>HYPERLINK("https://klasma.github.io/Logging_STORUMAN/klagomål/A 29349-2021.docx", "A 29349-2021")</f>
        <v/>
      </c>
      <c r="W435">
        <f>HYPERLINK("https://klasma.github.io/Logging_STORUMAN/klagomålsmail/A 29349-2021.docx", "A 29349-2021")</f>
        <v/>
      </c>
      <c r="X435">
        <f>HYPERLINK("https://klasma.github.io/Logging_STORUMAN/tillsyn/A 29349-2021.docx", "A 29349-2021")</f>
        <v/>
      </c>
      <c r="Y435">
        <f>HYPERLINK("https://klasma.github.io/Logging_STORUMAN/tillsynsmail/A 29349-2021.docx", "A 29349-2021")</f>
        <v/>
      </c>
    </row>
    <row r="436" ht="15" customHeight="1">
      <c r="A436" t="inlineStr">
        <is>
          <t>A 34250-2021</t>
        </is>
      </c>
      <c r="B436" s="1" t="n">
        <v>44379</v>
      </c>
      <c r="C436" s="1" t="n">
        <v>45204</v>
      </c>
      <c r="D436" t="inlineStr">
        <is>
          <t>VÄSTERBOTTENS LÄN</t>
        </is>
      </c>
      <c r="E436" t="inlineStr">
        <is>
          <t>SKELLEFTEÅ</t>
        </is>
      </c>
      <c r="F436" t="inlineStr">
        <is>
          <t>Holmen skog AB</t>
        </is>
      </c>
      <c r="G436" t="n">
        <v>4.3</v>
      </c>
      <c r="H436" t="n">
        <v>0</v>
      </c>
      <c r="I436" t="n">
        <v>0</v>
      </c>
      <c r="J436" t="n">
        <v>2</v>
      </c>
      <c r="K436" t="n">
        <v>0</v>
      </c>
      <c r="L436" t="n">
        <v>0</v>
      </c>
      <c r="M436" t="n">
        <v>0</v>
      </c>
      <c r="N436" t="n">
        <v>0</v>
      </c>
      <c r="O436" t="n">
        <v>2</v>
      </c>
      <c r="P436" t="n">
        <v>0</v>
      </c>
      <c r="Q436" t="n">
        <v>2</v>
      </c>
      <c r="R436" s="2" t="inlineStr">
        <is>
          <t>Gammelgransskål
Garnlav</t>
        </is>
      </c>
      <c r="S436">
        <f>HYPERLINK("https://klasma.github.io/Logging_SKELLEFTEA/artfynd/A 34250-2021.xlsx", "A 34250-2021")</f>
        <v/>
      </c>
      <c r="T436">
        <f>HYPERLINK("https://klasma.github.io/Logging_SKELLEFTEA/kartor/A 34250-2021.png", "A 34250-2021")</f>
        <v/>
      </c>
      <c r="V436">
        <f>HYPERLINK("https://klasma.github.io/Logging_SKELLEFTEA/klagomål/A 34250-2021.docx", "A 34250-2021")</f>
        <v/>
      </c>
      <c r="W436">
        <f>HYPERLINK("https://klasma.github.io/Logging_SKELLEFTEA/klagomålsmail/A 34250-2021.docx", "A 34250-2021")</f>
        <v/>
      </c>
      <c r="X436">
        <f>HYPERLINK("https://klasma.github.io/Logging_SKELLEFTEA/tillsyn/A 34250-2021.docx", "A 34250-2021")</f>
        <v/>
      </c>
      <c r="Y436">
        <f>HYPERLINK("https://klasma.github.io/Logging_SKELLEFTEA/tillsynsmail/A 34250-2021.docx", "A 34250-2021")</f>
        <v/>
      </c>
    </row>
    <row r="437" ht="15" customHeight="1">
      <c r="A437" t="inlineStr">
        <is>
          <t>A 35297-2021</t>
        </is>
      </c>
      <c r="B437" s="1" t="n">
        <v>44384</v>
      </c>
      <c r="C437" s="1" t="n">
        <v>45204</v>
      </c>
      <c r="D437" t="inlineStr">
        <is>
          <t>VÄSTERBOTTENS LÄN</t>
        </is>
      </c>
      <c r="E437" t="inlineStr">
        <is>
          <t>UMEÅ</t>
        </is>
      </c>
      <c r="G437" t="n">
        <v>8</v>
      </c>
      <c r="H437" t="n">
        <v>0</v>
      </c>
      <c r="I437" t="n">
        <v>1</v>
      </c>
      <c r="J437" t="n">
        <v>0</v>
      </c>
      <c r="K437" t="n">
        <v>1</v>
      </c>
      <c r="L437" t="n">
        <v>0</v>
      </c>
      <c r="M437" t="n">
        <v>0</v>
      </c>
      <c r="N437" t="n">
        <v>0</v>
      </c>
      <c r="O437" t="n">
        <v>1</v>
      </c>
      <c r="P437" t="n">
        <v>1</v>
      </c>
      <c r="Q437" t="n">
        <v>2</v>
      </c>
      <c r="R437" s="2" t="inlineStr">
        <is>
          <t>Aspgelélav
Stuplav</t>
        </is>
      </c>
      <c r="S437">
        <f>HYPERLINK("https://klasma.github.io/Logging_UMEA/artfynd/A 35297-2021.xlsx", "A 35297-2021")</f>
        <v/>
      </c>
      <c r="T437">
        <f>HYPERLINK("https://klasma.github.io/Logging_UMEA/kartor/A 35297-2021.png", "A 35297-2021")</f>
        <v/>
      </c>
      <c r="V437">
        <f>HYPERLINK("https://klasma.github.io/Logging_UMEA/klagomål/A 35297-2021.docx", "A 35297-2021")</f>
        <v/>
      </c>
      <c r="W437">
        <f>HYPERLINK("https://klasma.github.io/Logging_UMEA/klagomålsmail/A 35297-2021.docx", "A 35297-2021")</f>
        <v/>
      </c>
      <c r="X437">
        <f>HYPERLINK("https://klasma.github.io/Logging_UMEA/tillsyn/A 35297-2021.docx", "A 35297-2021")</f>
        <v/>
      </c>
      <c r="Y437">
        <f>HYPERLINK("https://klasma.github.io/Logging_UMEA/tillsynsmail/A 35297-2021.docx", "A 35297-2021")</f>
        <v/>
      </c>
    </row>
    <row r="438" ht="15" customHeight="1">
      <c r="A438" t="inlineStr">
        <is>
          <t>A 35585-2021</t>
        </is>
      </c>
      <c r="B438" s="1" t="n">
        <v>44386</v>
      </c>
      <c r="C438" s="1" t="n">
        <v>45204</v>
      </c>
      <c r="D438" t="inlineStr">
        <is>
          <t>VÄSTERBOTTENS LÄN</t>
        </is>
      </c>
      <c r="E438" t="inlineStr">
        <is>
          <t>SKELLEFTEÅ</t>
        </is>
      </c>
      <c r="F438" t="inlineStr">
        <is>
          <t>Holmen skog AB</t>
        </is>
      </c>
      <c r="G438" t="n">
        <v>8.4</v>
      </c>
      <c r="H438" t="n">
        <v>0</v>
      </c>
      <c r="I438" t="n">
        <v>0</v>
      </c>
      <c r="J438" t="n">
        <v>2</v>
      </c>
      <c r="K438" t="n">
        <v>0</v>
      </c>
      <c r="L438" t="n">
        <v>0</v>
      </c>
      <c r="M438" t="n">
        <v>0</v>
      </c>
      <c r="N438" t="n">
        <v>0</v>
      </c>
      <c r="O438" t="n">
        <v>2</v>
      </c>
      <c r="P438" t="n">
        <v>0</v>
      </c>
      <c r="Q438" t="n">
        <v>2</v>
      </c>
      <c r="R438" s="2" t="inlineStr">
        <is>
          <t>Garnlav
Ullticka</t>
        </is>
      </c>
      <c r="S438">
        <f>HYPERLINK("https://klasma.github.io/Logging_SKELLEFTEA/artfynd/A 35585-2021.xlsx", "A 35585-2021")</f>
        <v/>
      </c>
      <c r="T438">
        <f>HYPERLINK("https://klasma.github.io/Logging_SKELLEFTEA/kartor/A 35585-2021.png", "A 35585-2021")</f>
        <v/>
      </c>
      <c r="V438">
        <f>HYPERLINK("https://klasma.github.io/Logging_SKELLEFTEA/klagomål/A 35585-2021.docx", "A 35585-2021")</f>
        <v/>
      </c>
      <c r="W438">
        <f>HYPERLINK("https://klasma.github.io/Logging_SKELLEFTEA/klagomålsmail/A 35585-2021.docx", "A 35585-2021")</f>
        <v/>
      </c>
      <c r="X438">
        <f>HYPERLINK("https://klasma.github.io/Logging_SKELLEFTEA/tillsyn/A 35585-2021.docx", "A 35585-2021")</f>
        <v/>
      </c>
      <c r="Y438">
        <f>HYPERLINK("https://klasma.github.io/Logging_SKELLEFTEA/tillsynsmail/A 35585-2021.docx", "A 35585-2021")</f>
        <v/>
      </c>
    </row>
    <row r="439" ht="15" customHeight="1">
      <c r="A439" t="inlineStr">
        <is>
          <t>A 37785-2021</t>
        </is>
      </c>
      <c r="B439" s="1" t="n">
        <v>44401</v>
      </c>
      <c r="C439" s="1" t="n">
        <v>45204</v>
      </c>
      <c r="D439" t="inlineStr">
        <is>
          <t>VÄSTERBOTTENS LÄN</t>
        </is>
      </c>
      <c r="E439" t="inlineStr">
        <is>
          <t>VILHELMINA</t>
        </is>
      </c>
      <c r="G439" t="n">
        <v>51.5</v>
      </c>
      <c r="H439" t="n">
        <v>1</v>
      </c>
      <c r="I439" t="n">
        <v>0</v>
      </c>
      <c r="J439" t="n">
        <v>1</v>
      </c>
      <c r="K439" t="n">
        <v>0</v>
      </c>
      <c r="L439" t="n">
        <v>0</v>
      </c>
      <c r="M439" t="n">
        <v>0</v>
      </c>
      <c r="N439" t="n">
        <v>0</v>
      </c>
      <c r="O439" t="n">
        <v>1</v>
      </c>
      <c r="P439" t="n">
        <v>0</v>
      </c>
      <c r="Q439" t="n">
        <v>2</v>
      </c>
      <c r="R439" s="2" t="inlineStr">
        <is>
          <t>Ullticka
Fläcknycklar</t>
        </is>
      </c>
      <c r="S439">
        <f>HYPERLINK("https://klasma.github.io/Logging_VILHELMINA/artfynd/A 37785-2021.xlsx", "A 37785-2021")</f>
        <v/>
      </c>
      <c r="T439">
        <f>HYPERLINK("https://klasma.github.io/Logging_VILHELMINA/kartor/A 37785-2021.png", "A 37785-2021")</f>
        <v/>
      </c>
      <c r="V439">
        <f>HYPERLINK("https://klasma.github.io/Logging_VILHELMINA/klagomål/A 37785-2021.docx", "A 37785-2021")</f>
        <v/>
      </c>
      <c r="W439">
        <f>HYPERLINK("https://klasma.github.io/Logging_VILHELMINA/klagomålsmail/A 37785-2021.docx", "A 37785-2021")</f>
        <v/>
      </c>
      <c r="X439">
        <f>HYPERLINK("https://klasma.github.io/Logging_VILHELMINA/tillsyn/A 37785-2021.docx", "A 37785-2021")</f>
        <v/>
      </c>
      <c r="Y439">
        <f>HYPERLINK("https://klasma.github.io/Logging_VILHELMINA/tillsynsmail/A 37785-2021.docx", "A 37785-2021")</f>
        <v/>
      </c>
    </row>
    <row r="440" ht="15" customHeight="1">
      <c r="A440" t="inlineStr">
        <is>
          <t>A 38443-2021</t>
        </is>
      </c>
      <c r="B440" s="1" t="n">
        <v>44406</v>
      </c>
      <c r="C440" s="1" t="n">
        <v>45204</v>
      </c>
      <c r="D440" t="inlineStr">
        <is>
          <t>VÄSTERBOTTENS LÄN</t>
        </is>
      </c>
      <c r="E440" t="inlineStr">
        <is>
          <t>UMEÅ</t>
        </is>
      </c>
      <c r="F440" t="inlineStr">
        <is>
          <t>Kommuner</t>
        </is>
      </c>
      <c r="G440" t="n">
        <v>2.8</v>
      </c>
      <c r="H440" t="n">
        <v>0</v>
      </c>
      <c r="I440" t="n">
        <v>1</v>
      </c>
      <c r="J440" t="n">
        <v>1</v>
      </c>
      <c r="K440" t="n">
        <v>0</v>
      </c>
      <c r="L440" t="n">
        <v>0</v>
      </c>
      <c r="M440" t="n">
        <v>0</v>
      </c>
      <c r="N440" t="n">
        <v>0</v>
      </c>
      <c r="O440" t="n">
        <v>1</v>
      </c>
      <c r="P440" t="n">
        <v>0</v>
      </c>
      <c r="Q440" t="n">
        <v>2</v>
      </c>
      <c r="R440" s="2" t="inlineStr">
        <is>
          <t>Motaggsvamp
Skarp dropptaggsvamp</t>
        </is>
      </c>
      <c r="S440">
        <f>HYPERLINK("https://klasma.github.io/Logging_UMEA/artfynd/A 38443-2021.xlsx", "A 38443-2021")</f>
        <v/>
      </c>
      <c r="T440">
        <f>HYPERLINK("https://klasma.github.io/Logging_UMEA/kartor/A 38443-2021.png", "A 38443-2021")</f>
        <v/>
      </c>
      <c r="V440">
        <f>HYPERLINK("https://klasma.github.io/Logging_UMEA/klagomål/A 38443-2021.docx", "A 38443-2021")</f>
        <v/>
      </c>
      <c r="W440">
        <f>HYPERLINK("https://klasma.github.io/Logging_UMEA/klagomålsmail/A 38443-2021.docx", "A 38443-2021")</f>
        <v/>
      </c>
      <c r="X440">
        <f>HYPERLINK("https://klasma.github.io/Logging_UMEA/tillsyn/A 38443-2021.docx", "A 38443-2021")</f>
        <v/>
      </c>
      <c r="Y440">
        <f>HYPERLINK("https://klasma.github.io/Logging_UMEA/tillsynsmail/A 38443-2021.docx", "A 38443-2021")</f>
        <v/>
      </c>
    </row>
    <row r="441" ht="15" customHeight="1">
      <c r="A441" t="inlineStr">
        <is>
          <t>A 38400-2021</t>
        </is>
      </c>
      <c r="B441" s="1" t="n">
        <v>44406</v>
      </c>
      <c r="C441" s="1" t="n">
        <v>45204</v>
      </c>
      <c r="D441" t="inlineStr">
        <is>
          <t>VÄSTERBOTTENS LÄN</t>
        </is>
      </c>
      <c r="E441" t="inlineStr">
        <is>
          <t>UMEÅ</t>
        </is>
      </c>
      <c r="F441" t="inlineStr">
        <is>
          <t>Kommuner</t>
        </is>
      </c>
      <c r="G441" t="n">
        <v>2.5</v>
      </c>
      <c r="H441" t="n">
        <v>0</v>
      </c>
      <c r="I441" t="n">
        <v>0</v>
      </c>
      <c r="J441" t="n">
        <v>2</v>
      </c>
      <c r="K441" t="n">
        <v>0</v>
      </c>
      <c r="L441" t="n">
        <v>0</v>
      </c>
      <c r="M441" t="n">
        <v>0</v>
      </c>
      <c r="N441" t="n">
        <v>0</v>
      </c>
      <c r="O441" t="n">
        <v>2</v>
      </c>
      <c r="P441" t="n">
        <v>0</v>
      </c>
      <c r="Q441" t="n">
        <v>2</v>
      </c>
      <c r="R441" s="2" t="inlineStr">
        <is>
          <t>Epuraea oblonga
Gulbandad brunbagge</t>
        </is>
      </c>
      <c r="S441">
        <f>HYPERLINK("https://klasma.github.io/Logging_UMEA/artfynd/A 38400-2021.xlsx", "A 38400-2021")</f>
        <v/>
      </c>
      <c r="T441">
        <f>HYPERLINK("https://klasma.github.io/Logging_UMEA/kartor/A 38400-2021.png", "A 38400-2021")</f>
        <v/>
      </c>
      <c r="V441">
        <f>HYPERLINK("https://klasma.github.io/Logging_UMEA/klagomål/A 38400-2021.docx", "A 38400-2021")</f>
        <v/>
      </c>
      <c r="W441">
        <f>HYPERLINK("https://klasma.github.io/Logging_UMEA/klagomålsmail/A 38400-2021.docx", "A 38400-2021")</f>
        <v/>
      </c>
      <c r="X441">
        <f>HYPERLINK("https://klasma.github.io/Logging_UMEA/tillsyn/A 38400-2021.docx", "A 38400-2021")</f>
        <v/>
      </c>
      <c r="Y441">
        <f>HYPERLINK("https://klasma.github.io/Logging_UMEA/tillsynsmail/A 38400-2021.docx", "A 38400-2021")</f>
        <v/>
      </c>
    </row>
    <row r="442" ht="15" customHeight="1">
      <c r="A442" t="inlineStr">
        <is>
          <t>A 38689-2021</t>
        </is>
      </c>
      <c r="B442" s="1" t="n">
        <v>44407</v>
      </c>
      <c r="C442" s="1" t="n">
        <v>45204</v>
      </c>
      <c r="D442" t="inlineStr">
        <is>
          <t>VÄSTERBOTTENS LÄN</t>
        </is>
      </c>
      <c r="E442" t="inlineStr">
        <is>
          <t>UMEÅ</t>
        </is>
      </c>
      <c r="F442" t="inlineStr">
        <is>
          <t>Kommuner</t>
        </is>
      </c>
      <c r="G442" t="n">
        <v>1.4</v>
      </c>
      <c r="H442" t="n">
        <v>0</v>
      </c>
      <c r="I442" t="n">
        <v>0</v>
      </c>
      <c r="J442" t="n">
        <v>2</v>
      </c>
      <c r="K442" t="n">
        <v>0</v>
      </c>
      <c r="L442" t="n">
        <v>0</v>
      </c>
      <c r="M442" t="n">
        <v>0</v>
      </c>
      <c r="N442" t="n">
        <v>0</v>
      </c>
      <c r="O442" t="n">
        <v>2</v>
      </c>
      <c r="P442" t="n">
        <v>0</v>
      </c>
      <c r="Q442" t="n">
        <v>2</v>
      </c>
      <c r="R442" s="2" t="inlineStr">
        <is>
          <t>Gulbandad brunbagge
Rödhalsad vedsvampbagge</t>
        </is>
      </c>
      <c r="S442">
        <f>HYPERLINK("https://klasma.github.io/Logging_UMEA/artfynd/A 38689-2021.xlsx", "A 38689-2021")</f>
        <v/>
      </c>
      <c r="T442">
        <f>HYPERLINK("https://klasma.github.io/Logging_UMEA/kartor/A 38689-2021.png", "A 38689-2021")</f>
        <v/>
      </c>
      <c r="V442">
        <f>HYPERLINK("https://klasma.github.io/Logging_UMEA/klagomål/A 38689-2021.docx", "A 38689-2021")</f>
        <v/>
      </c>
      <c r="W442">
        <f>HYPERLINK("https://klasma.github.io/Logging_UMEA/klagomålsmail/A 38689-2021.docx", "A 38689-2021")</f>
        <v/>
      </c>
      <c r="X442">
        <f>HYPERLINK("https://klasma.github.io/Logging_UMEA/tillsyn/A 38689-2021.docx", "A 38689-2021")</f>
        <v/>
      </c>
      <c r="Y442">
        <f>HYPERLINK("https://klasma.github.io/Logging_UMEA/tillsynsmail/A 38689-2021.docx", "A 38689-2021")</f>
        <v/>
      </c>
    </row>
    <row r="443" ht="15" customHeight="1">
      <c r="A443" t="inlineStr">
        <is>
          <t>A 40652-2021</t>
        </is>
      </c>
      <c r="B443" s="1" t="n">
        <v>44420</v>
      </c>
      <c r="C443" s="1" t="n">
        <v>45204</v>
      </c>
      <c r="D443" t="inlineStr">
        <is>
          <t>VÄSTERBOTTENS LÄN</t>
        </is>
      </c>
      <c r="E443" t="inlineStr">
        <is>
          <t>STORUMAN</t>
        </is>
      </c>
      <c r="G443" t="n">
        <v>10</v>
      </c>
      <c r="H443" t="n">
        <v>2</v>
      </c>
      <c r="I443" t="n">
        <v>0</v>
      </c>
      <c r="J443" t="n">
        <v>1</v>
      </c>
      <c r="K443" t="n">
        <v>1</v>
      </c>
      <c r="L443" t="n">
        <v>0</v>
      </c>
      <c r="M443" t="n">
        <v>0</v>
      </c>
      <c r="N443" t="n">
        <v>0</v>
      </c>
      <c r="O443" t="n">
        <v>2</v>
      </c>
      <c r="P443" t="n">
        <v>1</v>
      </c>
      <c r="Q443" t="n">
        <v>2</v>
      </c>
      <c r="R443" s="2" t="inlineStr">
        <is>
          <t>Knärot
Tretåig hackspett</t>
        </is>
      </c>
      <c r="S443">
        <f>HYPERLINK("https://klasma.github.io/Logging_STORUMAN/artfynd/A 40652-2021.xlsx", "A 40652-2021")</f>
        <v/>
      </c>
      <c r="T443">
        <f>HYPERLINK("https://klasma.github.io/Logging_STORUMAN/kartor/A 40652-2021.png", "A 40652-2021")</f>
        <v/>
      </c>
      <c r="U443">
        <f>HYPERLINK("https://klasma.github.io/Logging_STORUMAN/knärot/A 40652-2021.png", "A 40652-2021")</f>
        <v/>
      </c>
      <c r="V443">
        <f>HYPERLINK("https://klasma.github.io/Logging_STORUMAN/klagomål/A 40652-2021.docx", "A 40652-2021")</f>
        <v/>
      </c>
      <c r="W443">
        <f>HYPERLINK("https://klasma.github.io/Logging_STORUMAN/klagomålsmail/A 40652-2021.docx", "A 40652-2021")</f>
        <v/>
      </c>
      <c r="X443">
        <f>HYPERLINK("https://klasma.github.io/Logging_STORUMAN/tillsyn/A 40652-2021.docx", "A 40652-2021")</f>
        <v/>
      </c>
      <c r="Y443">
        <f>HYPERLINK("https://klasma.github.io/Logging_STORUMAN/tillsynsmail/A 40652-2021.docx", "A 40652-2021")</f>
        <v/>
      </c>
    </row>
    <row r="444" ht="15" customHeight="1">
      <c r="A444" t="inlineStr">
        <is>
          <t>A 40939-2021</t>
        </is>
      </c>
      <c r="B444" s="1" t="n">
        <v>44421</v>
      </c>
      <c r="C444" s="1" t="n">
        <v>45204</v>
      </c>
      <c r="D444" t="inlineStr">
        <is>
          <t>VÄSTERBOTTENS LÄN</t>
        </is>
      </c>
      <c r="E444" t="inlineStr">
        <is>
          <t>STORUMAN</t>
        </is>
      </c>
      <c r="G444" t="n">
        <v>4.8</v>
      </c>
      <c r="H444" t="n">
        <v>1</v>
      </c>
      <c r="I444" t="n">
        <v>0</v>
      </c>
      <c r="J444" t="n">
        <v>1</v>
      </c>
      <c r="K444" t="n">
        <v>1</v>
      </c>
      <c r="L444" t="n">
        <v>0</v>
      </c>
      <c r="M444" t="n">
        <v>0</v>
      </c>
      <c r="N444" t="n">
        <v>0</v>
      </c>
      <c r="O444" t="n">
        <v>2</v>
      </c>
      <c r="P444" t="n">
        <v>1</v>
      </c>
      <c r="Q444" t="n">
        <v>2</v>
      </c>
      <c r="R444" s="2" t="inlineStr">
        <is>
          <t>Knärot
Lunglav</t>
        </is>
      </c>
      <c r="S444">
        <f>HYPERLINK("https://klasma.github.io/Logging_STORUMAN/artfynd/A 40939-2021.xlsx", "A 40939-2021")</f>
        <v/>
      </c>
      <c r="T444">
        <f>HYPERLINK("https://klasma.github.io/Logging_STORUMAN/kartor/A 40939-2021.png", "A 40939-2021")</f>
        <v/>
      </c>
      <c r="U444">
        <f>HYPERLINK("https://klasma.github.io/Logging_STORUMAN/knärot/A 40939-2021.png", "A 40939-2021")</f>
        <v/>
      </c>
      <c r="V444">
        <f>HYPERLINK("https://klasma.github.io/Logging_STORUMAN/klagomål/A 40939-2021.docx", "A 40939-2021")</f>
        <v/>
      </c>
      <c r="W444">
        <f>HYPERLINK("https://klasma.github.io/Logging_STORUMAN/klagomålsmail/A 40939-2021.docx", "A 40939-2021")</f>
        <v/>
      </c>
      <c r="X444">
        <f>HYPERLINK("https://klasma.github.io/Logging_STORUMAN/tillsyn/A 40939-2021.docx", "A 40939-2021")</f>
        <v/>
      </c>
      <c r="Y444">
        <f>HYPERLINK("https://klasma.github.io/Logging_STORUMAN/tillsynsmail/A 40939-2021.docx", "A 40939-2021")</f>
        <v/>
      </c>
    </row>
    <row r="445" ht="15" customHeight="1">
      <c r="A445" t="inlineStr">
        <is>
          <t>A 43265-2021</t>
        </is>
      </c>
      <c r="B445" s="1" t="n">
        <v>44432</v>
      </c>
      <c r="C445" s="1" t="n">
        <v>45204</v>
      </c>
      <c r="D445" t="inlineStr">
        <is>
          <t>VÄSTERBOTTENS LÄN</t>
        </is>
      </c>
      <c r="E445" t="inlineStr">
        <is>
          <t>SORSELE</t>
        </is>
      </c>
      <c r="G445" t="n">
        <v>38.3</v>
      </c>
      <c r="H445" t="n">
        <v>1</v>
      </c>
      <c r="I445" t="n">
        <v>0</v>
      </c>
      <c r="J445" t="n">
        <v>1</v>
      </c>
      <c r="K445" t="n">
        <v>0</v>
      </c>
      <c r="L445" t="n">
        <v>0</v>
      </c>
      <c r="M445" t="n">
        <v>0</v>
      </c>
      <c r="N445" t="n">
        <v>0</v>
      </c>
      <c r="O445" t="n">
        <v>1</v>
      </c>
      <c r="P445" t="n">
        <v>0</v>
      </c>
      <c r="Q445" t="n">
        <v>2</v>
      </c>
      <c r="R445" s="2" t="inlineStr">
        <is>
          <t>Garnlav
Fläcknycklar</t>
        </is>
      </c>
      <c r="S445">
        <f>HYPERLINK("https://klasma.github.io/Logging_SORSELE/artfynd/A 43265-2021.xlsx", "A 43265-2021")</f>
        <v/>
      </c>
      <c r="T445">
        <f>HYPERLINK("https://klasma.github.io/Logging_SORSELE/kartor/A 43265-2021.png", "A 43265-2021")</f>
        <v/>
      </c>
      <c r="V445">
        <f>HYPERLINK("https://klasma.github.io/Logging_SORSELE/klagomål/A 43265-2021.docx", "A 43265-2021")</f>
        <v/>
      </c>
      <c r="W445">
        <f>HYPERLINK("https://klasma.github.io/Logging_SORSELE/klagomålsmail/A 43265-2021.docx", "A 43265-2021")</f>
        <v/>
      </c>
      <c r="X445">
        <f>HYPERLINK("https://klasma.github.io/Logging_SORSELE/tillsyn/A 43265-2021.docx", "A 43265-2021")</f>
        <v/>
      </c>
      <c r="Y445">
        <f>HYPERLINK("https://klasma.github.io/Logging_SORSELE/tillsynsmail/A 43265-2021.docx", "A 43265-2021")</f>
        <v/>
      </c>
    </row>
    <row r="446" ht="15" customHeight="1">
      <c r="A446" t="inlineStr">
        <is>
          <t>A 43740-2021</t>
        </is>
      </c>
      <c r="B446" s="1" t="n">
        <v>44433</v>
      </c>
      <c r="C446" s="1" t="n">
        <v>45204</v>
      </c>
      <c r="D446" t="inlineStr">
        <is>
          <t>VÄSTERBOTTENS LÄN</t>
        </is>
      </c>
      <c r="E446" t="inlineStr">
        <is>
          <t>LYCKSELE</t>
        </is>
      </c>
      <c r="F446" t="inlineStr">
        <is>
          <t>Sveaskog</t>
        </is>
      </c>
      <c r="G446" t="n">
        <v>16.2</v>
      </c>
      <c r="H446" t="n">
        <v>0</v>
      </c>
      <c r="I446" t="n">
        <v>1</v>
      </c>
      <c r="J446" t="n">
        <v>1</v>
      </c>
      <c r="K446" t="n">
        <v>0</v>
      </c>
      <c r="L446" t="n">
        <v>0</v>
      </c>
      <c r="M446" t="n">
        <v>0</v>
      </c>
      <c r="N446" t="n">
        <v>0</v>
      </c>
      <c r="O446" t="n">
        <v>1</v>
      </c>
      <c r="P446" t="n">
        <v>0</v>
      </c>
      <c r="Q446" t="n">
        <v>2</v>
      </c>
      <c r="R446" s="2" t="inlineStr">
        <is>
          <t>Lunglav
Bårdlav</t>
        </is>
      </c>
      <c r="S446">
        <f>HYPERLINK("https://klasma.github.io/Logging_LYCKSELE/artfynd/A 43740-2021.xlsx", "A 43740-2021")</f>
        <v/>
      </c>
      <c r="T446">
        <f>HYPERLINK("https://klasma.github.io/Logging_LYCKSELE/kartor/A 43740-2021.png", "A 43740-2021")</f>
        <v/>
      </c>
      <c r="V446">
        <f>HYPERLINK("https://klasma.github.io/Logging_LYCKSELE/klagomål/A 43740-2021.docx", "A 43740-2021")</f>
        <v/>
      </c>
      <c r="W446">
        <f>HYPERLINK("https://klasma.github.io/Logging_LYCKSELE/klagomålsmail/A 43740-2021.docx", "A 43740-2021")</f>
        <v/>
      </c>
      <c r="X446">
        <f>HYPERLINK("https://klasma.github.io/Logging_LYCKSELE/tillsyn/A 43740-2021.docx", "A 43740-2021")</f>
        <v/>
      </c>
      <c r="Y446">
        <f>HYPERLINK("https://klasma.github.io/Logging_LYCKSELE/tillsynsmail/A 43740-2021.docx", "A 43740-2021")</f>
        <v/>
      </c>
    </row>
    <row r="447" ht="15" customHeight="1">
      <c r="A447" t="inlineStr">
        <is>
          <t>A 45207-2021</t>
        </is>
      </c>
      <c r="B447" s="1" t="n">
        <v>44439</v>
      </c>
      <c r="C447" s="1" t="n">
        <v>45204</v>
      </c>
      <c r="D447" t="inlineStr">
        <is>
          <t>VÄSTERBOTTENS LÄN</t>
        </is>
      </c>
      <c r="E447" t="inlineStr">
        <is>
          <t>UMEÅ</t>
        </is>
      </c>
      <c r="F447" t="inlineStr">
        <is>
          <t>Holmen skog AB</t>
        </is>
      </c>
      <c r="G447" t="n">
        <v>24.3</v>
      </c>
      <c r="H447" t="n">
        <v>0</v>
      </c>
      <c r="I447" t="n">
        <v>1</v>
      </c>
      <c r="J447" t="n">
        <v>1</v>
      </c>
      <c r="K447" t="n">
        <v>0</v>
      </c>
      <c r="L447" t="n">
        <v>0</v>
      </c>
      <c r="M447" t="n">
        <v>0</v>
      </c>
      <c r="N447" t="n">
        <v>0</v>
      </c>
      <c r="O447" t="n">
        <v>1</v>
      </c>
      <c r="P447" t="n">
        <v>0</v>
      </c>
      <c r="Q447" t="n">
        <v>2</v>
      </c>
      <c r="R447" s="2" t="inlineStr">
        <is>
          <t>Garnlav
Vågbandad barkbock</t>
        </is>
      </c>
      <c r="S447">
        <f>HYPERLINK("https://klasma.github.io/Logging_UMEA/artfynd/A 45207-2021.xlsx", "A 45207-2021")</f>
        <v/>
      </c>
      <c r="T447">
        <f>HYPERLINK("https://klasma.github.io/Logging_UMEA/kartor/A 45207-2021.png", "A 45207-2021")</f>
        <v/>
      </c>
      <c r="V447">
        <f>HYPERLINK("https://klasma.github.io/Logging_UMEA/klagomål/A 45207-2021.docx", "A 45207-2021")</f>
        <v/>
      </c>
      <c r="W447">
        <f>HYPERLINK("https://klasma.github.io/Logging_UMEA/klagomålsmail/A 45207-2021.docx", "A 45207-2021")</f>
        <v/>
      </c>
      <c r="X447">
        <f>HYPERLINK("https://klasma.github.io/Logging_UMEA/tillsyn/A 45207-2021.docx", "A 45207-2021")</f>
        <v/>
      </c>
      <c r="Y447">
        <f>HYPERLINK("https://klasma.github.io/Logging_UMEA/tillsynsmail/A 45207-2021.docx", "A 45207-2021")</f>
        <v/>
      </c>
    </row>
    <row r="448" ht="15" customHeight="1">
      <c r="A448" t="inlineStr">
        <is>
          <t>A 52101-2021</t>
        </is>
      </c>
      <c r="B448" s="1" t="n">
        <v>44463</v>
      </c>
      <c r="C448" s="1" t="n">
        <v>45204</v>
      </c>
      <c r="D448" t="inlineStr">
        <is>
          <t>VÄSTERBOTTENS LÄN</t>
        </is>
      </c>
      <c r="E448" t="inlineStr">
        <is>
          <t>VINDELN</t>
        </is>
      </c>
      <c r="F448" t="inlineStr">
        <is>
          <t>Sveaskog</t>
        </is>
      </c>
      <c r="G448" t="n">
        <v>12.9</v>
      </c>
      <c r="H448" t="n">
        <v>0</v>
      </c>
      <c r="I448" t="n">
        <v>1</v>
      </c>
      <c r="J448" t="n">
        <v>1</v>
      </c>
      <c r="K448" t="n">
        <v>0</v>
      </c>
      <c r="L448" t="n">
        <v>0</v>
      </c>
      <c r="M448" t="n">
        <v>0</v>
      </c>
      <c r="N448" t="n">
        <v>0</v>
      </c>
      <c r="O448" t="n">
        <v>1</v>
      </c>
      <c r="P448" t="n">
        <v>0</v>
      </c>
      <c r="Q448" t="n">
        <v>2</v>
      </c>
      <c r="R448" s="2" t="inlineStr">
        <is>
          <t>Vaddporing
Dropptaggsvamp</t>
        </is>
      </c>
      <c r="S448">
        <f>HYPERLINK("https://klasma.github.io/Logging_VINDELN/artfynd/A 52101-2021.xlsx", "A 52101-2021")</f>
        <v/>
      </c>
      <c r="T448">
        <f>HYPERLINK("https://klasma.github.io/Logging_VINDELN/kartor/A 52101-2021.png", "A 52101-2021")</f>
        <v/>
      </c>
      <c r="V448">
        <f>HYPERLINK("https://klasma.github.io/Logging_VINDELN/klagomål/A 52101-2021.docx", "A 52101-2021")</f>
        <v/>
      </c>
      <c r="W448">
        <f>HYPERLINK("https://klasma.github.io/Logging_VINDELN/klagomålsmail/A 52101-2021.docx", "A 52101-2021")</f>
        <v/>
      </c>
      <c r="X448">
        <f>HYPERLINK("https://klasma.github.io/Logging_VINDELN/tillsyn/A 52101-2021.docx", "A 52101-2021")</f>
        <v/>
      </c>
      <c r="Y448">
        <f>HYPERLINK("https://klasma.github.io/Logging_VINDELN/tillsynsmail/A 52101-2021.docx", "A 52101-2021")</f>
        <v/>
      </c>
    </row>
    <row r="449" ht="15" customHeight="1">
      <c r="A449" t="inlineStr">
        <is>
          <t>A 58885-2021</t>
        </is>
      </c>
      <c r="B449" s="1" t="n">
        <v>44489</v>
      </c>
      <c r="C449" s="1" t="n">
        <v>45204</v>
      </c>
      <c r="D449" t="inlineStr">
        <is>
          <t>VÄSTERBOTTENS LÄN</t>
        </is>
      </c>
      <c r="E449" t="inlineStr">
        <is>
          <t>SKELLEFTEÅ</t>
        </is>
      </c>
      <c r="F449" t="inlineStr">
        <is>
          <t>Sveaskog</t>
        </is>
      </c>
      <c r="G449" t="n">
        <v>13.7</v>
      </c>
      <c r="H449" t="n">
        <v>0</v>
      </c>
      <c r="I449" t="n">
        <v>1</v>
      </c>
      <c r="J449" t="n">
        <v>1</v>
      </c>
      <c r="K449" t="n">
        <v>0</v>
      </c>
      <c r="L449" t="n">
        <v>0</v>
      </c>
      <c r="M449" t="n">
        <v>0</v>
      </c>
      <c r="N449" t="n">
        <v>0</v>
      </c>
      <c r="O449" t="n">
        <v>1</v>
      </c>
      <c r="P449" t="n">
        <v>0</v>
      </c>
      <c r="Q449" t="n">
        <v>2</v>
      </c>
      <c r="R449" s="2" t="inlineStr">
        <is>
          <t>Lunglav
Stuplav</t>
        </is>
      </c>
      <c r="S449">
        <f>HYPERLINK("https://klasma.github.io/Logging_SKELLEFTEA/artfynd/A 58885-2021.xlsx", "A 58885-2021")</f>
        <v/>
      </c>
      <c r="T449">
        <f>HYPERLINK("https://klasma.github.io/Logging_SKELLEFTEA/kartor/A 58885-2021.png", "A 58885-2021")</f>
        <v/>
      </c>
      <c r="V449">
        <f>HYPERLINK("https://klasma.github.io/Logging_SKELLEFTEA/klagomål/A 58885-2021.docx", "A 58885-2021")</f>
        <v/>
      </c>
      <c r="W449">
        <f>HYPERLINK("https://klasma.github.io/Logging_SKELLEFTEA/klagomålsmail/A 58885-2021.docx", "A 58885-2021")</f>
        <v/>
      </c>
      <c r="X449">
        <f>HYPERLINK("https://klasma.github.io/Logging_SKELLEFTEA/tillsyn/A 58885-2021.docx", "A 58885-2021")</f>
        <v/>
      </c>
      <c r="Y449">
        <f>HYPERLINK("https://klasma.github.io/Logging_SKELLEFTEA/tillsynsmail/A 58885-2021.docx", "A 58885-2021")</f>
        <v/>
      </c>
    </row>
    <row r="450" ht="15" customHeight="1">
      <c r="A450" t="inlineStr">
        <is>
          <t>A 59706-2021</t>
        </is>
      </c>
      <c r="B450" s="1" t="n">
        <v>44494</v>
      </c>
      <c r="C450" s="1" t="n">
        <v>45204</v>
      </c>
      <c r="D450" t="inlineStr">
        <is>
          <t>VÄSTERBOTTENS LÄN</t>
        </is>
      </c>
      <c r="E450" t="inlineStr">
        <is>
          <t>SKELLEFTEÅ</t>
        </is>
      </c>
      <c r="F450" t="inlineStr">
        <is>
          <t>Sveaskog</t>
        </is>
      </c>
      <c r="G450" t="n">
        <v>2.5</v>
      </c>
      <c r="H450" t="n">
        <v>0</v>
      </c>
      <c r="I450" t="n">
        <v>0</v>
      </c>
      <c r="J450" t="n">
        <v>2</v>
      </c>
      <c r="K450" t="n">
        <v>0</v>
      </c>
      <c r="L450" t="n">
        <v>0</v>
      </c>
      <c r="M450" t="n">
        <v>0</v>
      </c>
      <c r="N450" t="n">
        <v>0</v>
      </c>
      <c r="O450" t="n">
        <v>2</v>
      </c>
      <c r="P450" t="n">
        <v>0</v>
      </c>
      <c r="Q450" t="n">
        <v>2</v>
      </c>
      <c r="R450" s="2" t="inlineStr">
        <is>
          <t>Garnlav
Violettgrå tagellav</t>
        </is>
      </c>
      <c r="S450">
        <f>HYPERLINK("https://klasma.github.io/Logging_SKELLEFTEA/artfynd/A 59706-2021.xlsx", "A 59706-2021")</f>
        <v/>
      </c>
      <c r="T450">
        <f>HYPERLINK("https://klasma.github.io/Logging_SKELLEFTEA/kartor/A 59706-2021.png", "A 59706-2021")</f>
        <v/>
      </c>
      <c r="V450">
        <f>HYPERLINK("https://klasma.github.io/Logging_SKELLEFTEA/klagomål/A 59706-2021.docx", "A 59706-2021")</f>
        <v/>
      </c>
      <c r="W450">
        <f>HYPERLINK("https://klasma.github.io/Logging_SKELLEFTEA/klagomålsmail/A 59706-2021.docx", "A 59706-2021")</f>
        <v/>
      </c>
      <c r="X450">
        <f>HYPERLINK("https://klasma.github.io/Logging_SKELLEFTEA/tillsyn/A 59706-2021.docx", "A 59706-2021")</f>
        <v/>
      </c>
      <c r="Y450">
        <f>HYPERLINK("https://klasma.github.io/Logging_SKELLEFTEA/tillsynsmail/A 59706-2021.docx", "A 59706-2021")</f>
        <v/>
      </c>
    </row>
    <row r="451" ht="15" customHeight="1">
      <c r="A451" t="inlineStr">
        <is>
          <t>A 61497-2021</t>
        </is>
      </c>
      <c r="B451" s="1" t="n">
        <v>44501</v>
      </c>
      <c r="C451" s="1" t="n">
        <v>45204</v>
      </c>
      <c r="D451" t="inlineStr">
        <is>
          <t>VÄSTERBOTTENS LÄN</t>
        </is>
      </c>
      <c r="E451" t="inlineStr">
        <is>
          <t>LYCKSELE</t>
        </is>
      </c>
      <c r="F451" t="inlineStr">
        <is>
          <t>Sveaskog</t>
        </is>
      </c>
      <c r="G451" t="n">
        <v>8</v>
      </c>
      <c r="H451" t="n">
        <v>0</v>
      </c>
      <c r="I451" t="n">
        <v>0</v>
      </c>
      <c r="J451" t="n">
        <v>2</v>
      </c>
      <c r="K451" t="n">
        <v>0</v>
      </c>
      <c r="L451" t="n">
        <v>0</v>
      </c>
      <c r="M451" t="n">
        <v>0</v>
      </c>
      <c r="N451" t="n">
        <v>0</v>
      </c>
      <c r="O451" t="n">
        <v>2</v>
      </c>
      <c r="P451" t="n">
        <v>0</v>
      </c>
      <c r="Q451" t="n">
        <v>2</v>
      </c>
      <c r="R451" s="2" t="inlineStr">
        <is>
          <t>Dvärgbägarlav
Vaddporing</t>
        </is>
      </c>
      <c r="S451">
        <f>HYPERLINK("https://klasma.github.io/Logging_LYCKSELE/artfynd/A 61497-2021.xlsx", "A 61497-2021")</f>
        <v/>
      </c>
      <c r="T451">
        <f>HYPERLINK("https://klasma.github.io/Logging_LYCKSELE/kartor/A 61497-2021.png", "A 61497-2021")</f>
        <v/>
      </c>
      <c r="V451">
        <f>HYPERLINK("https://klasma.github.io/Logging_LYCKSELE/klagomål/A 61497-2021.docx", "A 61497-2021")</f>
        <v/>
      </c>
      <c r="W451">
        <f>HYPERLINK("https://klasma.github.io/Logging_LYCKSELE/klagomålsmail/A 61497-2021.docx", "A 61497-2021")</f>
        <v/>
      </c>
      <c r="X451">
        <f>HYPERLINK("https://klasma.github.io/Logging_LYCKSELE/tillsyn/A 61497-2021.docx", "A 61497-2021")</f>
        <v/>
      </c>
      <c r="Y451">
        <f>HYPERLINK("https://klasma.github.io/Logging_LYCKSELE/tillsynsmail/A 61497-2021.docx", "A 61497-2021")</f>
        <v/>
      </c>
    </row>
    <row r="452" ht="15" customHeight="1">
      <c r="A452" t="inlineStr">
        <is>
          <t>A 65586-2021</t>
        </is>
      </c>
      <c r="B452" s="1" t="n">
        <v>44518</v>
      </c>
      <c r="C452" s="1" t="n">
        <v>45204</v>
      </c>
      <c r="D452" t="inlineStr">
        <is>
          <t>VÄSTERBOTTENS LÄN</t>
        </is>
      </c>
      <c r="E452" t="inlineStr">
        <is>
          <t>VILHELMINA</t>
        </is>
      </c>
      <c r="G452" t="n">
        <v>38</v>
      </c>
      <c r="H452" t="n">
        <v>2</v>
      </c>
      <c r="I452" t="n">
        <v>0</v>
      </c>
      <c r="J452" t="n">
        <v>1</v>
      </c>
      <c r="K452" t="n">
        <v>1</v>
      </c>
      <c r="L452" t="n">
        <v>0</v>
      </c>
      <c r="M452" t="n">
        <v>0</v>
      </c>
      <c r="N452" t="n">
        <v>0</v>
      </c>
      <c r="O452" t="n">
        <v>2</v>
      </c>
      <c r="P452" t="n">
        <v>1</v>
      </c>
      <c r="Q452" t="n">
        <v>2</v>
      </c>
      <c r="R452" s="2" t="inlineStr">
        <is>
          <t>Lappuggla
Tretåig hackspett</t>
        </is>
      </c>
      <c r="S452">
        <f>HYPERLINK("https://klasma.github.io/Logging_VILHELMINA/artfynd/A 65586-2021.xlsx", "A 65586-2021")</f>
        <v/>
      </c>
      <c r="T452">
        <f>HYPERLINK("https://klasma.github.io/Logging_VILHELMINA/kartor/A 65586-2021.png", "A 65586-2021")</f>
        <v/>
      </c>
      <c r="V452">
        <f>HYPERLINK("https://klasma.github.io/Logging_VILHELMINA/klagomål/A 65586-2021.docx", "A 65586-2021")</f>
        <v/>
      </c>
      <c r="W452">
        <f>HYPERLINK("https://klasma.github.io/Logging_VILHELMINA/klagomålsmail/A 65586-2021.docx", "A 65586-2021")</f>
        <v/>
      </c>
      <c r="X452">
        <f>HYPERLINK("https://klasma.github.io/Logging_VILHELMINA/tillsyn/A 65586-2021.docx", "A 65586-2021")</f>
        <v/>
      </c>
      <c r="Y452">
        <f>HYPERLINK("https://klasma.github.io/Logging_VILHELMINA/tillsynsmail/A 65586-2021.docx", "A 65586-2021")</f>
        <v/>
      </c>
    </row>
    <row r="453" ht="15" customHeight="1">
      <c r="A453" t="inlineStr">
        <is>
          <t>A 67790-2021</t>
        </is>
      </c>
      <c r="B453" s="1" t="n">
        <v>44526</v>
      </c>
      <c r="C453" s="1" t="n">
        <v>45204</v>
      </c>
      <c r="D453" t="inlineStr">
        <is>
          <t>VÄSTERBOTTENS LÄN</t>
        </is>
      </c>
      <c r="E453" t="inlineStr">
        <is>
          <t>DOROTEA</t>
        </is>
      </c>
      <c r="F453" t="inlineStr">
        <is>
          <t>Övriga statliga verk och myndigheter</t>
        </is>
      </c>
      <c r="G453" t="n">
        <v>3.2</v>
      </c>
      <c r="H453" t="n">
        <v>2</v>
      </c>
      <c r="I453" t="n">
        <v>0</v>
      </c>
      <c r="J453" t="n">
        <v>1</v>
      </c>
      <c r="K453" t="n">
        <v>0</v>
      </c>
      <c r="L453" t="n">
        <v>0</v>
      </c>
      <c r="M453" t="n">
        <v>0</v>
      </c>
      <c r="N453" t="n">
        <v>0</v>
      </c>
      <c r="O453" t="n">
        <v>1</v>
      </c>
      <c r="P453" t="n">
        <v>0</v>
      </c>
      <c r="Q453" t="n">
        <v>2</v>
      </c>
      <c r="R453" s="2" t="inlineStr">
        <is>
          <t>Tretåig hackspett
Lopplummer</t>
        </is>
      </c>
      <c r="S453">
        <f>HYPERLINK("https://klasma.github.io/Logging_DOROTEA/artfynd/A 67790-2021.xlsx", "A 67790-2021")</f>
        <v/>
      </c>
      <c r="T453">
        <f>HYPERLINK("https://klasma.github.io/Logging_DOROTEA/kartor/A 67790-2021.png", "A 67790-2021")</f>
        <v/>
      </c>
      <c r="V453">
        <f>HYPERLINK("https://klasma.github.io/Logging_DOROTEA/klagomål/A 67790-2021.docx", "A 67790-2021")</f>
        <v/>
      </c>
      <c r="W453">
        <f>HYPERLINK("https://klasma.github.io/Logging_DOROTEA/klagomålsmail/A 67790-2021.docx", "A 67790-2021")</f>
        <v/>
      </c>
      <c r="X453">
        <f>HYPERLINK("https://klasma.github.io/Logging_DOROTEA/tillsyn/A 67790-2021.docx", "A 67790-2021")</f>
        <v/>
      </c>
      <c r="Y453">
        <f>HYPERLINK("https://klasma.github.io/Logging_DOROTEA/tillsynsmail/A 67790-2021.docx", "A 67790-2021")</f>
        <v/>
      </c>
    </row>
    <row r="454" ht="15" customHeight="1">
      <c r="A454" t="inlineStr">
        <is>
          <t>A 6526-2022</t>
        </is>
      </c>
      <c r="B454" s="1" t="n">
        <v>44601</v>
      </c>
      <c r="C454" s="1" t="n">
        <v>45204</v>
      </c>
      <c r="D454" t="inlineStr">
        <is>
          <t>VÄSTERBOTTENS LÄN</t>
        </is>
      </c>
      <c r="E454" t="inlineStr">
        <is>
          <t>LYCKSELE</t>
        </is>
      </c>
      <c r="F454" t="inlineStr">
        <is>
          <t>Sveaskog</t>
        </is>
      </c>
      <c r="G454" t="n">
        <v>6.7</v>
      </c>
      <c r="H454" t="n">
        <v>0</v>
      </c>
      <c r="I454" t="n">
        <v>1</v>
      </c>
      <c r="J454" t="n">
        <v>1</v>
      </c>
      <c r="K454" t="n">
        <v>0</v>
      </c>
      <c r="L454" t="n">
        <v>0</v>
      </c>
      <c r="M454" t="n">
        <v>0</v>
      </c>
      <c r="N454" t="n">
        <v>0</v>
      </c>
      <c r="O454" t="n">
        <v>1</v>
      </c>
      <c r="P454" t="n">
        <v>0</v>
      </c>
      <c r="Q454" t="n">
        <v>2</v>
      </c>
      <c r="R454" s="2" t="inlineStr">
        <is>
          <t>Skrovlig taggsvamp
Dropptaggsvamp</t>
        </is>
      </c>
      <c r="S454">
        <f>HYPERLINK("https://klasma.github.io/Logging_LYCKSELE/artfynd/A 6526-2022.xlsx", "A 6526-2022")</f>
        <v/>
      </c>
      <c r="T454">
        <f>HYPERLINK("https://klasma.github.io/Logging_LYCKSELE/kartor/A 6526-2022.png", "A 6526-2022")</f>
        <v/>
      </c>
      <c r="V454">
        <f>HYPERLINK("https://klasma.github.io/Logging_LYCKSELE/klagomål/A 6526-2022.docx", "A 6526-2022")</f>
        <v/>
      </c>
      <c r="W454">
        <f>HYPERLINK("https://klasma.github.io/Logging_LYCKSELE/klagomålsmail/A 6526-2022.docx", "A 6526-2022")</f>
        <v/>
      </c>
      <c r="X454">
        <f>HYPERLINK("https://klasma.github.io/Logging_LYCKSELE/tillsyn/A 6526-2022.docx", "A 6526-2022")</f>
        <v/>
      </c>
      <c r="Y454">
        <f>HYPERLINK("https://klasma.github.io/Logging_LYCKSELE/tillsynsmail/A 6526-2022.docx", "A 6526-2022")</f>
        <v/>
      </c>
    </row>
    <row r="455" ht="15" customHeight="1">
      <c r="A455" t="inlineStr">
        <is>
          <t>A 9771-2022</t>
        </is>
      </c>
      <c r="B455" s="1" t="n">
        <v>44619</v>
      </c>
      <c r="C455" s="1" t="n">
        <v>45204</v>
      </c>
      <c r="D455" t="inlineStr">
        <is>
          <t>VÄSTERBOTTENS LÄN</t>
        </is>
      </c>
      <c r="E455" t="inlineStr">
        <is>
          <t>UMEÅ</t>
        </is>
      </c>
      <c r="G455" t="n">
        <v>39.1</v>
      </c>
      <c r="H455" t="n">
        <v>0</v>
      </c>
      <c r="I455" t="n">
        <v>1</v>
      </c>
      <c r="J455" t="n">
        <v>1</v>
      </c>
      <c r="K455" t="n">
        <v>0</v>
      </c>
      <c r="L455" t="n">
        <v>0</v>
      </c>
      <c r="M455" t="n">
        <v>0</v>
      </c>
      <c r="N455" t="n">
        <v>0</v>
      </c>
      <c r="O455" t="n">
        <v>1</v>
      </c>
      <c r="P455" t="n">
        <v>0</v>
      </c>
      <c r="Q455" t="n">
        <v>2</v>
      </c>
      <c r="R455" s="2" t="inlineStr">
        <is>
          <t>Blå taggsvamp
Dropptaggsvamp</t>
        </is>
      </c>
      <c r="S455">
        <f>HYPERLINK("https://klasma.github.io/Logging_UMEA/artfynd/A 9771-2022.xlsx", "A 9771-2022")</f>
        <v/>
      </c>
      <c r="T455">
        <f>HYPERLINK("https://klasma.github.io/Logging_UMEA/kartor/A 9771-2022.png", "A 9771-2022")</f>
        <v/>
      </c>
      <c r="V455">
        <f>HYPERLINK("https://klasma.github.io/Logging_UMEA/klagomål/A 9771-2022.docx", "A 9771-2022")</f>
        <v/>
      </c>
      <c r="W455">
        <f>HYPERLINK("https://klasma.github.io/Logging_UMEA/klagomålsmail/A 9771-2022.docx", "A 9771-2022")</f>
        <v/>
      </c>
      <c r="X455">
        <f>HYPERLINK("https://klasma.github.io/Logging_UMEA/tillsyn/A 9771-2022.docx", "A 9771-2022")</f>
        <v/>
      </c>
      <c r="Y455">
        <f>HYPERLINK("https://klasma.github.io/Logging_UMEA/tillsynsmail/A 9771-2022.docx", "A 9771-2022")</f>
        <v/>
      </c>
    </row>
    <row r="456" ht="15" customHeight="1">
      <c r="A456" t="inlineStr">
        <is>
          <t>A 13604-2022</t>
        </is>
      </c>
      <c r="B456" s="1" t="n">
        <v>44648</v>
      </c>
      <c r="C456" s="1" t="n">
        <v>45204</v>
      </c>
      <c r="D456" t="inlineStr">
        <is>
          <t>VÄSTERBOTTENS LÄN</t>
        </is>
      </c>
      <c r="E456" t="inlineStr">
        <is>
          <t>VILHELMINA</t>
        </is>
      </c>
      <c r="G456" t="n">
        <v>17.4</v>
      </c>
      <c r="H456" t="n">
        <v>1</v>
      </c>
      <c r="I456" t="n">
        <v>1</v>
      </c>
      <c r="J456" t="n">
        <v>0</v>
      </c>
      <c r="K456" t="n">
        <v>0</v>
      </c>
      <c r="L456" t="n">
        <v>0</v>
      </c>
      <c r="M456" t="n">
        <v>0</v>
      </c>
      <c r="N456" t="n">
        <v>0</v>
      </c>
      <c r="O456" t="n">
        <v>0</v>
      </c>
      <c r="P456" t="n">
        <v>0</v>
      </c>
      <c r="Q456" t="n">
        <v>2</v>
      </c>
      <c r="R456" s="2" t="inlineStr">
        <is>
          <t>Maskfingersvamp
Fläcknycklar</t>
        </is>
      </c>
      <c r="S456">
        <f>HYPERLINK("https://klasma.github.io/Logging_VILHELMINA/artfynd/A 13604-2022.xlsx", "A 13604-2022")</f>
        <v/>
      </c>
      <c r="T456">
        <f>HYPERLINK("https://klasma.github.io/Logging_VILHELMINA/kartor/A 13604-2022.png", "A 13604-2022")</f>
        <v/>
      </c>
      <c r="V456">
        <f>HYPERLINK("https://klasma.github.io/Logging_VILHELMINA/klagomål/A 13604-2022.docx", "A 13604-2022")</f>
        <v/>
      </c>
      <c r="W456">
        <f>HYPERLINK("https://klasma.github.io/Logging_VILHELMINA/klagomålsmail/A 13604-2022.docx", "A 13604-2022")</f>
        <v/>
      </c>
      <c r="X456">
        <f>HYPERLINK("https://klasma.github.io/Logging_VILHELMINA/tillsyn/A 13604-2022.docx", "A 13604-2022")</f>
        <v/>
      </c>
      <c r="Y456">
        <f>HYPERLINK("https://klasma.github.io/Logging_VILHELMINA/tillsynsmail/A 13604-2022.docx", "A 13604-2022")</f>
        <v/>
      </c>
    </row>
    <row r="457" ht="15" customHeight="1">
      <c r="A457" t="inlineStr">
        <is>
          <t>A 14070-2022</t>
        </is>
      </c>
      <c r="B457" s="1" t="n">
        <v>44650</v>
      </c>
      <c r="C457" s="1" t="n">
        <v>45204</v>
      </c>
      <c r="D457" t="inlineStr">
        <is>
          <t>VÄSTERBOTTENS LÄN</t>
        </is>
      </c>
      <c r="E457" t="inlineStr">
        <is>
          <t>STORUMAN</t>
        </is>
      </c>
      <c r="F457" t="inlineStr">
        <is>
          <t>Övriga statliga verk och myndigheter</t>
        </is>
      </c>
      <c r="G457" t="n">
        <v>14.1</v>
      </c>
      <c r="H457" t="n">
        <v>1</v>
      </c>
      <c r="I457" t="n">
        <v>0</v>
      </c>
      <c r="J457" t="n">
        <v>2</v>
      </c>
      <c r="K457" t="n">
        <v>0</v>
      </c>
      <c r="L457" t="n">
        <v>0</v>
      </c>
      <c r="M457" t="n">
        <v>0</v>
      </c>
      <c r="N457" t="n">
        <v>0</v>
      </c>
      <c r="O457" t="n">
        <v>2</v>
      </c>
      <c r="P457" t="n">
        <v>0</v>
      </c>
      <c r="Q457" t="n">
        <v>2</v>
      </c>
      <c r="R457" s="2" t="inlineStr">
        <is>
          <t>Granticka
Järpe</t>
        </is>
      </c>
      <c r="S457">
        <f>HYPERLINK("https://klasma.github.io/Logging_STORUMAN/artfynd/A 14070-2022.xlsx", "A 14070-2022")</f>
        <v/>
      </c>
      <c r="T457">
        <f>HYPERLINK("https://klasma.github.io/Logging_STORUMAN/kartor/A 14070-2022.png", "A 14070-2022")</f>
        <v/>
      </c>
      <c r="V457">
        <f>HYPERLINK("https://klasma.github.io/Logging_STORUMAN/klagomål/A 14070-2022.docx", "A 14070-2022")</f>
        <v/>
      </c>
      <c r="W457">
        <f>HYPERLINK("https://klasma.github.io/Logging_STORUMAN/klagomålsmail/A 14070-2022.docx", "A 14070-2022")</f>
        <v/>
      </c>
      <c r="X457">
        <f>HYPERLINK("https://klasma.github.io/Logging_STORUMAN/tillsyn/A 14070-2022.docx", "A 14070-2022")</f>
        <v/>
      </c>
      <c r="Y457">
        <f>HYPERLINK("https://klasma.github.io/Logging_STORUMAN/tillsynsmail/A 14070-2022.docx", "A 14070-2022")</f>
        <v/>
      </c>
    </row>
    <row r="458" ht="15" customHeight="1">
      <c r="A458" t="inlineStr">
        <is>
          <t>A 21668-2022</t>
        </is>
      </c>
      <c r="B458" s="1" t="n">
        <v>44706</v>
      </c>
      <c r="C458" s="1" t="n">
        <v>45204</v>
      </c>
      <c r="D458" t="inlineStr">
        <is>
          <t>VÄSTERBOTTENS LÄN</t>
        </is>
      </c>
      <c r="E458" t="inlineStr">
        <is>
          <t>LYCKSELE</t>
        </is>
      </c>
      <c r="F458" t="inlineStr">
        <is>
          <t>SCA</t>
        </is>
      </c>
      <c r="G458" t="n">
        <v>1</v>
      </c>
      <c r="H458" t="n">
        <v>0</v>
      </c>
      <c r="I458" t="n">
        <v>0</v>
      </c>
      <c r="J458" t="n">
        <v>2</v>
      </c>
      <c r="K458" t="n">
        <v>0</v>
      </c>
      <c r="L458" t="n">
        <v>0</v>
      </c>
      <c r="M458" t="n">
        <v>0</v>
      </c>
      <c r="N458" t="n">
        <v>0</v>
      </c>
      <c r="O458" t="n">
        <v>2</v>
      </c>
      <c r="P458" t="n">
        <v>0</v>
      </c>
      <c r="Q458" t="n">
        <v>2</v>
      </c>
      <c r="R458" s="2" t="inlineStr">
        <is>
          <t>Gammelgransskål
Granticka</t>
        </is>
      </c>
      <c r="S458">
        <f>HYPERLINK("https://klasma.github.io/Logging_LYCKSELE/artfynd/A 21668-2022.xlsx", "A 21668-2022")</f>
        <v/>
      </c>
      <c r="T458">
        <f>HYPERLINK("https://klasma.github.io/Logging_LYCKSELE/kartor/A 21668-2022.png", "A 21668-2022")</f>
        <v/>
      </c>
      <c r="V458">
        <f>HYPERLINK("https://klasma.github.io/Logging_LYCKSELE/klagomål/A 21668-2022.docx", "A 21668-2022")</f>
        <v/>
      </c>
      <c r="W458">
        <f>HYPERLINK("https://klasma.github.io/Logging_LYCKSELE/klagomålsmail/A 21668-2022.docx", "A 21668-2022")</f>
        <v/>
      </c>
      <c r="X458">
        <f>HYPERLINK("https://klasma.github.io/Logging_LYCKSELE/tillsyn/A 21668-2022.docx", "A 21668-2022")</f>
        <v/>
      </c>
      <c r="Y458">
        <f>HYPERLINK("https://klasma.github.io/Logging_LYCKSELE/tillsynsmail/A 21668-2022.docx", "A 21668-2022")</f>
        <v/>
      </c>
    </row>
    <row r="459" ht="15" customHeight="1">
      <c r="A459" t="inlineStr">
        <is>
          <t>A 25524-2022</t>
        </is>
      </c>
      <c r="B459" s="1" t="n">
        <v>44732</v>
      </c>
      <c r="C459" s="1" t="n">
        <v>45204</v>
      </c>
      <c r="D459" t="inlineStr">
        <is>
          <t>VÄSTERBOTTENS LÄN</t>
        </is>
      </c>
      <c r="E459" t="inlineStr">
        <is>
          <t>STORUMAN</t>
        </is>
      </c>
      <c r="F459" t="inlineStr">
        <is>
          <t>Sveaskog</t>
        </is>
      </c>
      <c r="G459" t="n">
        <v>3.8</v>
      </c>
      <c r="H459" t="n">
        <v>0</v>
      </c>
      <c r="I459" t="n">
        <v>0</v>
      </c>
      <c r="J459" t="n">
        <v>1</v>
      </c>
      <c r="K459" t="n">
        <v>1</v>
      </c>
      <c r="L459" t="n">
        <v>0</v>
      </c>
      <c r="M459" t="n">
        <v>0</v>
      </c>
      <c r="N459" t="n">
        <v>0</v>
      </c>
      <c r="O459" t="n">
        <v>2</v>
      </c>
      <c r="P459" t="n">
        <v>1</v>
      </c>
      <c r="Q459" t="n">
        <v>2</v>
      </c>
      <c r="R459" s="2" t="inlineStr">
        <is>
          <t>Grantickeporing
Granticka</t>
        </is>
      </c>
      <c r="S459">
        <f>HYPERLINK("https://klasma.github.io/Logging_STORUMAN/artfynd/A 25524-2022.xlsx", "A 25524-2022")</f>
        <v/>
      </c>
      <c r="T459">
        <f>HYPERLINK("https://klasma.github.io/Logging_STORUMAN/kartor/A 25524-2022.png", "A 25524-2022")</f>
        <v/>
      </c>
      <c r="V459">
        <f>HYPERLINK("https://klasma.github.io/Logging_STORUMAN/klagomål/A 25524-2022.docx", "A 25524-2022")</f>
        <v/>
      </c>
      <c r="W459">
        <f>HYPERLINK("https://klasma.github.io/Logging_STORUMAN/klagomålsmail/A 25524-2022.docx", "A 25524-2022")</f>
        <v/>
      </c>
      <c r="X459">
        <f>HYPERLINK("https://klasma.github.io/Logging_STORUMAN/tillsyn/A 25524-2022.docx", "A 25524-2022")</f>
        <v/>
      </c>
      <c r="Y459">
        <f>HYPERLINK("https://klasma.github.io/Logging_STORUMAN/tillsynsmail/A 25524-2022.docx", "A 25524-2022")</f>
        <v/>
      </c>
    </row>
    <row r="460" ht="15" customHeight="1">
      <c r="A460" t="inlineStr">
        <is>
          <t>A 32253-2022</t>
        </is>
      </c>
      <c r="B460" s="1" t="n">
        <v>44781</v>
      </c>
      <c r="C460" s="1" t="n">
        <v>45204</v>
      </c>
      <c r="D460" t="inlineStr">
        <is>
          <t>VÄSTERBOTTENS LÄN</t>
        </is>
      </c>
      <c r="E460" t="inlineStr">
        <is>
          <t>VILHELMINA</t>
        </is>
      </c>
      <c r="G460" t="n">
        <v>10.8</v>
      </c>
      <c r="H460" t="n">
        <v>0</v>
      </c>
      <c r="I460" t="n">
        <v>0</v>
      </c>
      <c r="J460" t="n">
        <v>1</v>
      </c>
      <c r="K460" t="n">
        <v>1</v>
      </c>
      <c r="L460" t="n">
        <v>0</v>
      </c>
      <c r="M460" t="n">
        <v>0</v>
      </c>
      <c r="N460" t="n">
        <v>0</v>
      </c>
      <c r="O460" t="n">
        <v>2</v>
      </c>
      <c r="P460" t="n">
        <v>1</v>
      </c>
      <c r="Q460" t="n">
        <v>2</v>
      </c>
      <c r="R460" s="2" t="inlineStr">
        <is>
          <t>Ostticka
Garnlav</t>
        </is>
      </c>
      <c r="S460">
        <f>HYPERLINK("https://klasma.github.io/Logging_VILHELMINA/artfynd/A 32253-2022.xlsx", "A 32253-2022")</f>
        <v/>
      </c>
      <c r="T460">
        <f>HYPERLINK("https://klasma.github.io/Logging_VILHELMINA/kartor/A 32253-2022.png", "A 32253-2022")</f>
        <v/>
      </c>
      <c r="V460">
        <f>HYPERLINK("https://klasma.github.io/Logging_VILHELMINA/klagomål/A 32253-2022.docx", "A 32253-2022")</f>
        <v/>
      </c>
      <c r="W460">
        <f>HYPERLINK("https://klasma.github.io/Logging_VILHELMINA/klagomålsmail/A 32253-2022.docx", "A 32253-2022")</f>
        <v/>
      </c>
      <c r="X460">
        <f>HYPERLINK("https://klasma.github.io/Logging_VILHELMINA/tillsyn/A 32253-2022.docx", "A 32253-2022")</f>
        <v/>
      </c>
      <c r="Y460">
        <f>HYPERLINK("https://klasma.github.io/Logging_VILHELMINA/tillsynsmail/A 32253-2022.docx", "A 32253-2022")</f>
        <v/>
      </c>
    </row>
    <row r="461" ht="15" customHeight="1">
      <c r="A461" t="inlineStr">
        <is>
          <t>A 32513-2022</t>
        </is>
      </c>
      <c r="B461" s="1" t="n">
        <v>44782</v>
      </c>
      <c r="C461" s="1" t="n">
        <v>45204</v>
      </c>
      <c r="D461" t="inlineStr">
        <is>
          <t>VÄSTERBOTTENS LÄN</t>
        </is>
      </c>
      <c r="E461" t="inlineStr">
        <is>
          <t>LYCKSELE</t>
        </is>
      </c>
      <c r="F461" t="inlineStr">
        <is>
          <t>Sveaskog</t>
        </is>
      </c>
      <c r="G461" t="n">
        <v>18.1</v>
      </c>
      <c r="H461" t="n">
        <v>0</v>
      </c>
      <c r="I461" t="n">
        <v>0</v>
      </c>
      <c r="J461" t="n">
        <v>2</v>
      </c>
      <c r="K461" t="n">
        <v>0</v>
      </c>
      <c r="L461" t="n">
        <v>0</v>
      </c>
      <c r="M461" t="n">
        <v>0</v>
      </c>
      <c r="N461" t="n">
        <v>0</v>
      </c>
      <c r="O461" t="n">
        <v>2</v>
      </c>
      <c r="P461" t="n">
        <v>0</v>
      </c>
      <c r="Q461" t="n">
        <v>2</v>
      </c>
      <c r="R461" s="2" t="inlineStr">
        <is>
          <t>Lunglav
Skrovellav</t>
        </is>
      </c>
      <c r="S461">
        <f>HYPERLINK("https://klasma.github.io/Logging_LYCKSELE/artfynd/A 32513-2022.xlsx", "A 32513-2022")</f>
        <v/>
      </c>
      <c r="T461">
        <f>HYPERLINK("https://klasma.github.io/Logging_LYCKSELE/kartor/A 32513-2022.png", "A 32513-2022")</f>
        <v/>
      </c>
      <c r="V461">
        <f>HYPERLINK("https://klasma.github.io/Logging_LYCKSELE/klagomål/A 32513-2022.docx", "A 32513-2022")</f>
        <v/>
      </c>
      <c r="W461">
        <f>HYPERLINK("https://klasma.github.io/Logging_LYCKSELE/klagomålsmail/A 32513-2022.docx", "A 32513-2022")</f>
        <v/>
      </c>
      <c r="X461">
        <f>HYPERLINK("https://klasma.github.io/Logging_LYCKSELE/tillsyn/A 32513-2022.docx", "A 32513-2022")</f>
        <v/>
      </c>
      <c r="Y461">
        <f>HYPERLINK("https://klasma.github.io/Logging_LYCKSELE/tillsynsmail/A 32513-2022.docx", "A 32513-2022")</f>
        <v/>
      </c>
    </row>
    <row r="462" ht="15" customHeight="1">
      <c r="A462" t="inlineStr">
        <is>
          <t>A 37943-2022</t>
        </is>
      </c>
      <c r="B462" s="1" t="n">
        <v>44811</v>
      </c>
      <c r="C462" s="1" t="n">
        <v>45204</v>
      </c>
      <c r="D462" t="inlineStr">
        <is>
          <t>VÄSTERBOTTENS LÄN</t>
        </is>
      </c>
      <c r="E462" t="inlineStr">
        <is>
          <t>LYCKSELE</t>
        </is>
      </c>
      <c r="G462" t="n">
        <v>3.4</v>
      </c>
      <c r="H462" t="n">
        <v>0</v>
      </c>
      <c r="I462" t="n">
        <v>0</v>
      </c>
      <c r="J462" t="n">
        <v>2</v>
      </c>
      <c r="K462" t="n">
        <v>0</v>
      </c>
      <c r="L462" t="n">
        <v>0</v>
      </c>
      <c r="M462" t="n">
        <v>0</v>
      </c>
      <c r="N462" t="n">
        <v>0</v>
      </c>
      <c r="O462" t="n">
        <v>2</v>
      </c>
      <c r="P462" t="n">
        <v>0</v>
      </c>
      <c r="Q462" t="n">
        <v>2</v>
      </c>
      <c r="R462" s="2" t="inlineStr">
        <is>
          <t>Garnlav
Gränsticka</t>
        </is>
      </c>
      <c r="S462">
        <f>HYPERLINK("https://klasma.github.io/Logging_LYCKSELE/artfynd/A 37943-2022.xlsx", "A 37943-2022")</f>
        <v/>
      </c>
      <c r="T462">
        <f>HYPERLINK("https://klasma.github.io/Logging_LYCKSELE/kartor/A 37943-2022.png", "A 37943-2022")</f>
        <v/>
      </c>
      <c r="V462">
        <f>HYPERLINK("https://klasma.github.io/Logging_LYCKSELE/klagomål/A 37943-2022.docx", "A 37943-2022")</f>
        <v/>
      </c>
      <c r="W462">
        <f>HYPERLINK("https://klasma.github.io/Logging_LYCKSELE/klagomålsmail/A 37943-2022.docx", "A 37943-2022")</f>
        <v/>
      </c>
      <c r="X462">
        <f>HYPERLINK("https://klasma.github.io/Logging_LYCKSELE/tillsyn/A 37943-2022.docx", "A 37943-2022")</f>
        <v/>
      </c>
      <c r="Y462">
        <f>HYPERLINK("https://klasma.github.io/Logging_LYCKSELE/tillsynsmail/A 37943-2022.docx", "A 37943-2022")</f>
        <v/>
      </c>
    </row>
    <row r="463" ht="15" customHeight="1">
      <c r="A463" t="inlineStr">
        <is>
          <t>A 42694-2022</t>
        </is>
      </c>
      <c r="B463" s="1" t="n">
        <v>44831</v>
      </c>
      <c r="C463" s="1" t="n">
        <v>45204</v>
      </c>
      <c r="D463" t="inlineStr">
        <is>
          <t>VÄSTERBOTTENS LÄN</t>
        </is>
      </c>
      <c r="E463" t="inlineStr">
        <is>
          <t>SKELLEFTEÅ</t>
        </is>
      </c>
      <c r="G463" t="n">
        <v>5.6</v>
      </c>
      <c r="H463" t="n">
        <v>0</v>
      </c>
      <c r="I463" t="n">
        <v>1</v>
      </c>
      <c r="J463" t="n">
        <v>1</v>
      </c>
      <c r="K463" t="n">
        <v>0</v>
      </c>
      <c r="L463" t="n">
        <v>0</v>
      </c>
      <c r="M463" t="n">
        <v>0</v>
      </c>
      <c r="N463" t="n">
        <v>0</v>
      </c>
      <c r="O463" t="n">
        <v>1</v>
      </c>
      <c r="P463" t="n">
        <v>0</v>
      </c>
      <c r="Q463" t="n">
        <v>2</v>
      </c>
      <c r="R463" s="2" t="inlineStr">
        <is>
          <t>Granticka
Vedticka</t>
        </is>
      </c>
      <c r="S463">
        <f>HYPERLINK("https://klasma.github.io/Logging_SKELLEFTEA/artfynd/A 42694-2022.xlsx", "A 42694-2022")</f>
        <v/>
      </c>
      <c r="T463">
        <f>HYPERLINK("https://klasma.github.io/Logging_SKELLEFTEA/kartor/A 42694-2022.png", "A 42694-2022")</f>
        <v/>
      </c>
      <c r="V463">
        <f>HYPERLINK("https://klasma.github.io/Logging_SKELLEFTEA/klagomål/A 42694-2022.docx", "A 42694-2022")</f>
        <v/>
      </c>
      <c r="W463">
        <f>HYPERLINK("https://klasma.github.io/Logging_SKELLEFTEA/klagomålsmail/A 42694-2022.docx", "A 42694-2022")</f>
        <v/>
      </c>
      <c r="X463">
        <f>HYPERLINK("https://klasma.github.io/Logging_SKELLEFTEA/tillsyn/A 42694-2022.docx", "A 42694-2022")</f>
        <v/>
      </c>
      <c r="Y463">
        <f>HYPERLINK("https://klasma.github.io/Logging_SKELLEFTEA/tillsynsmail/A 42694-2022.docx", "A 42694-2022")</f>
        <v/>
      </c>
    </row>
    <row r="464" ht="15" customHeight="1">
      <c r="A464" t="inlineStr">
        <is>
          <t>A 44687-2022</t>
        </is>
      </c>
      <c r="B464" s="1" t="n">
        <v>44839</v>
      </c>
      <c r="C464" s="1" t="n">
        <v>45204</v>
      </c>
      <c r="D464" t="inlineStr">
        <is>
          <t>VÄSTERBOTTENS LÄN</t>
        </is>
      </c>
      <c r="E464" t="inlineStr">
        <is>
          <t>UMEÅ</t>
        </is>
      </c>
      <c r="G464" t="n">
        <v>2.3</v>
      </c>
      <c r="H464" t="n">
        <v>0</v>
      </c>
      <c r="I464" t="n">
        <v>0</v>
      </c>
      <c r="J464" t="n">
        <v>2</v>
      </c>
      <c r="K464" t="n">
        <v>0</v>
      </c>
      <c r="L464" t="n">
        <v>0</v>
      </c>
      <c r="M464" t="n">
        <v>0</v>
      </c>
      <c r="N464" t="n">
        <v>0</v>
      </c>
      <c r="O464" t="n">
        <v>2</v>
      </c>
      <c r="P464" t="n">
        <v>0</v>
      </c>
      <c r="Q464" t="n">
        <v>2</v>
      </c>
      <c r="R464" s="2" t="inlineStr">
        <is>
          <t>Granticka
Ullticka</t>
        </is>
      </c>
      <c r="S464">
        <f>HYPERLINK("https://klasma.github.io/Logging_UMEA/artfynd/A 44687-2022.xlsx", "A 44687-2022")</f>
        <v/>
      </c>
      <c r="T464">
        <f>HYPERLINK("https://klasma.github.io/Logging_UMEA/kartor/A 44687-2022.png", "A 44687-2022")</f>
        <v/>
      </c>
      <c r="V464">
        <f>HYPERLINK("https://klasma.github.io/Logging_UMEA/klagomål/A 44687-2022.docx", "A 44687-2022")</f>
        <v/>
      </c>
      <c r="W464">
        <f>HYPERLINK("https://klasma.github.io/Logging_UMEA/klagomålsmail/A 44687-2022.docx", "A 44687-2022")</f>
        <v/>
      </c>
      <c r="X464">
        <f>HYPERLINK("https://klasma.github.io/Logging_UMEA/tillsyn/A 44687-2022.docx", "A 44687-2022")</f>
        <v/>
      </c>
      <c r="Y464">
        <f>HYPERLINK("https://klasma.github.io/Logging_UMEA/tillsynsmail/A 44687-2022.docx", "A 44687-2022")</f>
        <v/>
      </c>
    </row>
    <row r="465" ht="15" customHeight="1">
      <c r="A465" t="inlineStr">
        <is>
          <t>A 45569-2022</t>
        </is>
      </c>
      <c r="B465" s="1" t="n">
        <v>44841</v>
      </c>
      <c r="C465" s="1" t="n">
        <v>45204</v>
      </c>
      <c r="D465" t="inlineStr">
        <is>
          <t>VÄSTERBOTTENS LÄN</t>
        </is>
      </c>
      <c r="E465" t="inlineStr">
        <is>
          <t>SORSELE</t>
        </is>
      </c>
      <c r="G465" t="n">
        <v>75.3</v>
      </c>
      <c r="H465" t="n">
        <v>0</v>
      </c>
      <c r="I465" t="n">
        <v>0</v>
      </c>
      <c r="J465" t="n">
        <v>2</v>
      </c>
      <c r="K465" t="n">
        <v>0</v>
      </c>
      <c r="L465" t="n">
        <v>0</v>
      </c>
      <c r="M465" t="n">
        <v>0</v>
      </c>
      <c r="N465" t="n">
        <v>0</v>
      </c>
      <c r="O465" t="n">
        <v>2</v>
      </c>
      <c r="P465" t="n">
        <v>0</v>
      </c>
      <c r="Q465" t="n">
        <v>2</v>
      </c>
      <c r="R465" s="2" t="inlineStr">
        <is>
          <t>Gränsticka
Harticka</t>
        </is>
      </c>
      <c r="S465">
        <f>HYPERLINK("https://klasma.github.io/Logging_SORSELE/artfynd/A 45569-2022.xlsx", "A 45569-2022")</f>
        <v/>
      </c>
      <c r="T465">
        <f>HYPERLINK("https://klasma.github.io/Logging_SORSELE/kartor/A 45569-2022.png", "A 45569-2022")</f>
        <v/>
      </c>
      <c r="V465">
        <f>HYPERLINK("https://klasma.github.io/Logging_SORSELE/klagomål/A 45569-2022.docx", "A 45569-2022")</f>
        <v/>
      </c>
      <c r="W465">
        <f>HYPERLINK("https://klasma.github.io/Logging_SORSELE/klagomålsmail/A 45569-2022.docx", "A 45569-2022")</f>
        <v/>
      </c>
      <c r="X465">
        <f>HYPERLINK("https://klasma.github.io/Logging_SORSELE/tillsyn/A 45569-2022.docx", "A 45569-2022")</f>
        <v/>
      </c>
      <c r="Y465">
        <f>HYPERLINK("https://klasma.github.io/Logging_SORSELE/tillsynsmail/A 45569-2022.docx", "A 45569-2022")</f>
        <v/>
      </c>
    </row>
    <row r="466" ht="15" customHeight="1">
      <c r="A466" t="inlineStr">
        <is>
          <t>A 47362-2022</t>
        </is>
      </c>
      <c r="B466" s="1" t="n">
        <v>44853</v>
      </c>
      <c r="C466" s="1" t="n">
        <v>45204</v>
      </c>
      <c r="D466" t="inlineStr">
        <is>
          <t>VÄSTERBOTTENS LÄN</t>
        </is>
      </c>
      <c r="E466" t="inlineStr">
        <is>
          <t>NORSJÖ</t>
        </is>
      </c>
      <c r="G466" t="n">
        <v>1.4</v>
      </c>
      <c r="H466" t="n">
        <v>0</v>
      </c>
      <c r="I466" t="n">
        <v>0</v>
      </c>
      <c r="J466" t="n">
        <v>2</v>
      </c>
      <c r="K466" t="n">
        <v>0</v>
      </c>
      <c r="L466" t="n">
        <v>0</v>
      </c>
      <c r="M466" t="n">
        <v>0</v>
      </c>
      <c r="N466" t="n">
        <v>0</v>
      </c>
      <c r="O466" t="n">
        <v>2</v>
      </c>
      <c r="P466" t="n">
        <v>0</v>
      </c>
      <c r="Q466" t="n">
        <v>2</v>
      </c>
      <c r="R466" s="2" t="inlineStr">
        <is>
          <t>Lunglav
Ullticka</t>
        </is>
      </c>
      <c r="S466">
        <f>HYPERLINK("https://klasma.github.io/Logging_NORSJO/artfynd/A 47362-2022.xlsx", "A 47362-2022")</f>
        <v/>
      </c>
      <c r="T466">
        <f>HYPERLINK("https://klasma.github.io/Logging_NORSJO/kartor/A 47362-2022.png", "A 47362-2022")</f>
        <v/>
      </c>
      <c r="V466">
        <f>HYPERLINK("https://klasma.github.io/Logging_NORSJO/klagomål/A 47362-2022.docx", "A 47362-2022")</f>
        <v/>
      </c>
      <c r="W466">
        <f>HYPERLINK("https://klasma.github.io/Logging_NORSJO/klagomålsmail/A 47362-2022.docx", "A 47362-2022")</f>
        <v/>
      </c>
      <c r="X466">
        <f>HYPERLINK("https://klasma.github.io/Logging_NORSJO/tillsyn/A 47362-2022.docx", "A 47362-2022")</f>
        <v/>
      </c>
      <c r="Y466">
        <f>HYPERLINK("https://klasma.github.io/Logging_NORSJO/tillsynsmail/A 47362-2022.docx", "A 47362-2022")</f>
        <v/>
      </c>
    </row>
    <row r="467" ht="15" customHeight="1">
      <c r="A467" t="inlineStr">
        <is>
          <t>A 49440-2022</t>
        </is>
      </c>
      <c r="B467" s="1" t="n">
        <v>44859</v>
      </c>
      <c r="C467" s="1" t="n">
        <v>45204</v>
      </c>
      <c r="D467" t="inlineStr">
        <is>
          <t>VÄSTERBOTTENS LÄN</t>
        </is>
      </c>
      <c r="E467" t="inlineStr">
        <is>
          <t>SKELLEFTEÅ</t>
        </is>
      </c>
      <c r="G467" t="n">
        <v>1.5</v>
      </c>
      <c r="H467" t="n">
        <v>0</v>
      </c>
      <c r="I467" t="n">
        <v>0</v>
      </c>
      <c r="J467" t="n">
        <v>2</v>
      </c>
      <c r="K467" t="n">
        <v>0</v>
      </c>
      <c r="L467" t="n">
        <v>0</v>
      </c>
      <c r="M467" t="n">
        <v>0</v>
      </c>
      <c r="N467" t="n">
        <v>0</v>
      </c>
      <c r="O467" t="n">
        <v>2</v>
      </c>
      <c r="P467" t="n">
        <v>0</v>
      </c>
      <c r="Q467" t="n">
        <v>2</v>
      </c>
      <c r="R467" s="2" t="inlineStr">
        <is>
          <t>Gränsticka
Ullticka</t>
        </is>
      </c>
      <c r="S467">
        <f>HYPERLINK("https://klasma.github.io/Logging_SKELLEFTEA/artfynd/A 49440-2022.xlsx", "A 49440-2022")</f>
        <v/>
      </c>
      <c r="T467">
        <f>HYPERLINK("https://klasma.github.io/Logging_SKELLEFTEA/kartor/A 49440-2022.png", "A 49440-2022")</f>
        <v/>
      </c>
      <c r="V467">
        <f>HYPERLINK("https://klasma.github.io/Logging_SKELLEFTEA/klagomål/A 49440-2022.docx", "A 49440-2022")</f>
        <v/>
      </c>
      <c r="W467">
        <f>HYPERLINK("https://klasma.github.io/Logging_SKELLEFTEA/klagomålsmail/A 49440-2022.docx", "A 49440-2022")</f>
        <v/>
      </c>
      <c r="X467">
        <f>HYPERLINK("https://klasma.github.io/Logging_SKELLEFTEA/tillsyn/A 49440-2022.docx", "A 49440-2022")</f>
        <v/>
      </c>
      <c r="Y467">
        <f>HYPERLINK("https://klasma.github.io/Logging_SKELLEFTEA/tillsynsmail/A 49440-2022.docx", "A 49440-2022")</f>
        <v/>
      </c>
    </row>
    <row r="468" ht="15" customHeight="1">
      <c r="A468" t="inlineStr">
        <is>
          <t>A 52665-2022</t>
        </is>
      </c>
      <c r="B468" s="1" t="n">
        <v>44874</v>
      </c>
      <c r="C468" s="1" t="n">
        <v>45204</v>
      </c>
      <c r="D468" t="inlineStr">
        <is>
          <t>VÄSTERBOTTENS LÄN</t>
        </is>
      </c>
      <c r="E468" t="inlineStr">
        <is>
          <t>ÅSELE</t>
        </is>
      </c>
      <c r="F468" t="inlineStr">
        <is>
          <t>Sveaskog</t>
        </is>
      </c>
      <c r="G468" t="n">
        <v>18.4</v>
      </c>
      <c r="H468" t="n">
        <v>0</v>
      </c>
      <c r="I468" t="n">
        <v>0</v>
      </c>
      <c r="J468" t="n">
        <v>2</v>
      </c>
      <c r="K468" t="n">
        <v>0</v>
      </c>
      <c r="L468" t="n">
        <v>0</v>
      </c>
      <c r="M468" t="n">
        <v>0</v>
      </c>
      <c r="N468" t="n">
        <v>0</v>
      </c>
      <c r="O468" t="n">
        <v>2</v>
      </c>
      <c r="P468" t="n">
        <v>0</v>
      </c>
      <c r="Q468" t="n">
        <v>2</v>
      </c>
      <c r="R468" s="2" t="inlineStr">
        <is>
          <t>Garnlav
Ullticka</t>
        </is>
      </c>
      <c r="S468">
        <f>HYPERLINK("https://klasma.github.io/Logging_ASELE/artfynd/A 52665-2022.xlsx", "A 52665-2022")</f>
        <v/>
      </c>
      <c r="T468">
        <f>HYPERLINK("https://klasma.github.io/Logging_ASELE/kartor/A 52665-2022.png", "A 52665-2022")</f>
        <v/>
      </c>
      <c r="V468">
        <f>HYPERLINK("https://klasma.github.io/Logging_ASELE/klagomål/A 52665-2022.docx", "A 52665-2022")</f>
        <v/>
      </c>
      <c r="W468">
        <f>HYPERLINK("https://klasma.github.io/Logging_ASELE/klagomålsmail/A 52665-2022.docx", "A 52665-2022")</f>
        <v/>
      </c>
      <c r="X468">
        <f>HYPERLINK("https://klasma.github.io/Logging_ASELE/tillsyn/A 52665-2022.docx", "A 52665-2022")</f>
        <v/>
      </c>
      <c r="Y468">
        <f>HYPERLINK("https://klasma.github.io/Logging_ASELE/tillsynsmail/A 52665-2022.docx", "A 52665-2022")</f>
        <v/>
      </c>
    </row>
    <row r="469" ht="15" customHeight="1">
      <c r="A469" t="inlineStr">
        <is>
          <t>A 52635-2022</t>
        </is>
      </c>
      <c r="B469" s="1" t="n">
        <v>44874</v>
      </c>
      <c r="C469" s="1" t="n">
        <v>45204</v>
      </c>
      <c r="D469" t="inlineStr">
        <is>
          <t>VÄSTERBOTTENS LÄN</t>
        </is>
      </c>
      <c r="E469" t="inlineStr">
        <is>
          <t>UMEÅ</t>
        </is>
      </c>
      <c r="G469" t="n">
        <v>3.1</v>
      </c>
      <c r="H469" t="n">
        <v>0</v>
      </c>
      <c r="I469" t="n">
        <v>1</v>
      </c>
      <c r="J469" t="n">
        <v>1</v>
      </c>
      <c r="K469" t="n">
        <v>0</v>
      </c>
      <c r="L469" t="n">
        <v>0</v>
      </c>
      <c r="M469" t="n">
        <v>0</v>
      </c>
      <c r="N469" t="n">
        <v>0</v>
      </c>
      <c r="O469" t="n">
        <v>1</v>
      </c>
      <c r="P469" t="n">
        <v>0</v>
      </c>
      <c r="Q469" t="n">
        <v>2</v>
      </c>
      <c r="R469" s="2" t="inlineStr">
        <is>
          <t>Garnlav
Vågbandad barkbock</t>
        </is>
      </c>
      <c r="S469">
        <f>HYPERLINK("https://klasma.github.io/Logging_UMEA/artfynd/A 52635-2022.xlsx", "A 52635-2022")</f>
        <v/>
      </c>
      <c r="T469">
        <f>HYPERLINK("https://klasma.github.io/Logging_UMEA/kartor/A 52635-2022.png", "A 52635-2022")</f>
        <v/>
      </c>
      <c r="V469">
        <f>HYPERLINK("https://klasma.github.io/Logging_UMEA/klagomål/A 52635-2022.docx", "A 52635-2022")</f>
        <v/>
      </c>
      <c r="W469">
        <f>HYPERLINK("https://klasma.github.io/Logging_UMEA/klagomålsmail/A 52635-2022.docx", "A 52635-2022")</f>
        <v/>
      </c>
      <c r="X469">
        <f>HYPERLINK("https://klasma.github.io/Logging_UMEA/tillsyn/A 52635-2022.docx", "A 52635-2022")</f>
        <v/>
      </c>
      <c r="Y469">
        <f>HYPERLINK("https://klasma.github.io/Logging_UMEA/tillsynsmail/A 52635-2022.docx", "A 52635-2022")</f>
        <v/>
      </c>
    </row>
    <row r="470" ht="15" customHeight="1">
      <c r="A470" t="inlineStr">
        <is>
          <t>A 54823-2022</t>
        </is>
      </c>
      <c r="B470" s="1" t="n">
        <v>44883</v>
      </c>
      <c r="C470" s="1" t="n">
        <v>45204</v>
      </c>
      <c r="D470" t="inlineStr">
        <is>
          <t>VÄSTERBOTTENS LÄN</t>
        </is>
      </c>
      <c r="E470" t="inlineStr">
        <is>
          <t>BJURHOLM</t>
        </is>
      </c>
      <c r="G470" t="n">
        <v>1.6</v>
      </c>
      <c r="H470" t="n">
        <v>0</v>
      </c>
      <c r="I470" t="n">
        <v>0</v>
      </c>
      <c r="J470" t="n">
        <v>2</v>
      </c>
      <c r="K470" t="n">
        <v>0</v>
      </c>
      <c r="L470" t="n">
        <v>0</v>
      </c>
      <c r="M470" t="n">
        <v>0</v>
      </c>
      <c r="N470" t="n">
        <v>0</v>
      </c>
      <c r="O470" t="n">
        <v>2</v>
      </c>
      <c r="P470" t="n">
        <v>0</v>
      </c>
      <c r="Q470" t="n">
        <v>2</v>
      </c>
      <c r="R470" s="2" t="inlineStr">
        <is>
          <t>Garnlav
Violettgrå tagellav</t>
        </is>
      </c>
      <c r="S470">
        <f>HYPERLINK("https://klasma.github.io/Logging_BJURHOLM/artfynd/A 54823-2022.xlsx", "A 54823-2022")</f>
        <v/>
      </c>
      <c r="T470">
        <f>HYPERLINK("https://klasma.github.io/Logging_BJURHOLM/kartor/A 54823-2022.png", "A 54823-2022")</f>
        <v/>
      </c>
      <c r="V470">
        <f>HYPERLINK("https://klasma.github.io/Logging_BJURHOLM/klagomål/A 54823-2022.docx", "A 54823-2022")</f>
        <v/>
      </c>
      <c r="W470">
        <f>HYPERLINK("https://klasma.github.io/Logging_BJURHOLM/klagomålsmail/A 54823-2022.docx", "A 54823-2022")</f>
        <v/>
      </c>
      <c r="X470">
        <f>HYPERLINK("https://klasma.github.io/Logging_BJURHOLM/tillsyn/A 54823-2022.docx", "A 54823-2022")</f>
        <v/>
      </c>
      <c r="Y470">
        <f>HYPERLINK("https://klasma.github.io/Logging_BJURHOLM/tillsynsmail/A 54823-2022.docx", "A 54823-2022")</f>
        <v/>
      </c>
    </row>
    <row r="471" ht="15" customHeight="1">
      <c r="A471" t="inlineStr">
        <is>
          <t>A 56157-2022</t>
        </is>
      </c>
      <c r="B471" s="1" t="n">
        <v>44889</v>
      </c>
      <c r="C471" s="1" t="n">
        <v>45204</v>
      </c>
      <c r="D471" t="inlineStr">
        <is>
          <t>VÄSTERBOTTENS LÄN</t>
        </is>
      </c>
      <c r="E471" t="inlineStr">
        <is>
          <t>SKELLEFTEÅ</t>
        </is>
      </c>
      <c r="G471" t="n">
        <v>3.9</v>
      </c>
      <c r="H471" t="n">
        <v>2</v>
      </c>
      <c r="I471" t="n">
        <v>0</v>
      </c>
      <c r="J471" t="n">
        <v>0</v>
      </c>
      <c r="K471" t="n">
        <v>0</v>
      </c>
      <c r="L471" t="n">
        <v>0</v>
      </c>
      <c r="M471" t="n">
        <v>0</v>
      </c>
      <c r="N471" t="n">
        <v>0</v>
      </c>
      <c r="O471" t="n">
        <v>0</v>
      </c>
      <c r="P471" t="n">
        <v>0</v>
      </c>
      <c r="Q471" t="n">
        <v>2</v>
      </c>
      <c r="R471" s="2" t="inlineStr">
        <is>
          <t>Fläcknycklar
Revlummer</t>
        </is>
      </c>
      <c r="S471">
        <f>HYPERLINK("https://klasma.github.io/Logging_SKELLEFTEA/artfynd/A 56157-2022.xlsx", "A 56157-2022")</f>
        <v/>
      </c>
      <c r="T471">
        <f>HYPERLINK("https://klasma.github.io/Logging_SKELLEFTEA/kartor/A 56157-2022.png", "A 56157-2022")</f>
        <v/>
      </c>
      <c r="V471">
        <f>HYPERLINK("https://klasma.github.io/Logging_SKELLEFTEA/klagomål/A 56157-2022.docx", "A 56157-2022")</f>
        <v/>
      </c>
      <c r="W471">
        <f>HYPERLINK("https://klasma.github.io/Logging_SKELLEFTEA/klagomålsmail/A 56157-2022.docx", "A 56157-2022")</f>
        <v/>
      </c>
      <c r="X471">
        <f>HYPERLINK("https://klasma.github.io/Logging_SKELLEFTEA/tillsyn/A 56157-2022.docx", "A 56157-2022")</f>
        <v/>
      </c>
      <c r="Y471">
        <f>HYPERLINK("https://klasma.github.io/Logging_SKELLEFTEA/tillsynsmail/A 56157-2022.docx", "A 56157-2022")</f>
        <v/>
      </c>
    </row>
    <row r="472" ht="15" customHeight="1">
      <c r="A472" t="inlineStr">
        <is>
          <t>A 57634-2022</t>
        </is>
      </c>
      <c r="B472" s="1" t="n">
        <v>44897</v>
      </c>
      <c r="C472" s="1" t="n">
        <v>45204</v>
      </c>
      <c r="D472" t="inlineStr">
        <is>
          <t>VÄSTERBOTTENS LÄN</t>
        </is>
      </c>
      <c r="E472" t="inlineStr">
        <is>
          <t>BJURHOLM</t>
        </is>
      </c>
      <c r="F472" t="inlineStr">
        <is>
          <t>Holmen skog AB</t>
        </is>
      </c>
      <c r="G472" t="n">
        <v>4.1</v>
      </c>
      <c r="H472" t="n">
        <v>0</v>
      </c>
      <c r="I472" t="n">
        <v>0</v>
      </c>
      <c r="J472" t="n">
        <v>2</v>
      </c>
      <c r="K472" t="n">
        <v>0</v>
      </c>
      <c r="L472" t="n">
        <v>0</v>
      </c>
      <c r="M472" t="n">
        <v>0</v>
      </c>
      <c r="N472" t="n">
        <v>0</v>
      </c>
      <c r="O472" t="n">
        <v>2</v>
      </c>
      <c r="P472" t="n">
        <v>0</v>
      </c>
      <c r="Q472" t="n">
        <v>2</v>
      </c>
      <c r="R472" s="2" t="inlineStr">
        <is>
          <t>Granticka
Lunglav</t>
        </is>
      </c>
      <c r="S472">
        <f>HYPERLINK("https://klasma.github.io/Logging_BJURHOLM/artfynd/A 57634-2022.xlsx", "A 57634-2022")</f>
        <v/>
      </c>
      <c r="T472">
        <f>HYPERLINK("https://klasma.github.io/Logging_BJURHOLM/kartor/A 57634-2022.png", "A 57634-2022")</f>
        <v/>
      </c>
      <c r="V472">
        <f>HYPERLINK("https://klasma.github.io/Logging_BJURHOLM/klagomål/A 57634-2022.docx", "A 57634-2022")</f>
        <v/>
      </c>
      <c r="W472">
        <f>HYPERLINK("https://klasma.github.io/Logging_BJURHOLM/klagomålsmail/A 57634-2022.docx", "A 57634-2022")</f>
        <v/>
      </c>
      <c r="X472">
        <f>HYPERLINK("https://klasma.github.io/Logging_BJURHOLM/tillsyn/A 57634-2022.docx", "A 57634-2022")</f>
        <v/>
      </c>
      <c r="Y472">
        <f>HYPERLINK("https://klasma.github.io/Logging_BJURHOLM/tillsynsmail/A 57634-2022.docx", "A 57634-2022")</f>
        <v/>
      </c>
    </row>
    <row r="473" ht="15" customHeight="1">
      <c r="A473" t="inlineStr">
        <is>
          <t>A 58736-2022</t>
        </is>
      </c>
      <c r="B473" s="1" t="n">
        <v>44902</v>
      </c>
      <c r="C473" s="1" t="n">
        <v>45204</v>
      </c>
      <c r="D473" t="inlineStr">
        <is>
          <t>VÄSTERBOTTENS LÄN</t>
        </is>
      </c>
      <c r="E473" t="inlineStr">
        <is>
          <t>DOROTEA</t>
        </is>
      </c>
      <c r="F473" t="inlineStr">
        <is>
          <t>SCA</t>
        </is>
      </c>
      <c r="G473" t="n">
        <v>3.4</v>
      </c>
      <c r="H473" t="n">
        <v>0</v>
      </c>
      <c r="I473" t="n">
        <v>0</v>
      </c>
      <c r="J473" t="n">
        <v>2</v>
      </c>
      <c r="K473" t="n">
        <v>0</v>
      </c>
      <c r="L473" t="n">
        <v>0</v>
      </c>
      <c r="M473" t="n">
        <v>0</v>
      </c>
      <c r="N473" t="n">
        <v>0</v>
      </c>
      <c r="O473" t="n">
        <v>2</v>
      </c>
      <c r="P473" t="n">
        <v>0</v>
      </c>
      <c r="Q473" t="n">
        <v>2</v>
      </c>
      <c r="R473" s="2" t="inlineStr">
        <is>
          <t>Lunglav
Skrovellav</t>
        </is>
      </c>
      <c r="S473">
        <f>HYPERLINK("https://klasma.github.io/Logging_DOROTEA/artfynd/A 58736-2022.xlsx", "A 58736-2022")</f>
        <v/>
      </c>
      <c r="T473">
        <f>HYPERLINK("https://klasma.github.io/Logging_DOROTEA/kartor/A 58736-2022.png", "A 58736-2022")</f>
        <v/>
      </c>
      <c r="V473">
        <f>HYPERLINK("https://klasma.github.io/Logging_DOROTEA/klagomål/A 58736-2022.docx", "A 58736-2022")</f>
        <v/>
      </c>
      <c r="W473">
        <f>HYPERLINK("https://klasma.github.io/Logging_DOROTEA/klagomålsmail/A 58736-2022.docx", "A 58736-2022")</f>
        <v/>
      </c>
      <c r="X473">
        <f>HYPERLINK("https://klasma.github.io/Logging_DOROTEA/tillsyn/A 58736-2022.docx", "A 58736-2022")</f>
        <v/>
      </c>
      <c r="Y473">
        <f>HYPERLINK("https://klasma.github.io/Logging_DOROTEA/tillsynsmail/A 58736-2022.docx", "A 58736-2022")</f>
        <v/>
      </c>
    </row>
    <row r="474" ht="15" customHeight="1">
      <c r="A474" t="inlineStr">
        <is>
          <t>A 58624-2022</t>
        </is>
      </c>
      <c r="B474" s="1" t="n">
        <v>44902</v>
      </c>
      <c r="C474" s="1" t="n">
        <v>45204</v>
      </c>
      <c r="D474" t="inlineStr">
        <is>
          <t>VÄSTERBOTTENS LÄN</t>
        </is>
      </c>
      <c r="E474" t="inlineStr">
        <is>
          <t>LYCKSELE</t>
        </is>
      </c>
      <c r="F474" t="inlineStr">
        <is>
          <t>Sveaskog</t>
        </is>
      </c>
      <c r="G474" t="n">
        <v>3.2</v>
      </c>
      <c r="H474" t="n">
        <v>0</v>
      </c>
      <c r="I474" t="n">
        <v>0</v>
      </c>
      <c r="J474" t="n">
        <v>2</v>
      </c>
      <c r="K474" t="n">
        <v>0</v>
      </c>
      <c r="L474" t="n">
        <v>0</v>
      </c>
      <c r="M474" t="n">
        <v>0</v>
      </c>
      <c r="N474" t="n">
        <v>0</v>
      </c>
      <c r="O474" t="n">
        <v>2</v>
      </c>
      <c r="P474" t="n">
        <v>0</v>
      </c>
      <c r="Q474" t="n">
        <v>2</v>
      </c>
      <c r="R474" s="2" t="inlineStr">
        <is>
          <t>Blanksvart spiklav
Vedflamlav</t>
        </is>
      </c>
      <c r="S474">
        <f>HYPERLINK("https://klasma.github.io/Logging_LYCKSELE/artfynd/A 58624-2022.xlsx", "A 58624-2022")</f>
        <v/>
      </c>
      <c r="T474">
        <f>HYPERLINK("https://klasma.github.io/Logging_LYCKSELE/kartor/A 58624-2022.png", "A 58624-2022")</f>
        <v/>
      </c>
      <c r="V474">
        <f>HYPERLINK("https://klasma.github.io/Logging_LYCKSELE/klagomål/A 58624-2022.docx", "A 58624-2022")</f>
        <v/>
      </c>
      <c r="W474">
        <f>HYPERLINK("https://klasma.github.io/Logging_LYCKSELE/klagomålsmail/A 58624-2022.docx", "A 58624-2022")</f>
        <v/>
      </c>
      <c r="X474">
        <f>HYPERLINK("https://klasma.github.io/Logging_LYCKSELE/tillsyn/A 58624-2022.docx", "A 58624-2022")</f>
        <v/>
      </c>
      <c r="Y474">
        <f>HYPERLINK("https://klasma.github.io/Logging_LYCKSELE/tillsynsmail/A 58624-2022.docx", "A 58624-2022")</f>
        <v/>
      </c>
    </row>
    <row r="475" ht="15" customHeight="1">
      <c r="A475" t="inlineStr">
        <is>
          <t>A 60313-2022</t>
        </is>
      </c>
      <c r="B475" s="1" t="n">
        <v>44910</v>
      </c>
      <c r="C475" s="1" t="n">
        <v>45204</v>
      </c>
      <c r="D475" t="inlineStr">
        <is>
          <t>VÄSTERBOTTENS LÄN</t>
        </is>
      </c>
      <c r="E475" t="inlineStr">
        <is>
          <t>VINDELN</t>
        </is>
      </c>
      <c r="F475" t="inlineStr">
        <is>
          <t>Sveaskog</t>
        </is>
      </c>
      <c r="G475" t="n">
        <v>5.2</v>
      </c>
      <c r="H475" t="n">
        <v>0</v>
      </c>
      <c r="I475" t="n">
        <v>1</v>
      </c>
      <c r="J475" t="n">
        <v>1</v>
      </c>
      <c r="K475" t="n">
        <v>0</v>
      </c>
      <c r="L475" t="n">
        <v>0</v>
      </c>
      <c r="M475" t="n">
        <v>0</v>
      </c>
      <c r="N475" t="n">
        <v>0</v>
      </c>
      <c r="O475" t="n">
        <v>1</v>
      </c>
      <c r="P475" t="n">
        <v>0</v>
      </c>
      <c r="Q475" t="n">
        <v>2</v>
      </c>
      <c r="R475" s="2" t="inlineStr">
        <is>
          <t>Kolflarnlav
Skarp dropptaggsvamp</t>
        </is>
      </c>
      <c r="S475">
        <f>HYPERLINK("https://klasma.github.io/Logging_VINDELN/artfynd/A 60313-2022.xlsx", "A 60313-2022")</f>
        <v/>
      </c>
      <c r="T475">
        <f>HYPERLINK("https://klasma.github.io/Logging_VINDELN/kartor/A 60313-2022.png", "A 60313-2022")</f>
        <v/>
      </c>
      <c r="V475">
        <f>HYPERLINK("https://klasma.github.io/Logging_VINDELN/klagomål/A 60313-2022.docx", "A 60313-2022")</f>
        <v/>
      </c>
      <c r="W475">
        <f>HYPERLINK("https://klasma.github.io/Logging_VINDELN/klagomålsmail/A 60313-2022.docx", "A 60313-2022")</f>
        <v/>
      </c>
      <c r="X475">
        <f>HYPERLINK("https://klasma.github.io/Logging_VINDELN/tillsyn/A 60313-2022.docx", "A 60313-2022")</f>
        <v/>
      </c>
      <c r="Y475">
        <f>HYPERLINK("https://klasma.github.io/Logging_VINDELN/tillsynsmail/A 60313-2022.docx", "A 60313-2022")</f>
        <v/>
      </c>
    </row>
    <row r="476" ht="15" customHeight="1">
      <c r="A476" t="inlineStr">
        <is>
          <t>A 60688-2022</t>
        </is>
      </c>
      <c r="B476" s="1" t="n">
        <v>44911</v>
      </c>
      <c r="C476" s="1" t="n">
        <v>45204</v>
      </c>
      <c r="D476" t="inlineStr">
        <is>
          <t>VÄSTERBOTTENS LÄN</t>
        </is>
      </c>
      <c r="E476" t="inlineStr">
        <is>
          <t>BJURHOLM</t>
        </is>
      </c>
      <c r="G476" t="n">
        <v>1.8</v>
      </c>
      <c r="H476" t="n">
        <v>0</v>
      </c>
      <c r="I476" t="n">
        <v>1</v>
      </c>
      <c r="J476" t="n">
        <v>1</v>
      </c>
      <c r="K476" t="n">
        <v>0</v>
      </c>
      <c r="L476" t="n">
        <v>0</v>
      </c>
      <c r="M476" t="n">
        <v>0</v>
      </c>
      <c r="N476" t="n">
        <v>0</v>
      </c>
      <c r="O476" t="n">
        <v>1</v>
      </c>
      <c r="P476" t="n">
        <v>0</v>
      </c>
      <c r="Q476" t="n">
        <v>2</v>
      </c>
      <c r="R476" s="2" t="inlineStr">
        <is>
          <t>Talltaggsvamp
Stuplav</t>
        </is>
      </c>
      <c r="S476">
        <f>HYPERLINK("https://klasma.github.io/Logging_BJURHOLM/artfynd/A 60688-2022.xlsx", "A 60688-2022")</f>
        <v/>
      </c>
      <c r="T476">
        <f>HYPERLINK("https://klasma.github.io/Logging_BJURHOLM/kartor/A 60688-2022.png", "A 60688-2022")</f>
        <v/>
      </c>
      <c r="V476">
        <f>HYPERLINK("https://klasma.github.io/Logging_BJURHOLM/klagomål/A 60688-2022.docx", "A 60688-2022")</f>
        <v/>
      </c>
      <c r="W476">
        <f>HYPERLINK("https://klasma.github.io/Logging_BJURHOLM/klagomålsmail/A 60688-2022.docx", "A 60688-2022")</f>
        <v/>
      </c>
      <c r="X476">
        <f>HYPERLINK("https://klasma.github.io/Logging_BJURHOLM/tillsyn/A 60688-2022.docx", "A 60688-2022")</f>
        <v/>
      </c>
      <c r="Y476">
        <f>HYPERLINK("https://klasma.github.io/Logging_BJURHOLM/tillsynsmail/A 60688-2022.docx", "A 60688-2022")</f>
        <v/>
      </c>
    </row>
    <row r="477" ht="15" customHeight="1">
      <c r="A477" t="inlineStr">
        <is>
          <t>A 469-2023</t>
        </is>
      </c>
      <c r="B477" s="1" t="n">
        <v>44929</v>
      </c>
      <c r="C477" s="1" t="n">
        <v>45204</v>
      </c>
      <c r="D477" t="inlineStr">
        <is>
          <t>VÄSTERBOTTENS LÄN</t>
        </is>
      </c>
      <c r="E477" t="inlineStr">
        <is>
          <t>ROBERTSFORS</t>
        </is>
      </c>
      <c r="G477" t="n">
        <v>13.8</v>
      </c>
      <c r="H477" t="n">
        <v>0</v>
      </c>
      <c r="I477" t="n">
        <v>0</v>
      </c>
      <c r="J477" t="n">
        <v>2</v>
      </c>
      <c r="K477" t="n">
        <v>0</v>
      </c>
      <c r="L477" t="n">
        <v>0</v>
      </c>
      <c r="M477" t="n">
        <v>0</v>
      </c>
      <c r="N477" t="n">
        <v>0</v>
      </c>
      <c r="O477" t="n">
        <v>2</v>
      </c>
      <c r="P477" t="n">
        <v>0</v>
      </c>
      <c r="Q477" t="n">
        <v>2</v>
      </c>
      <c r="R477" s="2" t="inlineStr">
        <is>
          <t>Gammelgransskål
Garnlav</t>
        </is>
      </c>
      <c r="S477">
        <f>HYPERLINK("https://klasma.github.io/Logging_ROBERTSFORS/artfynd/A 469-2023.xlsx", "A 469-2023")</f>
        <v/>
      </c>
      <c r="T477">
        <f>HYPERLINK("https://klasma.github.io/Logging_ROBERTSFORS/kartor/A 469-2023.png", "A 469-2023")</f>
        <v/>
      </c>
      <c r="V477">
        <f>HYPERLINK("https://klasma.github.io/Logging_ROBERTSFORS/klagomål/A 469-2023.docx", "A 469-2023")</f>
        <v/>
      </c>
      <c r="W477">
        <f>HYPERLINK("https://klasma.github.io/Logging_ROBERTSFORS/klagomålsmail/A 469-2023.docx", "A 469-2023")</f>
        <v/>
      </c>
      <c r="X477">
        <f>HYPERLINK("https://klasma.github.io/Logging_ROBERTSFORS/tillsyn/A 469-2023.docx", "A 469-2023")</f>
        <v/>
      </c>
      <c r="Y477">
        <f>HYPERLINK("https://klasma.github.io/Logging_ROBERTSFORS/tillsynsmail/A 469-2023.docx", "A 469-2023")</f>
        <v/>
      </c>
    </row>
    <row r="478" ht="15" customHeight="1">
      <c r="A478" t="inlineStr">
        <is>
          <t>A 787-2023</t>
        </is>
      </c>
      <c r="B478" s="1" t="n">
        <v>44931</v>
      </c>
      <c r="C478" s="1" t="n">
        <v>45204</v>
      </c>
      <c r="D478" t="inlineStr">
        <is>
          <t>VÄSTERBOTTENS LÄN</t>
        </is>
      </c>
      <c r="E478" t="inlineStr">
        <is>
          <t>SKELLEFTEÅ</t>
        </is>
      </c>
      <c r="G478" t="n">
        <v>13.9</v>
      </c>
      <c r="H478" t="n">
        <v>0</v>
      </c>
      <c r="I478" t="n">
        <v>1</v>
      </c>
      <c r="J478" t="n">
        <v>1</v>
      </c>
      <c r="K478" t="n">
        <v>0</v>
      </c>
      <c r="L478" t="n">
        <v>0</v>
      </c>
      <c r="M478" t="n">
        <v>0</v>
      </c>
      <c r="N478" t="n">
        <v>0</v>
      </c>
      <c r="O478" t="n">
        <v>1</v>
      </c>
      <c r="P478" t="n">
        <v>0</v>
      </c>
      <c r="Q478" t="n">
        <v>2</v>
      </c>
      <c r="R478" s="2" t="inlineStr">
        <is>
          <t>Storgröe
Ögonpyrola</t>
        </is>
      </c>
      <c r="S478">
        <f>HYPERLINK("https://klasma.github.io/Logging_SKELLEFTEA/artfynd/A 787-2023.xlsx", "A 787-2023")</f>
        <v/>
      </c>
      <c r="T478">
        <f>HYPERLINK("https://klasma.github.io/Logging_SKELLEFTEA/kartor/A 787-2023.png", "A 787-2023")</f>
        <v/>
      </c>
      <c r="V478">
        <f>HYPERLINK("https://klasma.github.io/Logging_SKELLEFTEA/klagomål/A 787-2023.docx", "A 787-2023")</f>
        <v/>
      </c>
      <c r="W478">
        <f>HYPERLINK("https://klasma.github.io/Logging_SKELLEFTEA/klagomålsmail/A 787-2023.docx", "A 787-2023")</f>
        <v/>
      </c>
      <c r="X478">
        <f>HYPERLINK("https://klasma.github.io/Logging_SKELLEFTEA/tillsyn/A 787-2023.docx", "A 787-2023")</f>
        <v/>
      </c>
      <c r="Y478">
        <f>HYPERLINK("https://klasma.github.io/Logging_SKELLEFTEA/tillsynsmail/A 787-2023.docx", "A 787-2023")</f>
        <v/>
      </c>
    </row>
    <row r="479" ht="15" customHeight="1">
      <c r="A479" t="inlineStr">
        <is>
          <t>A 3893-2023</t>
        </is>
      </c>
      <c r="B479" s="1" t="n">
        <v>44951</v>
      </c>
      <c r="C479" s="1" t="n">
        <v>45204</v>
      </c>
      <c r="D479" t="inlineStr">
        <is>
          <t>VÄSTERBOTTENS LÄN</t>
        </is>
      </c>
      <c r="E479" t="inlineStr">
        <is>
          <t>STORUMAN</t>
        </is>
      </c>
      <c r="F479" t="inlineStr">
        <is>
          <t>SCA</t>
        </is>
      </c>
      <c r="G479" t="n">
        <v>2.1</v>
      </c>
      <c r="H479" t="n">
        <v>0</v>
      </c>
      <c r="I479" t="n">
        <v>1</v>
      </c>
      <c r="J479" t="n">
        <v>1</v>
      </c>
      <c r="K479" t="n">
        <v>0</v>
      </c>
      <c r="L479" t="n">
        <v>0</v>
      </c>
      <c r="M479" t="n">
        <v>0</v>
      </c>
      <c r="N479" t="n">
        <v>0</v>
      </c>
      <c r="O479" t="n">
        <v>1</v>
      </c>
      <c r="P479" t="n">
        <v>0</v>
      </c>
      <c r="Q479" t="n">
        <v>2</v>
      </c>
      <c r="R479" s="2" t="inlineStr">
        <is>
          <t>Talltaggsvamp
Skarp dropptaggsvamp</t>
        </is>
      </c>
      <c r="S479">
        <f>HYPERLINK("https://klasma.github.io/Logging_STORUMAN/artfynd/A 3893-2023.xlsx", "A 3893-2023")</f>
        <v/>
      </c>
      <c r="T479">
        <f>HYPERLINK("https://klasma.github.io/Logging_STORUMAN/kartor/A 3893-2023.png", "A 3893-2023")</f>
        <v/>
      </c>
      <c r="V479">
        <f>HYPERLINK("https://klasma.github.io/Logging_STORUMAN/klagomål/A 3893-2023.docx", "A 3893-2023")</f>
        <v/>
      </c>
      <c r="W479">
        <f>HYPERLINK("https://klasma.github.io/Logging_STORUMAN/klagomålsmail/A 3893-2023.docx", "A 3893-2023")</f>
        <v/>
      </c>
      <c r="X479">
        <f>HYPERLINK("https://klasma.github.io/Logging_STORUMAN/tillsyn/A 3893-2023.docx", "A 3893-2023")</f>
        <v/>
      </c>
      <c r="Y479">
        <f>HYPERLINK("https://klasma.github.io/Logging_STORUMAN/tillsynsmail/A 3893-2023.docx", "A 3893-2023")</f>
        <v/>
      </c>
    </row>
    <row r="480" ht="15" customHeight="1">
      <c r="A480" t="inlineStr">
        <is>
          <t>A 6002-2023</t>
        </is>
      </c>
      <c r="B480" s="1" t="n">
        <v>44964</v>
      </c>
      <c r="C480" s="1" t="n">
        <v>45204</v>
      </c>
      <c r="D480" t="inlineStr">
        <is>
          <t>VÄSTERBOTTENS LÄN</t>
        </is>
      </c>
      <c r="E480" t="inlineStr">
        <is>
          <t>LYCKSELE</t>
        </is>
      </c>
      <c r="F480" t="inlineStr">
        <is>
          <t>Kyrkan</t>
        </is>
      </c>
      <c r="G480" t="n">
        <v>15.7</v>
      </c>
      <c r="H480" t="n">
        <v>0</v>
      </c>
      <c r="I480" t="n">
        <v>0</v>
      </c>
      <c r="J480" t="n">
        <v>2</v>
      </c>
      <c r="K480" t="n">
        <v>0</v>
      </c>
      <c r="L480" t="n">
        <v>0</v>
      </c>
      <c r="M480" t="n">
        <v>0</v>
      </c>
      <c r="N480" t="n">
        <v>0</v>
      </c>
      <c r="O480" t="n">
        <v>2</v>
      </c>
      <c r="P480" t="n">
        <v>0</v>
      </c>
      <c r="Q480" t="n">
        <v>2</v>
      </c>
      <c r="R480" s="2" t="inlineStr">
        <is>
          <t>Garnlav
Violettgrå tagellav</t>
        </is>
      </c>
      <c r="S480">
        <f>HYPERLINK("https://klasma.github.io/Logging_LYCKSELE/artfynd/A 6002-2023.xlsx", "A 6002-2023")</f>
        <v/>
      </c>
      <c r="T480">
        <f>HYPERLINK("https://klasma.github.io/Logging_LYCKSELE/kartor/A 6002-2023.png", "A 6002-2023")</f>
        <v/>
      </c>
      <c r="V480">
        <f>HYPERLINK("https://klasma.github.io/Logging_LYCKSELE/klagomål/A 6002-2023.docx", "A 6002-2023")</f>
        <v/>
      </c>
      <c r="W480">
        <f>HYPERLINK("https://klasma.github.io/Logging_LYCKSELE/klagomålsmail/A 6002-2023.docx", "A 6002-2023")</f>
        <v/>
      </c>
      <c r="X480">
        <f>HYPERLINK("https://klasma.github.io/Logging_LYCKSELE/tillsyn/A 6002-2023.docx", "A 6002-2023")</f>
        <v/>
      </c>
      <c r="Y480">
        <f>HYPERLINK("https://klasma.github.io/Logging_LYCKSELE/tillsynsmail/A 6002-2023.docx", "A 6002-2023")</f>
        <v/>
      </c>
    </row>
    <row r="481" ht="15" customHeight="1">
      <c r="A481" t="inlineStr">
        <is>
          <t>A 7670-2023</t>
        </is>
      </c>
      <c r="B481" s="1" t="n">
        <v>44972</v>
      </c>
      <c r="C481" s="1" t="n">
        <v>45204</v>
      </c>
      <c r="D481" t="inlineStr">
        <is>
          <t>VÄSTERBOTTENS LÄN</t>
        </is>
      </c>
      <c r="E481" t="inlineStr">
        <is>
          <t>LYCKSELE</t>
        </is>
      </c>
      <c r="F481" t="inlineStr">
        <is>
          <t>Sveaskog</t>
        </is>
      </c>
      <c r="G481" t="n">
        <v>0.8</v>
      </c>
      <c r="H481" t="n">
        <v>0</v>
      </c>
      <c r="I481" t="n">
        <v>1</v>
      </c>
      <c r="J481" t="n">
        <v>1</v>
      </c>
      <c r="K481" t="n">
        <v>0</v>
      </c>
      <c r="L481" t="n">
        <v>0</v>
      </c>
      <c r="M481" t="n">
        <v>0</v>
      </c>
      <c r="N481" t="n">
        <v>0</v>
      </c>
      <c r="O481" t="n">
        <v>1</v>
      </c>
      <c r="P481" t="n">
        <v>0</v>
      </c>
      <c r="Q481" t="n">
        <v>2</v>
      </c>
      <c r="R481" s="2" t="inlineStr">
        <is>
          <t>Lunglav
Dropptaggsvamp</t>
        </is>
      </c>
      <c r="S481">
        <f>HYPERLINK("https://klasma.github.io/Logging_LYCKSELE/artfynd/A 7670-2023.xlsx", "A 7670-2023")</f>
        <v/>
      </c>
      <c r="T481">
        <f>HYPERLINK("https://klasma.github.io/Logging_LYCKSELE/kartor/A 7670-2023.png", "A 7670-2023")</f>
        <v/>
      </c>
      <c r="V481">
        <f>HYPERLINK("https://klasma.github.io/Logging_LYCKSELE/klagomål/A 7670-2023.docx", "A 7670-2023")</f>
        <v/>
      </c>
      <c r="W481">
        <f>HYPERLINK("https://klasma.github.io/Logging_LYCKSELE/klagomålsmail/A 7670-2023.docx", "A 7670-2023")</f>
        <v/>
      </c>
      <c r="X481">
        <f>HYPERLINK("https://klasma.github.io/Logging_LYCKSELE/tillsyn/A 7670-2023.docx", "A 7670-2023")</f>
        <v/>
      </c>
      <c r="Y481">
        <f>HYPERLINK("https://klasma.github.io/Logging_LYCKSELE/tillsynsmail/A 7670-2023.docx", "A 7670-2023")</f>
        <v/>
      </c>
    </row>
    <row r="482" ht="15" customHeight="1">
      <c r="A482" t="inlineStr">
        <is>
          <t>A 10292-2023</t>
        </is>
      </c>
      <c r="B482" s="1" t="n">
        <v>44986</v>
      </c>
      <c r="C482" s="1" t="n">
        <v>45204</v>
      </c>
      <c r="D482" t="inlineStr">
        <is>
          <t>VÄSTERBOTTENS LÄN</t>
        </is>
      </c>
      <c r="E482" t="inlineStr">
        <is>
          <t>ÅSELE</t>
        </is>
      </c>
      <c r="F482" t="inlineStr">
        <is>
          <t>SCA</t>
        </is>
      </c>
      <c r="G482" t="n">
        <v>22.4</v>
      </c>
      <c r="H482" t="n">
        <v>0</v>
      </c>
      <c r="I482" t="n">
        <v>0</v>
      </c>
      <c r="J482" t="n">
        <v>2</v>
      </c>
      <c r="K482" t="n">
        <v>0</v>
      </c>
      <c r="L482" t="n">
        <v>0</v>
      </c>
      <c r="M482" t="n">
        <v>0</v>
      </c>
      <c r="N482" t="n">
        <v>0</v>
      </c>
      <c r="O482" t="n">
        <v>2</v>
      </c>
      <c r="P482" t="n">
        <v>0</v>
      </c>
      <c r="Q482" t="n">
        <v>2</v>
      </c>
      <c r="R482" s="2" t="inlineStr">
        <is>
          <t>Granticka
Lunglav</t>
        </is>
      </c>
      <c r="S482">
        <f>HYPERLINK("https://klasma.github.io/Logging_ASELE/artfynd/A 10292-2023.xlsx", "A 10292-2023")</f>
        <v/>
      </c>
      <c r="T482">
        <f>HYPERLINK("https://klasma.github.io/Logging_ASELE/kartor/A 10292-2023.png", "A 10292-2023")</f>
        <v/>
      </c>
      <c r="V482">
        <f>HYPERLINK("https://klasma.github.io/Logging_ASELE/klagomål/A 10292-2023.docx", "A 10292-2023")</f>
        <v/>
      </c>
      <c r="W482">
        <f>HYPERLINK("https://klasma.github.io/Logging_ASELE/klagomålsmail/A 10292-2023.docx", "A 10292-2023")</f>
        <v/>
      </c>
      <c r="X482">
        <f>HYPERLINK("https://klasma.github.io/Logging_ASELE/tillsyn/A 10292-2023.docx", "A 10292-2023")</f>
        <v/>
      </c>
      <c r="Y482">
        <f>HYPERLINK("https://klasma.github.io/Logging_ASELE/tillsynsmail/A 10292-2023.docx", "A 10292-2023")</f>
        <v/>
      </c>
    </row>
    <row r="483" ht="15" customHeight="1">
      <c r="A483" t="inlineStr">
        <is>
          <t>A 10546-2023</t>
        </is>
      </c>
      <c r="B483" s="1" t="n">
        <v>44987</v>
      </c>
      <c r="C483" s="1" t="n">
        <v>45204</v>
      </c>
      <c r="D483" t="inlineStr">
        <is>
          <t>VÄSTERBOTTENS LÄN</t>
        </is>
      </c>
      <c r="E483" t="inlineStr">
        <is>
          <t>ÅSELE</t>
        </is>
      </c>
      <c r="F483" t="inlineStr">
        <is>
          <t>SCA</t>
        </is>
      </c>
      <c r="G483" t="n">
        <v>11.5</v>
      </c>
      <c r="H483" t="n">
        <v>0</v>
      </c>
      <c r="I483" t="n">
        <v>0</v>
      </c>
      <c r="J483" t="n">
        <v>2</v>
      </c>
      <c r="K483" t="n">
        <v>0</v>
      </c>
      <c r="L483" t="n">
        <v>0</v>
      </c>
      <c r="M483" t="n">
        <v>0</v>
      </c>
      <c r="N483" t="n">
        <v>0</v>
      </c>
      <c r="O483" t="n">
        <v>2</v>
      </c>
      <c r="P483" t="n">
        <v>0</v>
      </c>
      <c r="Q483" t="n">
        <v>2</v>
      </c>
      <c r="R483" s="2" t="inlineStr">
        <is>
          <t>Gammelgransskål
Lunglav</t>
        </is>
      </c>
      <c r="S483">
        <f>HYPERLINK("https://klasma.github.io/Logging_ASELE/artfynd/A 10546-2023.xlsx", "A 10546-2023")</f>
        <v/>
      </c>
      <c r="T483">
        <f>HYPERLINK("https://klasma.github.io/Logging_ASELE/kartor/A 10546-2023.png", "A 10546-2023")</f>
        <v/>
      </c>
      <c r="V483">
        <f>HYPERLINK("https://klasma.github.io/Logging_ASELE/klagomål/A 10546-2023.docx", "A 10546-2023")</f>
        <v/>
      </c>
      <c r="W483">
        <f>HYPERLINK("https://klasma.github.io/Logging_ASELE/klagomålsmail/A 10546-2023.docx", "A 10546-2023")</f>
        <v/>
      </c>
      <c r="X483">
        <f>HYPERLINK("https://klasma.github.io/Logging_ASELE/tillsyn/A 10546-2023.docx", "A 10546-2023")</f>
        <v/>
      </c>
      <c r="Y483">
        <f>HYPERLINK("https://klasma.github.io/Logging_ASELE/tillsynsmail/A 10546-2023.docx", "A 10546-2023")</f>
        <v/>
      </c>
    </row>
    <row r="484" ht="15" customHeight="1">
      <c r="A484" t="inlineStr">
        <is>
          <t>A 15197-2023</t>
        </is>
      </c>
      <c r="B484" s="1" t="n">
        <v>45016</v>
      </c>
      <c r="C484" s="1" t="n">
        <v>45204</v>
      </c>
      <c r="D484" t="inlineStr">
        <is>
          <t>VÄSTERBOTTENS LÄN</t>
        </is>
      </c>
      <c r="E484" t="inlineStr">
        <is>
          <t>LYCKSELE</t>
        </is>
      </c>
      <c r="G484" t="n">
        <v>11.2</v>
      </c>
      <c r="H484" t="n">
        <v>0</v>
      </c>
      <c r="I484" t="n">
        <v>1</v>
      </c>
      <c r="J484" t="n">
        <v>1</v>
      </c>
      <c r="K484" t="n">
        <v>0</v>
      </c>
      <c r="L484" t="n">
        <v>0</v>
      </c>
      <c r="M484" t="n">
        <v>0</v>
      </c>
      <c r="N484" t="n">
        <v>0</v>
      </c>
      <c r="O484" t="n">
        <v>1</v>
      </c>
      <c r="P484" t="n">
        <v>0</v>
      </c>
      <c r="Q484" t="n">
        <v>2</v>
      </c>
      <c r="R484" s="2" t="inlineStr">
        <is>
          <t>Vaddporing
Dropptaggsvamp</t>
        </is>
      </c>
      <c r="S484">
        <f>HYPERLINK("https://klasma.github.io/Logging_LYCKSELE/artfynd/A 15197-2023.xlsx", "A 15197-2023")</f>
        <v/>
      </c>
      <c r="T484">
        <f>HYPERLINK("https://klasma.github.io/Logging_LYCKSELE/kartor/A 15197-2023.png", "A 15197-2023")</f>
        <v/>
      </c>
      <c r="V484">
        <f>HYPERLINK("https://klasma.github.io/Logging_LYCKSELE/klagomål/A 15197-2023.docx", "A 15197-2023")</f>
        <v/>
      </c>
      <c r="W484">
        <f>HYPERLINK("https://klasma.github.io/Logging_LYCKSELE/klagomålsmail/A 15197-2023.docx", "A 15197-2023")</f>
        <v/>
      </c>
      <c r="X484">
        <f>HYPERLINK("https://klasma.github.io/Logging_LYCKSELE/tillsyn/A 15197-2023.docx", "A 15197-2023")</f>
        <v/>
      </c>
      <c r="Y484">
        <f>HYPERLINK("https://klasma.github.io/Logging_LYCKSELE/tillsynsmail/A 15197-2023.docx", "A 15197-2023")</f>
        <v/>
      </c>
    </row>
    <row r="485" ht="15" customHeight="1">
      <c r="A485" t="inlineStr">
        <is>
          <t>A 18922-2023</t>
        </is>
      </c>
      <c r="B485" s="1" t="n">
        <v>45043</v>
      </c>
      <c r="C485" s="1" t="n">
        <v>45204</v>
      </c>
      <c r="D485" t="inlineStr">
        <is>
          <t>VÄSTERBOTTENS LÄN</t>
        </is>
      </c>
      <c r="E485" t="inlineStr">
        <is>
          <t>UMEÅ</t>
        </is>
      </c>
      <c r="G485" t="n">
        <v>9.199999999999999</v>
      </c>
      <c r="H485" t="n">
        <v>0</v>
      </c>
      <c r="I485" t="n">
        <v>0</v>
      </c>
      <c r="J485" t="n">
        <v>2</v>
      </c>
      <c r="K485" t="n">
        <v>0</v>
      </c>
      <c r="L485" t="n">
        <v>0</v>
      </c>
      <c r="M485" t="n">
        <v>0</v>
      </c>
      <c r="N485" t="n">
        <v>0</v>
      </c>
      <c r="O485" t="n">
        <v>2</v>
      </c>
      <c r="P485" t="n">
        <v>0</v>
      </c>
      <c r="Q485" t="n">
        <v>2</v>
      </c>
      <c r="R485" s="2" t="inlineStr">
        <is>
          <t>Granticka
Ullticka</t>
        </is>
      </c>
      <c r="S485">
        <f>HYPERLINK("https://klasma.github.io/Logging_UMEA/artfynd/A 18922-2023.xlsx", "A 18922-2023")</f>
        <v/>
      </c>
      <c r="T485">
        <f>HYPERLINK("https://klasma.github.io/Logging_UMEA/kartor/A 18922-2023.png", "A 18922-2023")</f>
        <v/>
      </c>
      <c r="V485">
        <f>HYPERLINK("https://klasma.github.io/Logging_UMEA/klagomål/A 18922-2023.docx", "A 18922-2023")</f>
        <v/>
      </c>
      <c r="W485">
        <f>HYPERLINK("https://klasma.github.io/Logging_UMEA/klagomålsmail/A 18922-2023.docx", "A 18922-2023")</f>
        <v/>
      </c>
      <c r="X485">
        <f>HYPERLINK("https://klasma.github.io/Logging_UMEA/tillsyn/A 18922-2023.docx", "A 18922-2023")</f>
        <v/>
      </c>
      <c r="Y485">
        <f>HYPERLINK("https://klasma.github.io/Logging_UMEA/tillsynsmail/A 18922-2023.docx", "A 18922-2023")</f>
        <v/>
      </c>
    </row>
    <row r="486" ht="15" customHeight="1">
      <c r="A486" t="inlineStr">
        <is>
          <t>A 22845-2023</t>
        </is>
      </c>
      <c r="B486" s="1" t="n">
        <v>45072</v>
      </c>
      <c r="C486" s="1" t="n">
        <v>45204</v>
      </c>
      <c r="D486" t="inlineStr">
        <is>
          <t>VÄSTERBOTTENS LÄN</t>
        </is>
      </c>
      <c r="E486" t="inlineStr">
        <is>
          <t>ÅSELE</t>
        </is>
      </c>
      <c r="F486" t="inlineStr">
        <is>
          <t>Holmen skog AB</t>
        </is>
      </c>
      <c r="G486" t="n">
        <v>6.2</v>
      </c>
      <c r="H486" t="n">
        <v>0</v>
      </c>
      <c r="I486" t="n">
        <v>0</v>
      </c>
      <c r="J486" t="n">
        <v>2</v>
      </c>
      <c r="K486" t="n">
        <v>0</v>
      </c>
      <c r="L486" t="n">
        <v>0</v>
      </c>
      <c r="M486" t="n">
        <v>0</v>
      </c>
      <c r="N486" t="n">
        <v>0</v>
      </c>
      <c r="O486" t="n">
        <v>2</v>
      </c>
      <c r="P486" t="n">
        <v>0</v>
      </c>
      <c r="Q486" t="n">
        <v>2</v>
      </c>
      <c r="R486" s="2" t="inlineStr">
        <is>
          <t>Garnlav
Granticka</t>
        </is>
      </c>
      <c r="S486">
        <f>HYPERLINK("https://klasma.github.io/Logging_ASELE/artfynd/A 22845-2023.xlsx", "A 22845-2023")</f>
        <v/>
      </c>
      <c r="T486">
        <f>HYPERLINK("https://klasma.github.io/Logging_ASELE/kartor/A 22845-2023.png", "A 22845-2023")</f>
        <v/>
      </c>
      <c r="V486">
        <f>HYPERLINK("https://klasma.github.io/Logging_ASELE/klagomål/A 22845-2023.docx", "A 22845-2023")</f>
        <v/>
      </c>
      <c r="W486">
        <f>HYPERLINK("https://klasma.github.io/Logging_ASELE/klagomålsmail/A 22845-2023.docx", "A 22845-2023")</f>
        <v/>
      </c>
      <c r="X486">
        <f>HYPERLINK("https://klasma.github.io/Logging_ASELE/tillsyn/A 22845-2023.docx", "A 22845-2023")</f>
        <v/>
      </c>
      <c r="Y486">
        <f>HYPERLINK("https://klasma.github.io/Logging_ASELE/tillsynsmail/A 22845-2023.docx", "A 22845-2023")</f>
        <v/>
      </c>
    </row>
    <row r="487" ht="15" customHeight="1">
      <c r="A487" t="inlineStr">
        <is>
          <t>A 24332-2023</t>
        </is>
      </c>
      <c r="B487" s="1" t="n">
        <v>45081</v>
      </c>
      <c r="C487" s="1" t="n">
        <v>45204</v>
      </c>
      <c r="D487" t="inlineStr">
        <is>
          <t>VÄSTERBOTTENS LÄN</t>
        </is>
      </c>
      <c r="E487" t="inlineStr">
        <is>
          <t>SORSELE</t>
        </is>
      </c>
      <c r="F487" t="inlineStr">
        <is>
          <t>Övriga statliga verk och myndigheter</t>
        </is>
      </c>
      <c r="G487" t="n">
        <v>211.8</v>
      </c>
      <c r="H487" t="n">
        <v>0</v>
      </c>
      <c r="I487" t="n">
        <v>0</v>
      </c>
      <c r="J487" t="n">
        <v>2</v>
      </c>
      <c r="K487" t="n">
        <v>0</v>
      </c>
      <c r="L487" t="n">
        <v>0</v>
      </c>
      <c r="M487" t="n">
        <v>0</v>
      </c>
      <c r="N487" t="n">
        <v>0</v>
      </c>
      <c r="O487" t="n">
        <v>2</v>
      </c>
      <c r="P487" t="n">
        <v>0</v>
      </c>
      <c r="Q487" t="n">
        <v>2</v>
      </c>
      <c r="R487" s="2" t="inlineStr">
        <is>
          <t>Granticka
Harticka</t>
        </is>
      </c>
      <c r="S487">
        <f>HYPERLINK("https://klasma.github.io/Logging_SORSELE/artfynd/A 24332-2023.xlsx", "A 24332-2023")</f>
        <v/>
      </c>
      <c r="T487">
        <f>HYPERLINK("https://klasma.github.io/Logging_SORSELE/kartor/A 24332-2023.png", "A 24332-2023")</f>
        <v/>
      </c>
      <c r="V487">
        <f>HYPERLINK("https://klasma.github.io/Logging_SORSELE/klagomål/A 24332-2023.docx", "A 24332-2023")</f>
        <v/>
      </c>
      <c r="W487">
        <f>HYPERLINK("https://klasma.github.io/Logging_SORSELE/klagomålsmail/A 24332-2023.docx", "A 24332-2023")</f>
        <v/>
      </c>
      <c r="X487">
        <f>HYPERLINK("https://klasma.github.io/Logging_SORSELE/tillsyn/A 24332-2023.docx", "A 24332-2023")</f>
        <v/>
      </c>
      <c r="Y487">
        <f>HYPERLINK("https://klasma.github.io/Logging_SORSELE/tillsynsmail/A 24332-2023.docx", "A 24332-2023")</f>
        <v/>
      </c>
    </row>
    <row r="488" ht="15" customHeight="1">
      <c r="A488" t="inlineStr">
        <is>
          <t>A 26029-2023</t>
        </is>
      </c>
      <c r="B488" s="1" t="n">
        <v>45091</v>
      </c>
      <c r="C488" s="1" t="n">
        <v>45204</v>
      </c>
      <c r="D488" t="inlineStr">
        <is>
          <t>VÄSTERBOTTENS LÄN</t>
        </is>
      </c>
      <c r="E488" t="inlineStr">
        <is>
          <t>ROBERTSFORS</t>
        </is>
      </c>
      <c r="G488" t="n">
        <v>3.9</v>
      </c>
      <c r="H488" t="n">
        <v>1</v>
      </c>
      <c r="I488" t="n">
        <v>0</v>
      </c>
      <c r="J488" t="n">
        <v>2</v>
      </c>
      <c r="K488" t="n">
        <v>0</v>
      </c>
      <c r="L488" t="n">
        <v>0</v>
      </c>
      <c r="M488" t="n">
        <v>0</v>
      </c>
      <c r="N488" t="n">
        <v>0</v>
      </c>
      <c r="O488" t="n">
        <v>2</v>
      </c>
      <c r="P488" t="n">
        <v>0</v>
      </c>
      <c r="Q488" t="n">
        <v>2</v>
      </c>
      <c r="R488" s="2" t="inlineStr">
        <is>
          <t>Granticka
Spillkråka</t>
        </is>
      </c>
      <c r="S488">
        <f>HYPERLINK("https://klasma.github.io/Logging_ROBERTSFORS/artfynd/A 26029-2023.xlsx", "A 26029-2023")</f>
        <v/>
      </c>
      <c r="T488">
        <f>HYPERLINK("https://klasma.github.io/Logging_ROBERTSFORS/kartor/A 26029-2023.png", "A 26029-2023")</f>
        <v/>
      </c>
      <c r="V488">
        <f>HYPERLINK("https://klasma.github.io/Logging_ROBERTSFORS/klagomål/A 26029-2023.docx", "A 26029-2023")</f>
        <v/>
      </c>
      <c r="W488">
        <f>HYPERLINK("https://klasma.github.io/Logging_ROBERTSFORS/klagomålsmail/A 26029-2023.docx", "A 26029-2023")</f>
        <v/>
      </c>
      <c r="X488">
        <f>HYPERLINK("https://klasma.github.io/Logging_ROBERTSFORS/tillsyn/A 26029-2023.docx", "A 26029-2023")</f>
        <v/>
      </c>
      <c r="Y488">
        <f>HYPERLINK("https://klasma.github.io/Logging_ROBERTSFORS/tillsynsmail/A 26029-2023.docx", "A 26029-2023")</f>
        <v/>
      </c>
    </row>
    <row r="489" ht="15" customHeight="1">
      <c r="A489" t="inlineStr">
        <is>
          <t>A 28013-2023</t>
        </is>
      </c>
      <c r="B489" s="1" t="n">
        <v>45098</v>
      </c>
      <c r="C489" s="1" t="n">
        <v>45204</v>
      </c>
      <c r="D489" t="inlineStr">
        <is>
          <t>VÄSTERBOTTENS LÄN</t>
        </is>
      </c>
      <c r="E489" t="inlineStr">
        <is>
          <t>VILHELMINA</t>
        </is>
      </c>
      <c r="F489" t="inlineStr">
        <is>
          <t>SCA</t>
        </is>
      </c>
      <c r="G489" t="n">
        <v>7.8</v>
      </c>
      <c r="H489" t="n">
        <v>0</v>
      </c>
      <c r="I489" t="n">
        <v>0</v>
      </c>
      <c r="J489" t="n">
        <v>1</v>
      </c>
      <c r="K489" t="n">
        <v>1</v>
      </c>
      <c r="L489" t="n">
        <v>0</v>
      </c>
      <c r="M489" t="n">
        <v>0</v>
      </c>
      <c r="N489" t="n">
        <v>0</v>
      </c>
      <c r="O489" t="n">
        <v>2</v>
      </c>
      <c r="P489" t="n">
        <v>1</v>
      </c>
      <c r="Q489" t="n">
        <v>2</v>
      </c>
      <c r="R489" s="2" t="inlineStr">
        <is>
          <t>Tajgaskinn
Granticka</t>
        </is>
      </c>
      <c r="S489">
        <f>HYPERLINK("https://klasma.github.io/Logging_VILHELMINA/artfynd/A 28013-2023.xlsx", "A 28013-2023")</f>
        <v/>
      </c>
      <c r="T489">
        <f>HYPERLINK("https://klasma.github.io/Logging_VILHELMINA/kartor/A 28013-2023.png", "A 28013-2023")</f>
        <v/>
      </c>
      <c r="V489">
        <f>HYPERLINK("https://klasma.github.io/Logging_VILHELMINA/klagomål/A 28013-2023.docx", "A 28013-2023")</f>
        <v/>
      </c>
      <c r="W489">
        <f>HYPERLINK("https://klasma.github.io/Logging_VILHELMINA/klagomålsmail/A 28013-2023.docx", "A 28013-2023")</f>
        <v/>
      </c>
      <c r="X489">
        <f>HYPERLINK("https://klasma.github.io/Logging_VILHELMINA/tillsyn/A 28013-2023.docx", "A 28013-2023")</f>
        <v/>
      </c>
      <c r="Y489">
        <f>HYPERLINK("https://klasma.github.io/Logging_VILHELMINA/tillsynsmail/A 28013-2023.docx", "A 28013-2023")</f>
        <v/>
      </c>
    </row>
    <row r="490" ht="15" customHeight="1">
      <c r="A490" t="inlineStr">
        <is>
          <t>A 28515-2023</t>
        </is>
      </c>
      <c r="B490" s="1" t="n">
        <v>45103</v>
      </c>
      <c r="C490" s="1" t="n">
        <v>45204</v>
      </c>
      <c r="D490" t="inlineStr">
        <is>
          <t>VÄSTERBOTTENS LÄN</t>
        </is>
      </c>
      <c r="E490" t="inlineStr">
        <is>
          <t>LYCKSELE</t>
        </is>
      </c>
      <c r="F490" t="inlineStr">
        <is>
          <t>Sveaskog</t>
        </is>
      </c>
      <c r="G490" t="n">
        <v>10</v>
      </c>
      <c r="H490" t="n">
        <v>0</v>
      </c>
      <c r="I490" t="n">
        <v>0</v>
      </c>
      <c r="J490" t="n">
        <v>2</v>
      </c>
      <c r="K490" t="n">
        <v>0</v>
      </c>
      <c r="L490" t="n">
        <v>0</v>
      </c>
      <c r="M490" t="n">
        <v>0</v>
      </c>
      <c r="N490" t="n">
        <v>0</v>
      </c>
      <c r="O490" t="n">
        <v>2</v>
      </c>
      <c r="P490" t="n">
        <v>0</v>
      </c>
      <c r="Q490" t="n">
        <v>2</v>
      </c>
      <c r="R490" s="2" t="inlineStr">
        <is>
          <t>Lunglav
Tallticka</t>
        </is>
      </c>
      <c r="S490">
        <f>HYPERLINK("https://klasma.github.io/Logging_LYCKSELE/artfynd/A 28515-2023.xlsx", "A 28515-2023")</f>
        <v/>
      </c>
      <c r="T490">
        <f>HYPERLINK("https://klasma.github.io/Logging_LYCKSELE/kartor/A 28515-2023.png", "A 28515-2023")</f>
        <v/>
      </c>
      <c r="V490">
        <f>HYPERLINK("https://klasma.github.io/Logging_LYCKSELE/klagomål/A 28515-2023.docx", "A 28515-2023")</f>
        <v/>
      </c>
      <c r="W490">
        <f>HYPERLINK("https://klasma.github.io/Logging_LYCKSELE/klagomålsmail/A 28515-2023.docx", "A 28515-2023")</f>
        <v/>
      </c>
      <c r="X490">
        <f>HYPERLINK("https://klasma.github.io/Logging_LYCKSELE/tillsyn/A 28515-2023.docx", "A 28515-2023")</f>
        <v/>
      </c>
      <c r="Y490">
        <f>HYPERLINK("https://klasma.github.io/Logging_LYCKSELE/tillsynsmail/A 28515-2023.docx", "A 28515-2023")</f>
        <v/>
      </c>
    </row>
    <row r="491" ht="15" customHeight="1">
      <c r="A491" t="inlineStr">
        <is>
          <t>A 29998-2023</t>
        </is>
      </c>
      <c r="B491" s="1" t="n">
        <v>45109</v>
      </c>
      <c r="C491" s="1" t="n">
        <v>45204</v>
      </c>
      <c r="D491" t="inlineStr">
        <is>
          <t>VÄSTERBOTTENS LÄN</t>
        </is>
      </c>
      <c r="E491" t="inlineStr">
        <is>
          <t>SKELLEFTEÅ</t>
        </is>
      </c>
      <c r="F491" t="inlineStr">
        <is>
          <t>Sveaskog</t>
        </is>
      </c>
      <c r="G491" t="n">
        <v>10.2</v>
      </c>
      <c r="H491" t="n">
        <v>0</v>
      </c>
      <c r="I491" t="n">
        <v>1</v>
      </c>
      <c r="J491" t="n">
        <v>1</v>
      </c>
      <c r="K491" t="n">
        <v>0</v>
      </c>
      <c r="L491" t="n">
        <v>0</v>
      </c>
      <c r="M491" t="n">
        <v>0</v>
      </c>
      <c r="N491" t="n">
        <v>0</v>
      </c>
      <c r="O491" t="n">
        <v>1</v>
      </c>
      <c r="P491" t="n">
        <v>0</v>
      </c>
      <c r="Q491" t="n">
        <v>2</v>
      </c>
      <c r="R491" s="2" t="inlineStr">
        <is>
          <t>Ullticka
Luddlav</t>
        </is>
      </c>
      <c r="S491">
        <f>HYPERLINK("https://klasma.github.io/Logging_SKELLEFTEA/artfynd/A 29998-2023.xlsx", "A 29998-2023")</f>
        <v/>
      </c>
      <c r="T491">
        <f>HYPERLINK("https://klasma.github.io/Logging_SKELLEFTEA/kartor/A 29998-2023.png", "A 29998-2023")</f>
        <v/>
      </c>
      <c r="V491">
        <f>HYPERLINK("https://klasma.github.io/Logging_SKELLEFTEA/klagomål/A 29998-2023.docx", "A 29998-2023")</f>
        <v/>
      </c>
      <c r="W491">
        <f>HYPERLINK("https://klasma.github.io/Logging_SKELLEFTEA/klagomålsmail/A 29998-2023.docx", "A 29998-2023")</f>
        <v/>
      </c>
      <c r="X491">
        <f>HYPERLINK("https://klasma.github.io/Logging_SKELLEFTEA/tillsyn/A 29998-2023.docx", "A 29998-2023")</f>
        <v/>
      </c>
      <c r="Y491">
        <f>HYPERLINK("https://klasma.github.io/Logging_SKELLEFTEA/tillsynsmail/A 29998-2023.docx", "A 29998-2023")</f>
        <v/>
      </c>
    </row>
    <row r="492" ht="15" customHeight="1">
      <c r="A492" t="inlineStr">
        <is>
          <t>A 30717-2023</t>
        </is>
      </c>
      <c r="B492" s="1" t="n">
        <v>45112</v>
      </c>
      <c r="C492" s="1" t="n">
        <v>45204</v>
      </c>
      <c r="D492" t="inlineStr">
        <is>
          <t>VÄSTERBOTTENS LÄN</t>
        </is>
      </c>
      <c r="E492" t="inlineStr">
        <is>
          <t>VILHELMINA</t>
        </is>
      </c>
      <c r="G492" t="n">
        <v>22.7</v>
      </c>
      <c r="H492" t="n">
        <v>0</v>
      </c>
      <c r="I492" t="n">
        <v>0</v>
      </c>
      <c r="J492" t="n">
        <v>2</v>
      </c>
      <c r="K492" t="n">
        <v>0</v>
      </c>
      <c r="L492" t="n">
        <v>0</v>
      </c>
      <c r="M492" t="n">
        <v>0</v>
      </c>
      <c r="N492" t="n">
        <v>0</v>
      </c>
      <c r="O492" t="n">
        <v>2</v>
      </c>
      <c r="P492" t="n">
        <v>0</v>
      </c>
      <c r="Q492" t="n">
        <v>2</v>
      </c>
      <c r="R492" s="2" t="inlineStr">
        <is>
          <t>Garnlav
Ullticka</t>
        </is>
      </c>
      <c r="S492">
        <f>HYPERLINK("https://klasma.github.io/Logging_VILHELMINA/artfynd/A 30717-2023.xlsx", "A 30717-2023")</f>
        <v/>
      </c>
      <c r="T492">
        <f>HYPERLINK("https://klasma.github.io/Logging_VILHELMINA/kartor/A 30717-2023.png", "A 30717-2023")</f>
        <v/>
      </c>
      <c r="V492">
        <f>HYPERLINK("https://klasma.github.io/Logging_VILHELMINA/klagomål/A 30717-2023.docx", "A 30717-2023")</f>
        <v/>
      </c>
      <c r="W492">
        <f>HYPERLINK("https://klasma.github.io/Logging_VILHELMINA/klagomålsmail/A 30717-2023.docx", "A 30717-2023")</f>
        <v/>
      </c>
      <c r="X492">
        <f>HYPERLINK("https://klasma.github.io/Logging_VILHELMINA/tillsyn/A 30717-2023.docx", "A 30717-2023")</f>
        <v/>
      </c>
      <c r="Y492">
        <f>HYPERLINK("https://klasma.github.io/Logging_VILHELMINA/tillsynsmail/A 30717-2023.docx", "A 30717-2023")</f>
        <v/>
      </c>
    </row>
    <row r="493" ht="15" customHeight="1">
      <c r="A493" t="inlineStr">
        <is>
          <t>A 31206-2023</t>
        </is>
      </c>
      <c r="B493" s="1" t="n">
        <v>45113</v>
      </c>
      <c r="C493" s="1" t="n">
        <v>45204</v>
      </c>
      <c r="D493" t="inlineStr">
        <is>
          <t>VÄSTERBOTTENS LÄN</t>
        </is>
      </c>
      <c r="E493" t="inlineStr">
        <is>
          <t>BJURHOLM</t>
        </is>
      </c>
      <c r="F493" t="inlineStr">
        <is>
          <t>SCA</t>
        </is>
      </c>
      <c r="G493" t="n">
        <v>6</v>
      </c>
      <c r="H493" t="n">
        <v>0</v>
      </c>
      <c r="I493" t="n">
        <v>1</v>
      </c>
      <c r="J493" t="n">
        <v>1</v>
      </c>
      <c r="K493" t="n">
        <v>0</v>
      </c>
      <c r="L493" t="n">
        <v>0</v>
      </c>
      <c r="M493" t="n">
        <v>0</v>
      </c>
      <c r="N493" t="n">
        <v>0</v>
      </c>
      <c r="O493" t="n">
        <v>1</v>
      </c>
      <c r="P493" t="n">
        <v>0</v>
      </c>
      <c r="Q493" t="n">
        <v>2</v>
      </c>
      <c r="R493" s="2" t="inlineStr">
        <is>
          <t>Garnlav
Skarp dropptaggsvamp</t>
        </is>
      </c>
      <c r="S493">
        <f>HYPERLINK("https://klasma.github.io/Logging_BJURHOLM/artfynd/A 31206-2023.xlsx", "A 31206-2023")</f>
        <v/>
      </c>
      <c r="T493">
        <f>HYPERLINK("https://klasma.github.io/Logging_BJURHOLM/kartor/A 31206-2023.png", "A 31206-2023")</f>
        <v/>
      </c>
      <c r="U493">
        <f>HYPERLINK("https://klasma.github.io/Logging_BJURHOLM/knärot/A 31206-2023.png", "A 31206-2023")</f>
        <v/>
      </c>
      <c r="V493">
        <f>HYPERLINK("https://klasma.github.io/Logging_BJURHOLM/klagomål/A 31206-2023.docx", "A 31206-2023")</f>
        <v/>
      </c>
      <c r="W493">
        <f>HYPERLINK("https://klasma.github.io/Logging_BJURHOLM/klagomålsmail/A 31206-2023.docx", "A 31206-2023")</f>
        <v/>
      </c>
      <c r="X493">
        <f>HYPERLINK("https://klasma.github.io/Logging_BJURHOLM/tillsyn/A 31206-2023.docx", "A 31206-2023")</f>
        <v/>
      </c>
      <c r="Y493">
        <f>HYPERLINK("https://klasma.github.io/Logging_BJURHOLM/tillsynsmail/A 31206-2023.docx", "A 31206-2023")</f>
        <v/>
      </c>
    </row>
    <row r="494" ht="15" customHeight="1">
      <c r="A494" t="inlineStr">
        <is>
          <t>A 31737-2023</t>
        </is>
      </c>
      <c r="B494" s="1" t="n">
        <v>45117</v>
      </c>
      <c r="C494" s="1" t="n">
        <v>45204</v>
      </c>
      <c r="D494" t="inlineStr">
        <is>
          <t>VÄSTERBOTTENS LÄN</t>
        </is>
      </c>
      <c r="E494" t="inlineStr">
        <is>
          <t>BJURHOLM</t>
        </is>
      </c>
      <c r="F494" t="inlineStr">
        <is>
          <t>SCA</t>
        </is>
      </c>
      <c r="G494" t="n">
        <v>4.5</v>
      </c>
      <c r="H494" t="n">
        <v>0</v>
      </c>
      <c r="I494" t="n">
        <v>0</v>
      </c>
      <c r="J494" t="n">
        <v>2</v>
      </c>
      <c r="K494" t="n">
        <v>0</v>
      </c>
      <c r="L494" t="n">
        <v>0</v>
      </c>
      <c r="M494" t="n">
        <v>0</v>
      </c>
      <c r="N494" t="n">
        <v>0</v>
      </c>
      <c r="O494" t="n">
        <v>2</v>
      </c>
      <c r="P494" t="n">
        <v>0</v>
      </c>
      <c r="Q494" t="n">
        <v>2</v>
      </c>
      <c r="R494" s="2" t="inlineStr">
        <is>
          <t>Dvärgbägarlav
Vedskivlav</t>
        </is>
      </c>
      <c r="S494">
        <f>HYPERLINK("https://klasma.github.io/Logging_BJURHOLM/artfynd/A 31737-2023.xlsx", "A 31737-2023")</f>
        <v/>
      </c>
      <c r="T494">
        <f>HYPERLINK("https://klasma.github.io/Logging_BJURHOLM/kartor/A 31737-2023.png", "A 31737-2023")</f>
        <v/>
      </c>
      <c r="V494">
        <f>HYPERLINK("https://klasma.github.io/Logging_BJURHOLM/klagomål/A 31737-2023.docx", "A 31737-2023")</f>
        <v/>
      </c>
      <c r="W494">
        <f>HYPERLINK("https://klasma.github.io/Logging_BJURHOLM/klagomålsmail/A 31737-2023.docx", "A 31737-2023")</f>
        <v/>
      </c>
      <c r="X494">
        <f>HYPERLINK("https://klasma.github.io/Logging_BJURHOLM/tillsyn/A 31737-2023.docx", "A 31737-2023")</f>
        <v/>
      </c>
      <c r="Y494">
        <f>HYPERLINK("https://klasma.github.io/Logging_BJURHOLM/tillsynsmail/A 31737-2023.docx", "A 31737-2023")</f>
        <v/>
      </c>
    </row>
    <row r="495" ht="15" customHeight="1">
      <c r="A495" t="inlineStr">
        <is>
          <t>A 33663-2023</t>
        </is>
      </c>
      <c r="B495" s="1" t="n">
        <v>45119</v>
      </c>
      <c r="C495" s="1" t="n">
        <v>45204</v>
      </c>
      <c r="D495" t="inlineStr">
        <is>
          <t>VÄSTERBOTTENS LÄN</t>
        </is>
      </c>
      <c r="E495" t="inlineStr">
        <is>
          <t>DOROTEA</t>
        </is>
      </c>
      <c r="F495" t="inlineStr">
        <is>
          <t>Allmännings- och besparingsskogar</t>
        </is>
      </c>
      <c r="G495" t="n">
        <v>2.6</v>
      </c>
      <c r="H495" t="n">
        <v>0</v>
      </c>
      <c r="I495" t="n">
        <v>0</v>
      </c>
      <c r="J495" t="n">
        <v>2</v>
      </c>
      <c r="K495" t="n">
        <v>0</v>
      </c>
      <c r="L495" t="n">
        <v>0</v>
      </c>
      <c r="M495" t="n">
        <v>0</v>
      </c>
      <c r="N495" t="n">
        <v>0</v>
      </c>
      <c r="O495" t="n">
        <v>2</v>
      </c>
      <c r="P495" t="n">
        <v>0</v>
      </c>
      <c r="Q495" t="n">
        <v>2</v>
      </c>
      <c r="R495" s="2" t="inlineStr">
        <is>
          <t>Garnlav
Harticka</t>
        </is>
      </c>
      <c r="S495">
        <f>HYPERLINK("https://klasma.github.io/Logging_DOROTEA/artfynd/A 33663-2023.xlsx", "A 33663-2023")</f>
        <v/>
      </c>
      <c r="T495">
        <f>HYPERLINK("https://klasma.github.io/Logging_DOROTEA/kartor/A 33663-2023.png", "A 33663-2023")</f>
        <v/>
      </c>
      <c r="V495">
        <f>HYPERLINK("https://klasma.github.io/Logging_DOROTEA/klagomål/A 33663-2023.docx", "A 33663-2023")</f>
        <v/>
      </c>
      <c r="W495">
        <f>HYPERLINK("https://klasma.github.io/Logging_DOROTEA/klagomålsmail/A 33663-2023.docx", "A 33663-2023")</f>
        <v/>
      </c>
      <c r="X495">
        <f>HYPERLINK("https://klasma.github.io/Logging_DOROTEA/tillsyn/A 33663-2023.docx", "A 33663-2023")</f>
        <v/>
      </c>
      <c r="Y495">
        <f>HYPERLINK("https://klasma.github.io/Logging_DOROTEA/tillsynsmail/A 33663-2023.docx", "A 33663-2023")</f>
        <v/>
      </c>
    </row>
    <row r="496" ht="15" customHeight="1">
      <c r="A496" t="inlineStr">
        <is>
          <t>A 34089-2023</t>
        </is>
      </c>
      <c r="B496" s="1" t="n">
        <v>45125</v>
      </c>
      <c r="C496" s="1" t="n">
        <v>45204</v>
      </c>
      <c r="D496" t="inlineStr">
        <is>
          <t>VÄSTERBOTTENS LÄN</t>
        </is>
      </c>
      <c r="E496" t="inlineStr">
        <is>
          <t>VILHELMINA</t>
        </is>
      </c>
      <c r="G496" t="n">
        <v>24.1</v>
      </c>
      <c r="H496" t="n">
        <v>1</v>
      </c>
      <c r="I496" t="n">
        <v>0</v>
      </c>
      <c r="J496" t="n">
        <v>2</v>
      </c>
      <c r="K496" t="n">
        <v>0</v>
      </c>
      <c r="L496" t="n">
        <v>0</v>
      </c>
      <c r="M496" t="n">
        <v>0</v>
      </c>
      <c r="N496" t="n">
        <v>0</v>
      </c>
      <c r="O496" t="n">
        <v>2</v>
      </c>
      <c r="P496" t="n">
        <v>0</v>
      </c>
      <c r="Q496" t="n">
        <v>2</v>
      </c>
      <c r="R496" s="2" t="inlineStr">
        <is>
          <t>Garnlav
Tretåig hackspett</t>
        </is>
      </c>
      <c r="S496">
        <f>HYPERLINK("https://klasma.github.io/Logging_VILHELMINA/artfynd/A 34089-2023.xlsx", "A 34089-2023")</f>
        <v/>
      </c>
      <c r="T496">
        <f>HYPERLINK("https://klasma.github.io/Logging_VILHELMINA/kartor/A 34089-2023.png", "A 34089-2023")</f>
        <v/>
      </c>
      <c r="V496">
        <f>HYPERLINK("https://klasma.github.io/Logging_VILHELMINA/klagomål/A 34089-2023.docx", "A 34089-2023")</f>
        <v/>
      </c>
      <c r="W496">
        <f>HYPERLINK("https://klasma.github.io/Logging_VILHELMINA/klagomålsmail/A 34089-2023.docx", "A 34089-2023")</f>
        <v/>
      </c>
      <c r="X496">
        <f>HYPERLINK("https://klasma.github.io/Logging_VILHELMINA/tillsyn/A 34089-2023.docx", "A 34089-2023")</f>
        <v/>
      </c>
      <c r="Y496">
        <f>HYPERLINK("https://klasma.github.io/Logging_VILHELMINA/tillsynsmail/A 34089-2023.docx", "A 34089-2023")</f>
        <v/>
      </c>
    </row>
    <row r="497" ht="15" customHeight="1">
      <c r="A497" t="inlineStr">
        <is>
          <t>A 34870-2023</t>
        </is>
      </c>
      <c r="B497" s="1" t="n">
        <v>45142</v>
      </c>
      <c r="C497" s="1" t="n">
        <v>45204</v>
      </c>
      <c r="D497" t="inlineStr">
        <is>
          <t>VÄSTERBOTTENS LÄN</t>
        </is>
      </c>
      <c r="E497" t="inlineStr">
        <is>
          <t>LYCKSELE</t>
        </is>
      </c>
      <c r="F497" t="inlineStr">
        <is>
          <t>Sveaskog</t>
        </is>
      </c>
      <c r="G497" t="n">
        <v>10.9</v>
      </c>
      <c r="H497" t="n">
        <v>0</v>
      </c>
      <c r="I497" t="n">
        <v>0</v>
      </c>
      <c r="J497" t="n">
        <v>2</v>
      </c>
      <c r="K497" t="n">
        <v>0</v>
      </c>
      <c r="L497" t="n">
        <v>0</v>
      </c>
      <c r="M497" t="n">
        <v>0</v>
      </c>
      <c r="N497" t="n">
        <v>0</v>
      </c>
      <c r="O497" t="n">
        <v>2</v>
      </c>
      <c r="P497" t="n">
        <v>0</v>
      </c>
      <c r="Q497" t="n">
        <v>2</v>
      </c>
      <c r="R497" s="2" t="inlineStr">
        <is>
          <t>Lunglav
Mörk kolflarnlav</t>
        </is>
      </c>
      <c r="S497">
        <f>HYPERLINK("https://klasma.github.io/Logging_LYCKSELE/artfynd/A 34870-2023.xlsx", "A 34870-2023")</f>
        <v/>
      </c>
      <c r="T497">
        <f>HYPERLINK("https://klasma.github.io/Logging_LYCKSELE/kartor/A 34870-2023.png", "A 34870-2023")</f>
        <v/>
      </c>
      <c r="V497">
        <f>HYPERLINK("https://klasma.github.io/Logging_LYCKSELE/klagomål/A 34870-2023.docx", "A 34870-2023")</f>
        <v/>
      </c>
      <c r="W497">
        <f>HYPERLINK("https://klasma.github.io/Logging_LYCKSELE/klagomålsmail/A 34870-2023.docx", "A 34870-2023")</f>
        <v/>
      </c>
      <c r="X497">
        <f>HYPERLINK("https://klasma.github.io/Logging_LYCKSELE/tillsyn/A 34870-2023.docx", "A 34870-2023")</f>
        <v/>
      </c>
      <c r="Y497">
        <f>HYPERLINK("https://klasma.github.io/Logging_LYCKSELE/tillsynsmail/A 34870-2023.docx", "A 34870-2023")</f>
        <v/>
      </c>
    </row>
    <row r="498" ht="15" customHeight="1">
      <c r="A498" t="inlineStr">
        <is>
          <t>A 35988-2023</t>
        </is>
      </c>
      <c r="B498" s="1" t="n">
        <v>45148</v>
      </c>
      <c r="C498" s="1" t="n">
        <v>45204</v>
      </c>
      <c r="D498" t="inlineStr">
        <is>
          <t>VÄSTERBOTTENS LÄN</t>
        </is>
      </c>
      <c r="E498" t="inlineStr">
        <is>
          <t>DOROTEA</t>
        </is>
      </c>
      <c r="F498" t="inlineStr">
        <is>
          <t>SCA</t>
        </is>
      </c>
      <c r="G498" t="n">
        <v>14.1</v>
      </c>
      <c r="H498" t="n">
        <v>0</v>
      </c>
      <c r="I498" t="n">
        <v>1</v>
      </c>
      <c r="J498" t="n">
        <v>1</v>
      </c>
      <c r="K498" t="n">
        <v>0</v>
      </c>
      <c r="L498" t="n">
        <v>0</v>
      </c>
      <c r="M498" t="n">
        <v>0</v>
      </c>
      <c r="N498" t="n">
        <v>0</v>
      </c>
      <c r="O498" t="n">
        <v>1</v>
      </c>
      <c r="P498" t="n">
        <v>0</v>
      </c>
      <c r="Q498" t="n">
        <v>2</v>
      </c>
      <c r="R498" s="2" t="inlineStr">
        <is>
          <t>Luddfingersvamp
Ögonpyrola</t>
        </is>
      </c>
      <c r="S498">
        <f>HYPERLINK("https://klasma.github.io/Logging_DOROTEA/artfynd/A 35988-2023.xlsx", "A 35988-2023")</f>
        <v/>
      </c>
      <c r="T498">
        <f>HYPERLINK("https://klasma.github.io/Logging_DOROTEA/kartor/A 35988-2023.png", "A 35988-2023")</f>
        <v/>
      </c>
      <c r="V498">
        <f>HYPERLINK("https://klasma.github.io/Logging_DOROTEA/klagomål/A 35988-2023.docx", "A 35988-2023")</f>
        <v/>
      </c>
      <c r="W498">
        <f>HYPERLINK("https://klasma.github.io/Logging_DOROTEA/klagomålsmail/A 35988-2023.docx", "A 35988-2023")</f>
        <v/>
      </c>
      <c r="X498">
        <f>HYPERLINK("https://klasma.github.io/Logging_DOROTEA/tillsyn/A 35988-2023.docx", "A 35988-2023")</f>
        <v/>
      </c>
      <c r="Y498">
        <f>HYPERLINK("https://klasma.github.io/Logging_DOROTEA/tillsynsmail/A 35988-2023.docx", "A 35988-2023")</f>
        <v/>
      </c>
    </row>
    <row r="499" ht="15" customHeight="1">
      <c r="A499" t="inlineStr">
        <is>
          <t>A 35927-2023</t>
        </is>
      </c>
      <c r="B499" s="1" t="n">
        <v>45148</v>
      </c>
      <c r="C499" s="1" t="n">
        <v>45204</v>
      </c>
      <c r="D499" t="inlineStr">
        <is>
          <t>VÄSTERBOTTENS LÄN</t>
        </is>
      </c>
      <c r="E499" t="inlineStr">
        <is>
          <t>VINDELN</t>
        </is>
      </c>
      <c r="G499" t="n">
        <v>7.1</v>
      </c>
      <c r="H499" t="n">
        <v>0</v>
      </c>
      <c r="I499" t="n">
        <v>2</v>
      </c>
      <c r="J499" t="n">
        <v>0</v>
      </c>
      <c r="K499" t="n">
        <v>0</v>
      </c>
      <c r="L499" t="n">
        <v>0</v>
      </c>
      <c r="M499" t="n">
        <v>0</v>
      </c>
      <c r="N499" t="n">
        <v>0</v>
      </c>
      <c r="O499" t="n">
        <v>0</v>
      </c>
      <c r="P499" t="n">
        <v>0</v>
      </c>
      <c r="Q499" t="n">
        <v>2</v>
      </c>
      <c r="R499" s="2" t="inlineStr">
        <is>
          <t>Skinnlav
Stuplav</t>
        </is>
      </c>
      <c r="S499">
        <f>HYPERLINK("https://klasma.github.io/Logging_VINDELN/artfynd/A 35927-2023.xlsx", "A 35927-2023")</f>
        <v/>
      </c>
      <c r="T499">
        <f>HYPERLINK("https://klasma.github.io/Logging_VINDELN/kartor/A 35927-2023.png", "A 35927-2023")</f>
        <v/>
      </c>
      <c r="V499">
        <f>HYPERLINK("https://klasma.github.io/Logging_VINDELN/klagomål/A 35927-2023.docx", "A 35927-2023")</f>
        <v/>
      </c>
      <c r="W499">
        <f>HYPERLINK("https://klasma.github.io/Logging_VINDELN/klagomålsmail/A 35927-2023.docx", "A 35927-2023")</f>
        <v/>
      </c>
      <c r="X499">
        <f>HYPERLINK("https://klasma.github.io/Logging_VINDELN/tillsyn/A 35927-2023.docx", "A 35927-2023")</f>
        <v/>
      </c>
      <c r="Y499">
        <f>HYPERLINK("https://klasma.github.io/Logging_VINDELN/tillsynsmail/A 35927-2023.docx", "A 35927-2023")</f>
        <v/>
      </c>
    </row>
    <row r="500" ht="15" customHeight="1">
      <c r="A500" t="inlineStr">
        <is>
          <t>A 36561-2023</t>
        </is>
      </c>
      <c r="B500" s="1" t="n">
        <v>45153</v>
      </c>
      <c r="C500" s="1" t="n">
        <v>45204</v>
      </c>
      <c r="D500" t="inlineStr">
        <is>
          <t>VÄSTERBOTTENS LÄN</t>
        </is>
      </c>
      <c r="E500" t="inlineStr">
        <is>
          <t>ROBERTSFORS</t>
        </is>
      </c>
      <c r="F500" t="inlineStr">
        <is>
          <t>Holmen skog AB</t>
        </is>
      </c>
      <c r="G500" t="n">
        <v>2.2</v>
      </c>
      <c r="H500" t="n">
        <v>2</v>
      </c>
      <c r="I500" t="n">
        <v>0</v>
      </c>
      <c r="J500" t="n">
        <v>0</v>
      </c>
      <c r="K500" t="n">
        <v>0</v>
      </c>
      <c r="L500" t="n">
        <v>0</v>
      </c>
      <c r="M500" t="n">
        <v>0</v>
      </c>
      <c r="N500" t="n">
        <v>0</v>
      </c>
      <c r="O500" t="n">
        <v>0</v>
      </c>
      <c r="P500" t="n">
        <v>0</v>
      </c>
      <c r="Q500" t="n">
        <v>2</v>
      </c>
      <c r="R500" s="2" t="inlineStr">
        <is>
          <t>Fläcknycklar
Revlummer</t>
        </is>
      </c>
      <c r="S500">
        <f>HYPERLINK("https://klasma.github.io/Logging_ROBERTSFORS/artfynd/A 36561-2023.xlsx", "A 36561-2023")</f>
        <v/>
      </c>
      <c r="T500">
        <f>HYPERLINK("https://klasma.github.io/Logging_ROBERTSFORS/kartor/A 36561-2023.png", "A 36561-2023")</f>
        <v/>
      </c>
      <c r="V500">
        <f>HYPERLINK("https://klasma.github.io/Logging_ROBERTSFORS/klagomål/A 36561-2023.docx", "A 36561-2023")</f>
        <v/>
      </c>
      <c r="W500">
        <f>HYPERLINK("https://klasma.github.io/Logging_ROBERTSFORS/klagomålsmail/A 36561-2023.docx", "A 36561-2023")</f>
        <v/>
      </c>
      <c r="X500">
        <f>HYPERLINK("https://klasma.github.io/Logging_ROBERTSFORS/tillsyn/A 36561-2023.docx", "A 36561-2023")</f>
        <v/>
      </c>
      <c r="Y500">
        <f>HYPERLINK("https://klasma.github.io/Logging_ROBERTSFORS/tillsynsmail/A 36561-2023.docx", "A 36561-2023")</f>
        <v/>
      </c>
    </row>
    <row r="501" ht="15" customHeight="1">
      <c r="A501" t="inlineStr">
        <is>
          <t>A 38062-2023</t>
        </is>
      </c>
      <c r="B501" s="1" t="n">
        <v>45159</v>
      </c>
      <c r="C501" s="1" t="n">
        <v>45204</v>
      </c>
      <c r="D501" t="inlineStr">
        <is>
          <t>VÄSTERBOTTENS LÄN</t>
        </is>
      </c>
      <c r="E501" t="inlineStr">
        <is>
          <t>VINDELN</t>
        </is>
      </c>
      <c r="G501" t="n">
        <v>11.7</v>
      </c>
      <c r="H501" t="n">
        <v>0</v>
      </c>
      <c r="I501" t="n">
        <v>1</v>
      </c>
      <c r="J501" t="n">
        <v>1</v>
      </c>
      <c r="K501" t="n">
        <v>0</v>
      </c>
      <c r="L501" t="n">
        <v>0</v>
      </c>
      <c r="M501" t="n">
        <v>0</v>
      </c>
      <c r="N501" t="n">
        <v>0</v>
      </c>
      <c r="O501" t="n">
        <v>1</v>
      </c>
      <c r="P501" t="n">
        <v>0</v>
      </c>
      <c r="Q501" t="n">
        <v>2</v>
      </c>
      <c r="R501" s="2" t="inlineStr">
        <is>
          <t>Scaphisoma subalpinum
Dorcatoma dresdensis</t>
        </is>
      </c>
      <c r="S501">
        <f>HYPERLINK("https://klasma.github.io/Logging_VINDELN/artfynd/A 38062-2023.xlsx", "A 38062-2023")</f>
        <v/>
      </c>
      <c r="T501">
        <f>HYPERLINK("https://klasma.github.io/Logging_VINDELN/kartor/A 38062-2023.png", "A 38062-2023")</f>
        <v/>
      </c>
      <c r="V501">
        <f>HYPERLINK("https://klasma.github.io/Logging_VINDELN/klagomål/A 38062-2023.docx", "A 38062-2023")</f>
        <v/>
      </c>
      <c r="W501">
        <f>HYPERLINK("https://klasma.github.io/Logging_VINDELN/klagomålsmail/A 38062-2023.docx", "A 38062-2023")</f>
        <v/>
      </c>
      <c r="X501">
        <f>HYPERLINK("https://klasma.github.io/Logging_VINDELN/tillsyn/A 38062-2023.docx", "A 38062-2023")</f>
        <v/>
      </c>
      <c r="Y501">
        <f>HYPERLINK("https://klasma.github.io/Logging_VINDELN/tillsynsmail/A 38062-2023.docx", "A 38062-2023")</f>
        <v/>
      </c>
    </row>
    <row r="502" ht="15" customHeight="1">
      <c r="A502" t="inlineStr">
        <is>
          <t>A 39826-2023</t>
        </is>
      </c>
      <c r="B502" s="1" t="n">
        <v>45168</v>
      </c>
      <c r="C502" s="1" t="n">
        <v>45204</v>
      </c>
      <c r="D502" t="inlineStr">
        <is>
          <t>VÄSTERBOTTENS LÄN</t>
        </is>
      </c>
      <c r="E502" t="inlineStr">
        <is>
          <t>ROBERTSFORS</t>
        </is>
      </c>
      <c r="F502" t="inlineStr">
        <is>
          <t>Holmen skog AB</t>
        </is>
      </c>
      <c r="G502" t="n">
        <v>5.1</v>
      </c>
      <c r="H502" t="n">
        <v>2</v>
      </c>
      <c r="I502" t="n">
        <v>0</v>
      </c>
      <c r="J502" t="n">
        <v>0</v>
      </c>
      <c r="K502" t="n">
        <v>0</v>
      </c>
      <c r="L502" t="n">
        <v>0</v>
      </c>
      <c r="M502" t="n">
        <v>0</v>
      </c>
      <c r="N502" t="n">
        <v>0</v>
      </c>
      <c r="O502" t="n">
        <v>0</v>
      </c>
      <c r="P502" t="n">
        <v>0</v>
      </c>
      <c r="Q502" t="n">
        <v>2</v>
      </c>
      <c r="R502" s="2" t="inlineStr">
        <is>
          <t>Fläcknycklar
Revlummer</t>
        </is>
      </c>
      <c r="S502">
        <f>HYPERLINK("https://klasma.github.io/Logging_ROBERTSFORS/artfynd/A 39826-2023.xlsx", "A 39826-2023")</f>
        <v/>
      </c>
      <c r="T502">
        <f>HYPERLINK("https://klasma.github.io/Logging_ROBERTSFORS/kartor/A 39826-2023.png", "A 39826-2023")</f>
        <v/>
      </c>
      <c r="V502">
        <f>HYPERLINK("https://klasma.github.io/Logging_ROBERTSFORS/klagomål/A 39826-2023.docx", "A 39826-2023")</f>
        <v/>
      </c>
      <c r="W502">
        <f>HYPERLINK("https://klasma.github.io/Logging_ROBERTSFORS/klagomålsmail/A 39826-2023.docx", "A 39826-2023")</f>
        <v/>
      </c>
      <c r="X502">
        <f>HYPERLINK("https://klasma.github.io/Logging_ROBERTSFORS/tillsyn/A 39826-2023.docx", "A 39826-2023")</f>
        <v/>
      </c>
      <c r="Y502">
        <f>HYPERLINK("https://klasma.github.io/Logging_ROBERTSFORS/tillsynsmail/A 39826-2023.docx", "A 39826-2023")</f>
        <v/>
      </c>
    </row>
    <row r="503" ht="15" customHeight="1">
      <c r="A503" t="inlineStr">
        <is>
          <t>A 40432-2023</t>
        </is>
      </c>
      <c r="B503" s="1" t="n">
        <v>45169</v>
      </c>
      <c r="C503" s="1" t="n">
        <v>45204</v>
      </c>
      <c r="D503" t="inlineStr">
        <is>
          <t>VÄSTERBOTTENS LÄN</t>
        </is>
      </c>
      <c r="E503" t="inlineStr">
        <is>
          <t>NORDMALING</t>
        </is>
      </c>
      <c r="F503" t="inlineStr">
        <is>
          <t>SCA</t>
        </is>
      </c>
      <c r="G503" t="n">
        <v>11.3</v>
      </c>
      <c r="H503" t="n">
        <v>0</v>
      </c>
      <c r="I503" t="n">
        <v>1</v>
      </c>
      <c r="J503" t="n">
        <v>1</v>
      </c>
      <c r="K503" t="n">
        <v>0</v>
      </c>
      <c r="L503" t="n">
        <v>0</v>
      </c>
      <c r="M503" t="n">
        <v>0</v>
      </c>
      <c r="N503" t="n">
        <v>0</v>
      </c>
      <c r="O503" t="n">
        <v>1</v>
      </c>
      <c r="P503" t="n">
        <v>0</v>
      </c>
      <c r="Q503" t="n">
        <v>2</v>
      </c>
      <c r="R503" s="2" t="inlineStr">
        <is>
          <t>Ullticka
Stor aspticka</t>
        </is>
      </c>
      <c r="S503">
        <f>HYPERLINK("https://klasma.github.io/Logging_NORDMALING/artfynd/A 40432-2023.xlsx", "A 40432-2023")</f>
        <v/>
      </c>
      <c r="T503">
        <f>HYPERLINK("https://klasma.github.io/Logging_NORDMALING/kartor/A 40432-2023.png", "A 40432-2023")</f>
        <v/>
      </c>
      <c r="V503">
        <f>HYPERLINK("https://klasma.github.io/Logging_NORDMALING/klagomål/A 40432-2023.docx", "A 40432-2023")</f>
        <v/>
      </c>
      <c r="W503">
        <f>HYPERLINK("https://klasma.github.io/Logging_NORDMALING/klagomålsmail/A 40432-2023.docx", "A 40432-2023")</f>
        <v/>
      </c>
      <c r="X503">
        <f>HYPERLINK("https://klasma.github.io/Logging_NORDMALING/tillsyn/A 40432-2023.docx", "A 40432-2023")</f>
        <v/>
      </c>
      <c r="Y503">
        <f>HYPERLINK("https://klasma.github.io/Logging_NORDMALING/tillsynsmail/A 40432-2023.docx", "A 40432-2023")</f>
        <v/>
      </c>
    </row>
    <row r="504" ht="15" customHeight="1">
      <c r="A504" t="inlineStr">
        <is>
          <t>A 43094-2023</t>
        </is>
      </c>
      <c r="B504" s="1" t="n">
        <v>45182</v>
      </c>
      <c r="C504" s="1" t="n">
        <v>45204</v>
      </c>
      <c r="D504" t="inlineStr">
        <is>
          <t>VÄSTERBOTTENS LÄN</t>
        </is>
      </c>
      <c r="E504" t="inlineStr">
        <is>
          <t>ROBERTSFORS</t>
        </is>
      </c>
      <c r="G504" t="n">
        <v>7.7</v>
      </c>
      <c r="H504" t="n">
        <v>2</v>
      </c>
      <c r="I504" t="n">
        <v>0</v>
      </c>
      <c r="J504" t="n">
        <v>2</v>
      </c>
      <c r="K504" t="n">
        <v>0</v>
      </c>
      <c r="L504" t="n">
        <v>0</v>
      </c>
      <c r="M504" t="n">
        <v>0</v>
      </c>
      <c r="N504" t="n">
        <v>0</v>
      </c>
      <c r="O504" t="n">
        <v>2</v>
      </c>
      <c r="P504" t="n">
        <v>0</v>
      </c>
      <c r="Q504" t="n">
        <v>2</v>
      </c>
      <c r="R504" s="2" t="inlineStr">
        <is>
          <t>Svartvit flugsnappare
Ärtsångare</t>
        </is>
      </c>
      <c r="S504">
        <f>HYPERLINK("https://klasma.github.io/Logging_ROBERTSFORS/artfynd/A 43094-2023.xlsx", "A 43094-2023")</f>
        <v/>
      </c>
      <c r="T504">
        <f>HYPERLINK("https://klasma.github.io/Logging_ROBERTSFORS/kartor/A 43094-2023.png", "A 43094-2023")</f>
        <v/>
      </c>
      <c r="V504">
        <f>HYPERLINK("https://klasma.github.io/Logging_ROBERTSFORS/klagomål/A 43094-2023.docx", "A 43094-2023")</f>
        <v/>
      </c>
      <c r="W504">
        <f>HYPERLINK("https://klasma.github.io/Logging_ROBERTSFORS/klagomålsmail/A 43094-2023.docx", "A 43094-2023")</f>
        <v/>
      </c>
      <c r="X504">
        <f>HYPERLINK("https://klasma.github.io/Logging_ROBERTSFORS/tillsyn/A 43094-2023.docx", "A 43094-2023")</f>
        <v/>
      </c>
      <c r="Y504">
        <f>HYPERLINK("https://klasma.github.io/Logging_ROBERTSFORS/tillsynsmail/A 43094-2023.docx", "A 43094-2023")</f>
        <v/>
      </c>
    </row>
    <row r="505" ht="15" customHeight="1">
      <c r="A505" t="inlineStr">
        <is>
          <t>A 37440-2018</t>
        </is>
      </c>
      <c r="B505" s="1" t="n">
        <v>43334</v>
      </c>
      <c r="C505" s="1" t="n">
        <v>45204</v>
      </c>
      <c r="D505" t="inlineStr">
        <is>
          <t>VÄSTERBOTTENS LÄN</t>
        </is>
      </c>
      <c r="E505" t="inlineStr">
        <is>
          <t>VINDELN</t>
        </is>
      </c>
      <c r="F505" t="inlineStr">
        <is>
          <t>Holmen skog AB</t>
        </is>
      </c>
      <c r="G505" t="n">
        <v>42.9</v>
      </c>
      <c r="H505" t="n">
        <v>0</v>
      </c>
      <c r="I505" t="n">
        <v>0</v>
      </c>
      <c r="J505" t="n">
        <v>1</v>
      </c>
      <c r="K505" t="n">
        <v>0</v>
      </c>
      <c r="L505" t="n">
        <v>0</v>
      </c>
      <c r="M505" t="n">
        <v>0</v>
      </c>
      <c r="N505" t="n">
        <v>0</v>
      </c>
      <c r="O505" t="n">
        <v>1</v>
      </c>
      <c r="P505" t="n">
        <v>0</v>
      </c>
      <c r="Q505" t="n">
        <v>1</v>
      </c>
      <c r="R505" s="2" t="inlineStr">
        <is>
          <t>Gränsticka</t>
        </is>
      </c>
      <c r="S505">
        <f>HYPERLINK("https://klasma.github.io/Logging_VINDELN/artfynd/A 37440-2018.xlsx", "A 37440-2018")</f>
        <v/>
      </c>
      <c r="T505">
        <f>HYPERLINK("https://klasma.github.io/Logging_VINDELN/kartor/A 37440-2018.png", "A 37440-2018")</f>
        <v/>
      </c>
      <c r="V505">
        <f>HYPERLINK("https://klasma.github.io/Logging_VINDELN/klagomål/A 37440-2018.docx", "A 37440-2018")</f>
        <v/>
      </c>
      <c r="W505">
        <f>HYPERLINK("https://klasma.github.io/Logging_VINDELN/klagomålsmail/A 37440-2018.docx", "A 37440-2018")</f>
        <v/>
      </c>
      <c r="X505">
        <f>HYPERLINK("https://klasma.github.io/Logging_VINDELN/tillsyn/A 37440-2018.docx", "A 37440-2018")</f>
        <v/>
      </c>
      <c r="Y505">
        <f>HYPERLINK("https://klasma.github.io/Logging_VINDELN/tillsynsmail/A 37440-2018.docx", "A 37440-2018")</f>
        <v/>
      </c>
    </row>
    <row r="506" ht="15" customHeight="1">
      <c r="A506" t="inlineStr">
        <is>
          <t>A 52409-2018</t>
        </is>
      </c>
      <c r="B506" s="1" t="n">
        <v>43388</v>
      </c>
      <c r="C506" s="1" t="n">
        <v>45204</v>
      </c>
      <c r="D506" t="inlineStr">
        <is>
          <t>VÄSTERBOTTENS LÄN</t>
        </is>
      </c>
      <c r="E506" t="inlineStr">
        <is>
          <t>DOROTEA</t>
        </is>
      </c>
      <c r="G506" t="n">
        <v>9.300000000000001</v>
      </c>
      <c r="H506" t="n">
        <v>1</v>
      </c>
      <c r="I506" t="n">
        <v>1</v>
      </c>
      <c r="J506" t="n">
        <v>0</v>
      </c>
      <c r="K506" t="n">
        <v>0</v>
      </c>
      <c r="L506" t="n">
        <v>0</v>
      </c>
      <c r="M506" t="n">
        <v>0</v>
      </c>
      <c r="N506" t="n">
        <v>0</v>
      </c>
      <c r="O506" t="n">
        <v>0</v>
      </c>
      <c r="P506" t="n">
        <v>0</v>
      </c>
      <c r="Q506" t="n">
        <v>1</v>
      </c>
      <c r="R506" s="2" t="inlineStr">
        <is>
          <t>Lappranunkel</t>
        </is>
      </c>
      <c r="S506">
        <f>HYPERLINK("https://klasma.github.io/Logging_DOROTEA/artfynd/A 52409-2018.xlsx", "A 52409-2018")</f>
        <v/>
      </c>
      <c r="T506">
        <f>HYPERLINK("https://klasma.github.io/Logging_DOROTEA/kartor/A 52409-2018.png", "A 52409-2018")</f>
        <v/>
      </c>
      <c r="V506">
        <f>HYPERLINK("https://klasma.github.io/Logging_DOROTEA/klagomål/A 52409-2018.docx", "A 52409-2018")</f>
        <v/>
      </c>
      <c r="W506">
        <f>HYPERLINK("https://klasma.github.io/Logging_DOROTEA/klagomålsmail/A 52409-2018.docx", "A 52409-2018")</f>
        <v/>
      </c>
      <c r="X506">
        <f>HYPERLINK("https://klasma.github.io/Logging_DOROTEA/tillsyn/A 52409-2018.docx", "A 52409-2018")</f>
        <v/>
      </c>
      <c r="Y506">
        <f>HYPERLINK("https://klasma.github.io/Logging_DOROTEA/tillsynsmail/A 52409-2018.docx", "A 52409-2018")</f>
        <v/>
      </c>
    </row>
    <row r="507" ht="15" customHeight="1">
      <c r="A507" t="inlineStr">
        <is>
          <t>A 57907-2018</t>
        </is>
      </c>
      <c r="B507" s="1" t="n">
        <v>43397</v>
      </c>
      <c r="C507" s="1" t="n">
        <v>45204</v>
      </c>
      <c r="D507" t="inlineStr">
        <is>
          <t>VÄSTERBOTTENS LÄN</t>
        </is>
      </c>
      <c r="E507" t="inlineStr">
        <is>
          <t>NORDMALING</t>
        </is>
      </c>
      <c r="G507" t="n">
        <v>0.7</v>
      </c>
      <c r="H507" t="n">
        <v>0</v>
      </c>
      <c r="I507" t="n">
        <v>0</v>
      </c>
      <c r="J507" t="n">
        <v>1</v>
      </c>
      <c r="K507" t="n">
        <v>0</v>
      </c>
      <c r="L507" t="n">
        <v>0</v>
      </c>
      <c r="M507" t="n">
        <v>0</v>
      </c>
      <c r="N507" t="n">
        <v>0</v>
      </c>
      <c r="O507" t="n">
        <v>1</v>
      </c>
      <c r="P507" t="n">
        <v>0</v>
      </c>
      <c r="Q507" t="n">
        <v>1</v>
      </c>
      <c r="R507" s="2" t="inlineStr">
        <is>
          <t>Doftskinn</t>
        </is>
      </c>
      <c r="S507">
        <f>HYPERLINK("https://klasma.github.io/Logging_NORDMALING/artfynd/A 57907-2018.xlsx", "A 57907-2018")</f>
        <v/>
      </c>
      <c r="T507">
        <f>HYPERLINK("https://klasma.github.io/Logging_NORDMALING/kartor/A 57907-2018.png", "A 57907-2018")</f>
        <v/>
      </c>
      <c r="V507">
        <f>HYPERLINK("https://klasma.github.io/Logging_NORDMALING/klagomål/A 57907-2018.docx", "A 57907-2018")</f>
        <v/>
      </c>
      <c r="W507">
        <f>HYPERLINK("https://klasma.github.io/Logging_NORDMALING/klagomålsmail/A 57907-2018.docx", "A 57907-2018")</f>
        <v/>
      </c>
      <c r="X507">
        <f>HYPERLINK("https://klasma.github.io/Logging_NORDMALING/tillsyn/A 57907-2018.docx", "A 57907-2018")</f>
        <v/>
      </c>
      <c r="Y507">
        <f>HYPERLINK("https://klasma.github.io/Logging_NORDMALING/tillsynsmail/A 57907-2018.docx", "A 57907-2018")</f>
        <v/>
      </c>
    </row>
    <row r="508" ht="15" customHeight="1">
      <c r="A508" t="inlineStr">
        <is>
          <t>A 65202-2018</t>
        </is>
      </c>
      <c r="B508" s="1" t="n">
        <v>43423</v>
      </c>
      <c r="C508" s="1" t="n">
        <v>45204</v>
      </c>
      <c r="D508" t="inlineStr">
        <is>
          <t>VÄSTERBOTTENS LÄN</t>
        </is>
      </c>
      <c r="E508" t="inlineStr">
        <is>
          <t>SKELLEFTEÅ</t>
        </is>
      </c>
      <c r="G508" t="n">
        <v>4.7</v>
      </c>
      <c r="H508" t="n">
        <v>1</v>
      </c>
      <c r="I508" t="n">
        <v>0</v>
      </c>
      <c r="J508" t="n">
        <v>0</v>
      </c>
      <c r="K508" t="n">
        <v>0</v>
      </c>
      <c r="L508" t="n">
        <v>0</v>
      </c>
      <c r="M508" t="n">
        <v>0</v>
      </c>
      <c r="N508" t="n">
        <v>0</v>
      </c>
      <c r="O508" t="n">
        <v>0</v>
      </c>
      <c r="P508" t="n">
        <v>0</v>
      </c>
      <c r="Q508" t="n">
        <v>1</v>
      </c>
      <c r="R508" s="2" t="inlineStr">
        <is>
          <t>Fläcknycklar</t>
        </is>
      </c>
      <c r="S508">
        <f>HYPERLINK("https://klasma.github.io/Logging_SKELLEFTEA/artfynd/A 65202-2018.xlsx", "A 65202-2018")</f>
        <v/>
      </c>
      <c r="T508">
        <f>HYPERLINK("https://klasma.github.io/Logging_SKELLEFTEA/kartor/A 65202-2018.png", "A 65202-2018")</f>
        <v/>
      </c>
      <c r="V508">
        <f>HYPERLINK("https://klasma.github.io/Logging_SKELLEFTEA/klagomål/A 65202-2018.docx", "A 65202-2018")</f>
        <v/>
      </c>
      <c r="W508">
        <f>HYPERLINK("https://klasma.github.io/Logging_SKELLEFTEA/klagomålsmail/A 65202-2018.docx", "A 65202-2018")</f>
        <v/>
      </c>
      <c r="X508">
        <f>HYPERLINK("https://klasma.github.io/Logging_SKELLEFTEA/tillsyn/A 65202-2018.docx", "A 65202-2018")</f>
        <v/>
      </c>
      <c r="Y508">
        <f>HYPERLINK("https://klasma.github.io/Logging_SKELLEFTEA/tillsynsmail/A 65202-2018.docx", "A 65202-2018")</f>
        <v/>
      </c>
    </row>
    <row r="509" ht="15" customHeight="1">
      <c r="A509" t="inlineStr">
        <is>
          <t>A 63642-2018</t>
        </is>
      </c>
      <c r="B509" s="1" t="n">
        <v>43427</v>
      </c>
      <c r="C509" s="1" t="n">
        <v>45204</v>
      </c>
      <c r="D509" t="inlineStr">
        <is>
          <t>VÄSTERBOTTENS LÄN</t>
        </is>
      </c>
      <c r="E509" t="inlineStr">
        <is>
          <t>ÅSELE</t>
        </is>
      </c>
      <c r="G509" t="n">
        <v>8.800000000000001</v>
      </c>
      <c r="H509" t="n">
        <v>0</v>
      </c>
      <c r="I509" t="n">
        <v>0</v>
      </c>
      <c r="J509" t="n">
        <v>1</v>
      </c>
      <c r="K509" t="n">
        <v>0</v>
      </c>
      <c r="L509" t="n">
        <v>0</v>
      </c>
      <c r="M509" t="n">
        <v>0</v>
      </c>
      <c r="N509" t="n">
        <v>0</v>
      </c>
      <c r="O509" t="n">
        <v>1</v>
      </c>
      <c r="P509" t="n">
        <v>0</v>
      </c>
      <c r="Q509" t="n">
        <v>1</v>
      </c>
      <c r="R509" s="2" t="inlineStr">
        <is>
          <t>Rosenticka</t>
        </is>
      </c>
      <c r="S509">
        <f>HYPERLINK("https://klasma.github.io/Logging_ASELE/artfynd/A 63642-2018.xlsx", "A 63642-2018")</f>
        <v/>
      </c>
      <c r="T509">
        <f>HYPERLINK("https://klasma.github.io/Logging_ASELE/kartor/A 63642-2018.png", "A 63642-2018")</f>
        <v/>
      </c>
      <c r="V509">
        <f>HYPERLINK("https://klasma.github.io/Logging_ASELE/klagomål/A 63642-2018.docx", "A 63642-2018")</f>
        <v/>
      </c>
      <c r="W509">
        <f>HYPERLINK("https://klasma.github.io/Logging_ASELE/klagomålsmail/A 63642-2018.docx", "A 63642-2018")</f>
        <v/>
      </c>
      <c r="X509">
        <f>HYPERLINK("https://klasma.github.io/Logging_ASELE/tillsyn/A 63642-2018.docx", "A 63642-2018")</f>
        <v/>
      </c>
      <c r="Y509">
        <f>HYPERLINK("https://klasma.github.io/Logging_ASELE/tillsynsmail/A 63642-2018.docx", "A 63642-2018")</f>
        <v/>
      </c>
    </row>
    <row r="510" ht="15" customHeight="1">
      <c r="A510" t="inlineStr">
        <is>
          <t>A 65152-2018</t>
        </is>
      </c>
      <c r="B510" s="1" t="n">
        <v>43432</v>
      </c>
      <c r="C510" s="1" t="n">
        <v>45204</v>
      </c>
      <c r="D510" t="inlineStr">
        <is>
          <t>VÄSTERBOTTENS LÄN</t>
        </is>
      </c>
      <c r="E510" t="inlineStr">
        <is>
          <t>SORSELE</t>
        </is>
      </c>
      <c r="F510" t="inlineStr">
        <is>
          <t>Sveaskog</t>
        </is>
      </c>
      <c r="G510" t="n">
        <v>4.1</v>
      </c>
      <c r="H510" t="n">
        <v>0</v>
      </c>
      <c r="I510" t="n">
        <v>0</v>
      </c>
      <c r="J510" t="n">
        <v>1</v>
      </c>
      <c r="K510" t="n">
        <v>0</v>
      </c>
      <c r="L510" t="n">
        <v>0</v>
      </c>
      <c r="M510" t="n">
        <v>0</v>
      </c>
      <c r="N510" t="n">
        <v>0</v>
      </c>
      <c r="O510" t="n">
        <v>1</v>
      </c>
      <c r="P510" t="n">
        <v>0</v>
      </c>
      <c r="Q510" t="n">
        <v>1</v>
      </c>
      <c r="R510" s="2" t="inlineStr">
        <is>
          <t>Gammelgransskål</t>
        </is>
      </c>
      <c r="S510">
        <f>HYPERLINK("https://klasma.github.io/Logging_SORSELE/artfynd/A 65152-2018.xlsx", "A 65152-2018")</f>
        <v/>
      </c>
      <c r="T510">
        <f>HYPERLINK("https://klasma.github.io/Logging_SORSELE/kartor/A 65152-2018.png", "A 65152-2018")</f>
        <v/>
      </c>
      <c r="V510">
        <f>HYPERLINK("https://klasma.github.io/Logging_SORSELE/klagomål/A 65152-2018.docx", "A 65152-2018")</f>
        <v/>
      </c>
      <c r="W510">
        <f>HYPERLINK("https://klasma.github.io/Logging_SORSELE/klagomålsmail/A 65152-2018.docx", "A 65152-2018")</f>
        <v/>
      </c>
      <c r="X510">
        <f>HYPERLINK("https://klasma.github.io/Logging_SORSELE/tillsyn/A 65152-2018.docx", "A 65152-2018")</f>
        <v/>
      </c>
      <c r="Y510">
        <f>HYPERLINK("https://klasma.github.io/Logging_SORSELE/tillsynsmail/A 65152-2018.docx", "A 65152-2018")</f>
        <v/>
      </c>
    </row>
    <row r="511" ht="15" customHeight="1">
      <c r="A511" t="inlineStr">
        <is>
          <t>A 65167-2018</t>
        </is>
      </c>
      <c r="B511" s="1" t="n">
        <v>43432</v>
      </c>
      <c r="C511" s="1" t="n">
        <v>45204</v>
      </c>
      <c r="D511" t="inlineStr">
        <is>
          <t>VÄSTERBOTTENS LÄN</t>
        </is>
      </c>
      <c r="E511" t="inlineStr">
        <is>
          <t>SKELLEFTEÅ</t>
        </is>
      </c>
      <c r="F511" t="inlineStr">
        <is>
          <t>Sveaskog</t>
        </is>
      </c>
      <c r="G511" t="n">
        <v>3.6</v>
      </c>
      <c r="H511" t="n">
        <v>0</v>
      </c>
      <c r="I511" t="n">
        <v>0</v>
      </c>
      <c r="J511" t="n">
        <v>1</v>
      </c>
      <c r="K511" t="n">
        <v>0</v>
      </c>
      <c r="L511" t="n">
        <v>0</v>
      </c>
      <c r="M511" t="n">
        <v>0</v>
      </c>
      <c r="N511" t="n">
        <v>0</v>
      </c>
      <c r="O511" t="n">
        <v>1</v>
      </c>
      <c r="P511" t="n">
        <v>0</v>
      </c>
      <c r="Q511" t="n">
        <v>1</v>
      </c>
      <c r="R511" s="2" t="inlineStr">
        <is>
          <t>Lunglav</t>
        </is>
      </c>
      <c r="S511">
        <f>HYPERLINK("https://klasma.github.io/Logging_SKELLEFTEA/artfynd/A 65167-2018.xlsx", "A 65167-2018")</f>
        <v/>
      </c>
      <c r="T511">
        <f>HYPERLINK("https://klasma.github.io/Logging_SKELLEFTEA/kartor/A 65167-2018.png", "A 65167-2018")</f>
        <v/>
      </c>
      <c r="V511">
        <f>HYPERLINK("https://klasma.github.io/Logging_SKELLEFTEA/klagomål/A 65167-2018.docx", "A 65167-2018")</f>
        <v/>
      </c>
      <c r="W511">
        <f>HYPERLINK("https://klasma.github.io/Logging_SKELLEFTEA/klagomålsmail/A 65167-2018.docx", "A 65167-2018")</f>
        <v/>
      </c>
      <c r="X511">
        <f>HYPERLINK("https://klasma.github.io/Logging_SKELLEFTEA/tillsyn/A 65167-2018.docx", "A 65167-2018")</f>
        <v/>
      </c>
      <c r="Y511">
        <f>HYPERLINK("https://klasma.github.io/Logging_SKELLEFTEA/tillsynsmail/A 65167-2018.docx", "A 65167-2018")</f>
        <v/>
      </c>
    </row>
    <row r="512" ht="15" customHeight="1">
      <c r="A512" t="inlineStr">
        <is>
          <t>A 65790-2018</t>
        </is>
      </c>
      <c r="B512" s="1" t="n">
        <v>43433</v>
      </c>
      <c r="C512" s="1" t="n">
        <v>45204</v>
      </c>
      <c r="D512" t="inlineStr">
        <is>
          <t>VÄSTERBOTTENS LÄN</t>
        </is>
      </c>
      <c r="E512" t="inlineStr">
        <is>
          <t>NORSJÖ</t>
        </is>
      </c>
      <c r="G512" t="n">
        <v>20.4</v>
      </c>
      <c r="H512" t="n">
        <v>0</v>
      </c>
      <c r="I512" t="n">
        <v>0</v>
      </c>
      <c r="J512" t="n">
        <v>1</v>
      </c>
      <c r="K512" t="n">
        <v>0</v>
      </c>
      <c r="L512" t="n">
        <v>0</v>
      </c>
      <c r="M512" t="n">
        <v>0</v>
      </c>
      <c r="N512" t="n">
        <v>0</v>
      </c>
      <c r="O512" t="n">
        <v>1</v>
      </c>
      <c r="P512" t="n">
        <v>0</v>
      </c>
      <c r="Q512" t="n">
        <v>1</v>
      </c>
      <c r="R512" s="2" t="inlineStr">
        <is>
          <t>Garnlav</t>
        </is>
      </c>
      <c r="S512">
        <f>HYPERLINK("https://klasma.github.io/Logging_NORSJO/artfynd/A 65790-2018.xlsx", "A 65790-2018")</f>
        <v/>
      </c>
      <c r="T512">
        <f>HYPERLINK("https://klasma.github.io/Logging_NORSJO/kartor/A 65790-2018.png", "A 65790-2018")</f>
        <v/>
      </c>
      <c r="V512">
        <f>HYPERLINK("https://klasma.github.io/Logging_NORSJO/klagomål/A 65790-2018.docx", "A 65790-2018")</f>
        <v/>
      </c>
      <c r="W512">
        <f>HYPERLINK("https://klasma.github.io/Logging_NORSJO/klagomålsmail/A 65790-2018.docx", "A 65790-2018")</f>
        <v/>
      </c>
      <c r="X512">
        <f>HYPERLINK("https://klasma.github.io/Logging_NORSJO/tillsyn/A 65790-2018.docx", "A 65790-2018")</f>
        <v/>
      </c>
      <c r="Y512">
        <f>HYPERLINK("https://klasma.github.io/Logging_NORSJO/tillsynsmail/A 65790-2018.docx", "A 65790-2018")</f>
        <v/>
      </c>
    </row>
    <row r="513" ht="15" customHeight="1">
      <c r="A513" t="inlineStr">
        <is>
          <t>A 72110-2018</t>
        </is>
      </c>
      <c r="B513" s="1" t="n">
        <v>43439</v>
      </c>
      <c r="C513" s="1" t="n">
        <v>45204</v>
      </c>
      <c r="D513" t="inlineStr">
        <is>
          <t>VÄSTERBOTTENS LÄN</t>
        </is>
      </c>
      <c r="E513" t="inlineStr">
        <is>
          <t>ÅSELE</t>
        </is>
      </c>
      <c r="F513" t="inlineStr">
        <is>
          <t>Kommuner</t>
        </is>
      </c>
      <c r="G513" t="n">
        <v>3.4</v>
      </c>
      <c r="H513" t="n">
        <v>0</v>
      </c>
      <c r="I513" t="n">
        <v>0</v>
      </c>
      <c r="J513" t="n">
        <v>1</v>
      </c>
      <c r="K513" t="n">
        <v>0</v>
      </c>
      <c r="L513" t="n">
        <v>0</v>
      </c>
      <c r="M513" t="n">
        <v>0</v>
      </c>
      <c r="N513" t="n">
        <v>0</v>
      </c>
      <c r="O513" t="n">
        <v>1</v>
      </c>
      <c r="P513" t="n">
        <v>0</v>
      </c>
      <c r="Q513" t="n">
        <v>1</v>
      </c>
      <c r="R513" s="2" t="inlineStr">
        <is>
          <t>Garnlav</t>
        </is>
      </c>
      <c r="S513">
        <f>HYPERLINK("https://klasma.github.io/Logging_ASELE/artfynd/A 72110-2018.xlsx", "A 72110-2018")</f>
        <v/>
      </c>
      <c r="T513">
        <f>HYPERLINK("https://klasma.github.io/Logging_ASELE/kartor/A 72110-2018.png", "A 72110-2018")</f>
        <v/>
      </c>
      <c r="V513">
        <f>HYPERLINK("https://klasma.github.io/Logging_ASELE/klagomål/A 72110-2018.docx", "A 72110-2018")</f>
        <v/>
      </c>
      <c r="W513">
        <f>HYPERLINK("https://klasma.github.io/Logging_ASELE/klagomålsmail/A 72110-2018.docx", "A 72110-2018")</f>
        <v/>
      </c>
      <c r="X513">
        <f>HYPERLINK("https://klasma.github.io/Logging_ASELE/tillsyn/A 72110-2018.docx", "A 72110-2018")</f>
        <v/>
      </c>
      <c r="Y513">
        <f>HYPERLINK("https://klasma.github.io/Logging_ASELE/tillsynsmail/A 72110-2018.docx", "A 72110-2018")</f>
        <v/>
      </c>
    </row>
    <row r="514" ht="15" customHeight="1">
      <c r="A514" t="inlineStr">
        <is>
          <t>A 68072-2018</t>
        </is>
      </c>
      <c r="B514" s="1" t="n">
        <v>43441</v>
      </c>
      <c r="C514" s="1" t="n">
        <v>45204</v>
      </c>
      <c r="D514" t="inlineStr">
        <is>
          <t>VÄSTERBOTTENS LÄN</t>
        </is>
      </c>
      <c r="E514" t="inlineStr">
        <is>
          <t>SKELLEFTEÅ</t>
        </is>
      </c>
      <c r="G514" t="n">
        <v>25.1</v>
      </c>
      <c r="H514" t="n">
        <v>0</v>
      </c>
      <c r="I514" t="n">
        <v>0</v>
      </c>
      <c r="J514" t="n">
        <v>0</v>
      </c>
      <c r="K514" t="n">
        <v>0</v>
      </c>
      <c r="L514" t="n">
        <v>1</v>
      </c>
      <c r="M514" t="n">
        <v>0</v>
      </c>
      <c r="N514" t="n">
        <v>0</v>
      </c>
      <c r="O514" t="n">
        <v>1</v>
      </c>
      <c r="P514" t="n">
        <v>1</v>
      </c>
      <c r="Q514" t="n">
        <v>1</v>
      </c>
      <c r="R514" s="2" t="inlineStr">
        <is>
          <t>Flodpärlmussla</t>
        </is>
      </c>
      <c r="S514">
        <f>HYPERLINK("https://klasma.github.io/Logging_SKELLEFTEA/artfynd/A 68072-2018.xlsx", "A 68072-2018")</f>
        <v/>
      </c>
      <c r="T514">
        <f>HYPERLINK("https://klasma.github.io/Logging_SKELLEFTEA/kartor/A 68072-2018.png", "A 68072-2018")</f>
        <v/>
      </c>
      <c r="V514">
        <f>HYPERLINK("https://klasma.github.io/Logging_SKELLEFTEA/klagomål/A 68072-2018.docx", "A 68072-2018")</f>
        <v/>
      </c>
      <c r="W514">
        <f>HYPERLINK("https://klasma.github.io/Logging_SKELLEFTEA/klagomålsmail/A 68072-2018.docx", "A 68072-2018")</f>
        <v/>
      </c>
      <c r="X514">
        <f>HYPERLINK("https://klasma.github.io/Logging_SKELLEFTEA/tillsyn/A 68072-2018.docx", "A 68072-2018")</f>
        <v/>
      </c>
      <c r="Y514">
        <f>HYPERLINK("https://klasma.github.io/Logging_SKELLEFTEA/tillsynsmail/A 68072-2018.docx", "A 68072-2018")</f>
        <v/>
      </c>
    </row>
    <row r="515" ht="15" customHeight="1">
      <c r="A515" t="inlineStr">
        <is>
          <t>A 68353-2018</t>
        </is>
      </c>
      <c r="B515" s="1" t="n">
        <v>43441</v>
      </c>
      <c r="C515" s="1" t="n">
        <v>45204</v>
      </c>
      <c r="D515" t="inlineStr">
        <is>
          <t>VÄSTERBOTTENS LÄN</t>
        </is>
      </c>
      <c r="E515" t="inlineStr">
        <is>
          <t>BJURHOLM</t>
        </is>
      </c>
      <c r="G515" t="n">
        <v>0.6</v>
      </c>
      <c r="H515" t="n">
        <v>0</v>
      </c>
      <c r="I515" t="n">
        <v>0</v>
      </c>
      <c r="J515" t="n">
        <v>1</v>
      </c>
      <c r="K515" t="n">
        <v>0</v>
      </c>
      <c r="L515" t="n">
        <v>0</v>
      </c>
      <c r="M515" t="n">
        <v>0</v>
      </c>
      <c r="N515" t="n">
        <v>0</v>
      </c>
      <c r="O515" t="n">
        <v>1</v>
      </c>
      <c r="P515" t="n">
        <v>0</v>
      </c>
      <c r="Q515" t="n">
        <v>1</v>
      </c>
      <c r="R515" s="2" t="inlineStr">
        <is>
          <t>Ullticka</t>
        </is>
      </c>
      <c r="S515">
        <f>HYPERLINK("https://klasma.github.io/Logging_BJURHOLM/artfynd/A 68353-2018.xlsx", "A 68353-2018")</f>
        <v/>
      </c>
      <c r="T515">
        <f>HYPERLINK("https://klasma.github.io/Logging_BJURHOLM/kartor/A 68353-2018.png", "A 68353-2018")</f>
        <v/>
      </c>
      <c r="V515">
        <f>HYPERLINK("https://klasma.github.io/Logging_BJURHOLM/klagomål/A 68353-2018.docx", "A 68353-2018")</f>
        <v/>
      </c>
      <c r="W515">
        <f>HYPERLINK("https://klasma.github.io/Logging_BJURHOLM/klagomålsmail/A 68353-2018.docx", "A 68353-2018")</f>
        <v/>
      </c>
      <c r="X515">
        <f>HYPERLINK("https://klasma.github.io/Logging_BJURHOLM/tillsyn/A 68353-2018.docx", "A 68353-2018")</f>
        <v/>
      </c>
      <c r="Y515">
        <f>HYPERLINK("https://klasma.github.io/Logging_BJURHOLM/tillsynsmail/A 68353-2018.docx", "A 68353-2018")</f>
        <v/>
      </c>
    </row>
    <row r="516" ht="15" customHeight="1">
      <c r="A516" t="inlineStr">
        <is>
          <t>A 68368-2018</t>
        </is>
      </c>
      <c r="B516" s="1" t="n">
        <v>43441</v>
      </c>
      <c r="C516" s="1" t="n">
        <v>45204</v>
      </c>
      <c r="D516" t="inlineStr">
        <is>
          <t>VÄSTERBOTTENS LÄN</t>
        </is>
      </c>
      <c r="E516" t="inlineStr">
        <is>
          <t>VINDELN</t>
        </is>
      </c>
      <c r="F516" t="inlineStr">
        <is>
          <t>SCA</t>
        </is>
      </c>
      <c r="G516" t="n">
        <v>5.2</v>
      </c>
      <c r="H516" t="n">
        <v>0</v>
      </c>
      <c r="I516" t="n">
        <v>0</v>
      </c>
      <c r="J516" t="n">
        <v>1</v>
      </c>
      <c r="K516" t="n">
        <v>0</v>
      </c>
      <c r="L516" t="n">
        <v>0</v>
      </c>
      <c r="M516" t="n">
        <v>0</v>
      </c>
      <c r="N516" t="n">
        <v>0</v>
      </c>
      <c r="O516" t="n">
        <v>1</v>
      </c>
      <c r="P516" t="n">
        <v>0</v>
      </c>
      <c r="Q516" t="n">
        <v>1</v>
      </c>
      <c r="R516" s="2" t="inlineStr">
        <is>
          <t>Kolflarnlav</t>
        </is>
      </c>
      <c r="S516">
        <f>HYPERLINK("https://klasma.github.io/Logging_VINDELN/artfynd/A 68368-2018.xlsx", "A 68368-2018")</f>
        <v/>
      </c>
      <c r="T516">
        <f>HYPERLINK("https://klasma.github.io/Logging_VINDELN/kartor/A 68368-2018.png", "A 68368-2018")</f>
        <v/>
      </c>
      <c r="V516">
        <f>HYPERLINK("https://klasma.github.io/Logging_VINDELN/klagomål/A 68368-2018.docx", "A 68368-2018")</f>
        <v/>
      </c>
      <c r="W516">
        <f>HYPERLINK("https://klasma.github.io/Logging_VINDELN/klagomålsmail/A 68368-2018.docx", "A 68368-2018")</f>
        <v/>
      </c>
      <c r="X516">
        <f>HYPERLINK("https://klasma.github.io/Logging_VINDELN/tillsyn/A 68368-2018.docx", "A 68368-2018")</f>
        <v/>
      </c>
      <c r="Y516">
        <f>HYPERLINK("https://klasma.github.io/Logging_VINDELN/tillsynsmail/A 68368-2018.docx", "A 68368-2018")</f>
        <v/>
      </c>
    </row>
    <row r="517" ht="15" customHeight="1">
      <c r="A517" t="inlineStr">
        <is>
          <t>A 69786-2018</t>
        </is>
      </c>
      <c r="B517" s="1" t="n">
        <v>43444</v>
      </c>
      <c r="C517" s="1" t="n">
        <v>45204</v>
      </c>
      <c r="D517" t="inlineStr">
        <is>
          <t>VÄSTERBOTTENS LÄN</t>
        </is>
      </c>
      <c r="E517" t="inlineStr">
        <is>
          <t>VINDELN</t>
        </is>
      </c>
      <c r="G517" t="n">
        <v>5.5</v>
      </c>
      <c r="H517" t="n">
        <v>0</v>
      </c>
      <c r="I517" t="n">
        <v>1</v>
      </c>
      <c r="J517" t="n">
        <v>0</v>
      </c>
      <c r="K517" t="n">
        <v>0</v>
      </c>
      <c r="L517" t="n">
        <v>0</v>
      </c>
      <c r="M517" t="n">
        <v>0</v>
      </c>
      <c r="N517" t="n">
        <v>0</v>
      </c>
      <c r="O517" t="n">
        <v>0</v>
      </c>
      <c r="P517" t="n">
        <v>0</v>
      </c>
      <c r="Q517" t="n">
        <v>1</v>
      </c>
      <c r="R517" s="2" t="inlineStr">
        <is>
          <t>Nästlav</t>
        </is>
      </c>
      <c r="S517">
        <f>HYPERLINK("https://klasma.github.io/Logging_VINDELN/artfynd/A 69786-2018.xlsx", "A 69786-2018")</f>
        <v/>
      </c>
      <c r="T517">
        <f>HYPERLINK("https://klasma.github.io/Logging_VINDELN/kartor/A 69786-2018.png", "A 69786-2018")</f>
        <v/>
      </c>
      <c r="V517">
        <f>HYPERLINK("https://klasma.github.io/Logging_VINDELN/klagomål/A 69786-2018.docx", "A 69786-2018")</f>
        <v/>
      </c>
      <c r="W517">
        <f>HYPERLINK("https://klasma.github.io/Logging_VINDELN/klagomålsmail/A 69786-2018.docx", "A 69786-2018")</f>
        <v/>
      </c>
      <c r="X517">
        <f>HYPERLINK("https://klasma.github.io/Logging_VINDELN/tillsyn/A 69786-2018.docx", "A 69786-2018")</f>
        <v/>
      </c>
      <c r="Y517">
        <f>HYPERLINK("https://klasma.github.io/Logging_VINDELN/tillsynsmail/A 69786-2018.docx", "A 69786-2018")</f>
        <v/>
      </c>
    </row>
    <row r="518" ht="15" customHeight="1">
      <c r="A518" t="inlineStr">
        <is>
          <t>A 4489-2019</t>
        </is>
      </c>
      <c r="B518" s="1" t="n">
        <v>43479</v>
      </c>
      <c r="C518" s="1" t="n">
        <v>45204</v>
      </c>
      <c r="D518" t="inlineStr">
        <is>
          <t>VÄSTERBOTTENS LÄN</t>
        </is>
      </c>
      <c r="E518" t="inlineStr">
        <is>
          <t>UMEÅ</t>
        </is>
      </c>
      <c r="G518" t="n">
        <v>6.1</v>
      </c>
      <c r="H518" t="n">
        <v>0</v>
      </c>
      <c r="I518" t="n">
        <v>0</v>
      </c>
      <c r="J518" t="n">
        <v>1</v>
      </c>
      <c r="K518" t="n">
        <v>0</v>
      </c>
      <c r="L518" t="n">
        <v>0</v>
      </c>
      <c r="M518" t="n">
        <v>0</v>
      </c>
      <c r="N518" t="n">
        <v>0</v>
      </c>
      <c r="O518" t="n">
        <v>1</v>
      </c>
      <c r="P518" t="n">
        <v>0</v>
      </c>
      <c r="Q518" t="n">
        <v>1</v>
      </c>
      <c r="R518" s="2" t="inlineStr">
        <is>
          <t>Violettgrå tagellav</t>
        </is>
      </c>
      <c r="S518">
        <f>HYPERLINK("https://klasma.github.io/Logging_UMEA/artfynd/A 4489-2019.xlsx", "A 4489-2019")</f>
        <v/>
      </c>
      <c r="T518">
        <f>HYPERLINK("https://klasma.github.io/Logging_UMEA/kartor/A 4489-2019.png", "A 4489-2019")</f>
        <v/>
      </c>
      <c r="V518">
        <f>HYPERLINK("https://klasma.github.io/Logging_UMEA/klagomål/A 4489-2019.docx", "A 4489-2019")</f>
        <v/>
      </c>
      <c r="W518">
        <f>HYPERLINK("https://klasma.github.io/Logging_UMEA/klagomålsmail/A 4489-2019.docx", "A 4489-2019")</f>
        <v/>
      </c>
      <c r="X518">
        <f>HYPERLINK("https://klasma.github.io/Logging_UMEA/tillsyn/A 4489-2019.docx", "A 4489-2019")</f>
        <v/>
      </c>
      <c r="Y518">
        <f>HYPERLINK("https://klasma.github.io/Logging_UMEA/tillsynsmail/A 4489-2019.docx", "A 4489-2019")</f>
        <v/>
      </c>
    </row>
    <row r="519" ht="15" customHeight="1">
      <c r="A519" t="inlineStr">
        <is>
          <t>A 4641-2019</t>
        </is>
      </c>
      <c r="B519" s="1" t="n">
        <v>43479</v>
      </c>
      <c r="C519" s="1" t="n">
        <v>45204</v>
      </c>
      <c r="D519" t="inlineStr">
        <is>
          <t>VÄSTERBOTTENS LÄN</t>
        </is>
      </c>
      <c r="E519" t="inlineStr">
        <is>
          <t>SKELLEFTEÅ</t>
        </is>
      </c>
      <c r="G519" t="n">
        <v>3.1</v>
      </c>
      <c r="H519" t="n">
        <v>1</v>
      </c>
      <c r="I519" t="n">
        <v>0</v>
      </c>
      <c r="J519" t="n">
        <v>0</v>
      </c>
      <c r="K519" t="n">
        <v>0</v>
      </c>
      <c r="L519" t="n">
        <v>0</v>
      </c>
      <c r="M519" t="n">
        <v>0</v>
      </c>
      <c r="N519" t="n">
        <v>0</v>
      </c>
      <c r="O519" t="n">
        <v>0</v>
      </c>
      <c r="P519" t="n">
        <v>0</v>
      </c>
      <c r="Q519" t="n">
        <v>1</v>
      </c>
      <c r="R519" s="2" t="inlineStr">
        <is>
          <t>Revlummer</t>
        </is>
      </c>
      <c r="S519">
        <f>HYPERLINK("https://klasma.github.io/Logging_SKELLEFTEA/artfynd/A 4641-2019.xlsx", "A 4641-2019")</f>
        <v/>
      </c>
      <c r="T519">
        <f>HYPERLINK("https://klasma.github.io/Logging_SKELLEFTEA/kartor/A 4641-2019.png", "A 4641-2019")</f>
        <v/>
      </c>
      <c r="V519">
        <f>HYPERLINK("https://klasma.github.io/Logging_SKELLEFTEA/klagomål/A 4641-2019.docx", "A 4641-2019")</f>
        <v/>
      </c>
      <c r="W519">
        <f>HYPERLINK("https://klasma.github.io/Logging_SKELLEFTEA/klagomålsmail/A 4641-2019.docx", "A 4641-2019")</f>
        <v/>
      </c>
      <c r="X519">
        <f>HYPERLINK("https://klasma.github.io/Logging_SKELLEFTEA/tillsyn/A 4641-2019.docx", "A 4641-2019")</f>
        <v/>
      </c>
      <c r="Y519">
        <f>HYPERLINK("https://klasma.github.io/Logging_SKELLEFTEA/tillsynsmail/A 4641-2019.docx", "A 4641-2019")</f>
        <v/>
      </c>
    </row>
    <row r="520" ht="15" customHeight="1">
      <c r="A520" t="inlineStr">
        <is>
          <t>A 5009-2019</t>
        </is>
      </c>
      <c r="B520" s="1" t="n">
        <v>43480</v>
      </c>
      <c r="C520" s="1" t="n">
        <v>45204</v>
      </c>
      <c r="D520" t="inlineStr">
        <is>
          <t>VÄSTERBOTTENS LÄN</t>
        </is>
      </c>
      <c r="E520" t="inlineStr">
        <is>
          <t>SKELLEFTEÅ</t>
        </is>
      </c>
      <c r="G520" t="n">
        <v>7.4</v>
      </c>
      <c r="H520" t="n">
        <v>0</v>
      </c>
      <c r="I520" t="n">
        <v>0</v>
      </c>
      <c r="J520" t="n">
        <v>1</v>
      </c>
      <c r="K520" t="n">
        <v>0</v>
      </c>
      <c r="L520" t="n">
        <v>0</v>
      </c>
      <c r="M520" t="n">
        <v>0</v>
      </c>
      <c r="N520" t="n">
        <v>0</v>
      </c>
      <c r="O520" t="n">
        <v>1</v>
      </c>
      <c r="P520" t="n">
        <v>0</v>
      </c>
      <c r="Q520" t="n">
        <v>1</v>
      </c>
      <c r="R520" s="2" t="inlineStr">
        <is>
          <t>Garnlav</t>
        </is>
      </c>
      <c r="S520">
        <f>HYPERLINK("https://klasma.github.io/Logging_SKELLEFTEA/artfynd/A 5009-2019.xlsx", "A 5009-2019")</f>
        <v/>
      </c>
      <c r="T520">
        <f>HYPERLINK("https://klasma.github.io/Logging_SKELLEFTEA/kartor/A 5009-2019.png", "A 5009-2019")</f>
        <v/>
      </c>
      <c r="V520">
        <f>HYPERLINK("https://klasma.github.io/Logging_SKELLEFTEA/klagomål/A 5009-2019.docx", "A 5009-2019")</f>
        <v/>
      </c>
      <c r="W520">
        <f>HYPERLINK("https://klasma.github.io/Logging_SKELLEFTEA/klagomålsmail/A 5009-2019.docx", "A 5009-2019")</f>
        <v/>
      </c>
      <c r="X520">
        <f>HYPERLINK("https://klasma.github.io/Logging_SKELLEFTEA/tillsyn/A 5009-2019.docx", "A 5009-2019")</f>
        <v/>
      </c>
      <c r="Y520">
        <f>HYPERLINK("https://klasma.github.io/Logging_SKELLEFTEA/tillsynsmail/A 5009-2019.docx", "A 5009-2019")</f>
        <v/>
      </c>
    </row>
    <row r="521" ht="15" customHeight="1">
      <c r="A521" t="inlineStr">
        <is>
          <t>A 4034-2019</t>
        </is>
      </c>
      <c r="B521" s="1" t="n">
        <v>43482</v>
      </c>
      <c r="C521" s="1" t="n">
        <v>45204</v>
      </c>
      <c r="D521" t="inlineStr">
        <is>
          <t>VÄSTERBOTTENS LÄN</t>
        </is>
      </c>
      <c r="E521" t="inlineStr">
        <is>
          <t>SORSELE</t>
        </is>
      </c>
      <c r="F521" t="inlineStr">
        <is>
          <t>Övriga statliga verk och myndigheter</t>
        </is>
      </c>
      <c r="G521" t="n">
        <v>18.9</v>
      </c>
      <c r="H521" t="n">
        <v>1</v>
      </c>
      <c r="I521" t="n">
        <v>0</v>
      </c>
      <c r="J521" t="n">
        <v>1</v>
      </c>
      <c r="K521" t="n">
        <v>0</v>
      </c>
      <c r="L521" t="n">
        <v>0</v>
      </c>
      <c r="M521" t="n">
        <v>0</v>
      </c>
      <c r="N521" t="n">
        <v>0</v>
      </c>
      <c r="O521" t="n">
        <v>1</v>
      </c>
      <c r="P521" t="n">
        <v>0</v>
      </c>
      <c r="Q521" t="n">
        <v>1</v>
      </c>
      <c r="R521" s="2" t="inlineStr">
        <is>
          <t>Utter</t>
        </is>
      </c>
      <c r="S521">
        <f>HYPERLINK("https://klasma.github.io/Logging_SORSELE/artfynd/A 4034-2019.xlsx", "A 4034-2019")</f>
        <v/>
      </c>
      <c r="T521">
        <f>HYPERLINK("https://klasma.github.io/Logging_SORSELE/kartor/A 4034-2019.png", "A 4034-2019")</f>
        <v/>
      </c>
      <c r="V521">
        <f>HYPERLINK("https://klasma.github.io/Logging_SORSELE/klagomål/A 4034-2019.docx", "A 4034-2019")</f>
        <v/>
      </c>
      <c r="W521">
        <f>HYPERLINK("https://klasma.github.io/Logging_SORSELE/klagomålsmail/A 4034-2019.docx", "A 4034-2019")</f>
        <v/>
      </c>
      <c r="X521">
        <f>HYPERLINK("https://klasma.github.io/Logging_SORSELE/tillsyn/A 4034-2019.docx", "A 4034-2019")</f>
        <v/>
      </c>
      <c r="Y521">
        <f>HYPERLINK("https://klasma.github.io/Logging_SORSELE/tillsynsmail/A 4034-2019.docx", "A 4034-2019")</f>
        <v/>
      </c>
    </row>
    <row r="522" ht="15" customHeight="1">
      <c r="A522" t="inlineStr">
        <is>
          <t>A 4325-2019</t>
        </is>
      </c>
      <c r="B522" s="1" t="n">
        <v>43483</v>
      </c>
      <c r="C522" s="1" t="n">
        <v>45204</v>
      </c>
      <c r="D522" t="inlineStr">
        <is>
          <t>VÄSTERBOTTENS LÄN</t>
        </is>
      </c>
      <c r="E522" t="inlineStr">
        <is>
          <t>VINDELN</t>
        </is>
      </c>
      <c r="G522" t="n">
        <v>29.7</v>
      </c>
      <c r="H522" t="n">
        <v>1</v>
      </c>
      <c r="I522" t="n">
        <v>0</v>
      </c>
      <c r="J522" t="n">
        <v>0</v>
      </c>
      <c r="K522" t="n">
        <v>1</v>
      </c>
      <c r="L522" t="n">
        <v>0</v>
      </c>
      <c r="M522" t="n">
        <v>0</v>
      </c>
      <c r="N522" t="n">
        <v>0</v>
      </c>
      <c r="O522" t="n">
        <v>1</v>
      </c>
      <c r="P522" t="n">
        <v>1</v>
      </c>
      <c r="Q522" t="n">
        <v>1</v>
      </c>
      <c r="R522" s="2" t="inlineStr">
        <is>
          <t>Lappuggla</t>
        </is>
      </c>
      <c r="S522">
        <f>HYPERLINK("https://klasma.github.io/Logging_VINDELN/artfynd/A 4325-2019.xlsx", "A 4325-2019")</f>
        <v/>
      </c>
      <c r="T522">
        <f>HYPERLINK("https://klasma.github.io/Logging_VINDELN/kartor/A 4325-2019.png", "A 4325-2019")</f>
        <v/>
      </c>
      <c r="V522">
        <f>HYPERLINK("https://klasma.github.io/Logging_VINDELN/klagomål/A 4325-2019.docx", "A 4325-2019")</f>
        <v/>
      </c>
      <c r="W522">
        <f>HYPERLINK("https://klasma.github.io/Logging_VINDELN/klagomålsmail/A 4325-2019.docx", "A 4325-2019")</f>
        <v/>
      </c>
      <c r="X522">
        <f>HYPERLINK("https://klasma.github.io/Logging_VINDELN/tillsyn/A 4325-2019.docx", "A 4325-2019")</f>
        <v/>
      </c>
      <c r="Y522">
        <f>HYPERLINK("https://klasma.github.io/Logging_VINDELN/tillsynsmail/A 4325-2019.docx", "A 4325-2019")</f>
        <v/>
      </c>
    </row>
    <row r="523" ht="15" customHeight="1">
      <c r="A523" t="inlineStr">
        <is>
          <t>A 7144-2019</t>
        </is>
      </c>
      <c r="B523" s="1" t="n">
        <v>43489</v>
      </c>
      <c r="C523" s="1" t="n">
        <v>45204</v>
      </c>
      <c r="D523" t="inlineStr">
        <is>
          <t>VÄSTERBOTTENS LÄN</t>
        </is>
      </c>
      <c r="E523" t="inlineStr">
        <is>
          <t>NORDMALING</t>
        </is>
      </c>
      <c r="G523" t="n">
        <v>2.3</v>
      </c>
      <c r="H523" t="n">
        <v>0</v>
      </c>
      <c r="I523" t="n">
        <v>0</v>
      </c>
      <c r="J523" t="n">
        <v>1</v>
      </c>
      <c r="K523" t="n">
        <v>0</v>
      </c>
      <c r="L523" t="n">
        <v>0</v>
      </c>
      <c r="M523" t="n">
        <v>0</v>
      </c>
      <c r="N523" t="n">
        <v>0</v>
      </c>
      <c r="O523" t="n">
        <v>1</v>
      </c>
      <c r="P523" t="n">
        <v>0</v>
      </c>
      <c r="Q523" t="n">
        <v>1</v>
      </c>
      <c r="R523" s="2" t="inlineStr">
        <is>
          <t>Ullticka</t>
        </is>
      </c>
      <c r="S523">
        <f>HYPERLINK("https://klasma.github.io/Logging_NORDMALING/artfynd/A 7144-2019.xlsx", "A 7144-2019")</f>
        <v/>
      </c>
      <c r="T523">
        <f>HYPERLINK("https://klasma.github.io/Logging_NORDMALING/kartor/A 7144-2019.png", "A 7144-2019")</f>
        <v/>
      </c>
      <c r="V523">
        <f>HYPERLINK("https://klasma.github.io/Logging_NORDMALING/klagomål/A 7144-2019.docx", "A 7144-2019")</f>
        <v/>
      </c>
      <c r="W523">
        <f>HYPERLINK("https://klasma.github.io/Logging_NORDMALING/klagomålsmail/A 7144-2019.docx", "A 7144-2019")</f>
        <v/>
      </c>
      <c r="X523">
        <f>HYPERLINK("https://klasma.github.io/Logging_NORDMALING/tillsyn/A 7144-2019.docx", "A 7144-2019")</f>
        <v/>
      </c>
      <c r="Y523">
        <f>HYPERLINK("https://klasma.github.io/Logging_NORDMALING/tillsynsmail/A 7144-2019.docx", "A 7144-2019")</f>
        <v/>
      </c>
    </row>
    <row r="524" ht="15" customHeight="1">
      <c r="A524" t="inlineStr">
        <is>
          <t>A 7978-2019</t>
        </is>
      </c>
      <c r="B524" s="1" t="n">
        <v>43497</v>
      </c>
      <c r="C524" s="1" t="n">
        <v>45204</v>
      </c>
      <c r="D524" t="inlineStr">
        <is>
          <t>VÄSTERBOTTENS LÄN</t>
        </is>
      </c>
      <c r="E524" t="inlineStr">
        <is>
          <t>BJURHOLM</t>
        </is>
      </c>
      <c r="F524" t="inlineStr">
        <is>
          <t>SCA</t>
        </is>
      </c>
      <c r="G524" t="n">
        <v>3</v>
      </c>
      <c r="H524" t="n">
        <v>0</v>
      </c>
      <c r="I524" t="n">
        <v>0</v>
      </c>
      <c r="J524" t="n">
        <v>1</v>
      </c>
      <c r="K524" t="n">
        <v>0</v>
      </c>
      <c r="L524" t="n">
        <v>0</v>
      </c>
      <c r="M524" t="n">
        <v>0</v>
      </c>
      <c r="N524" t="n">
        <v>0</v>
      </c>
      <c r="O524" t="n">
        <v>1</v>
      </c>
      <c r="P524" t="n">
        <v>0</v>
      </c>
      <c r="Q524" t="n">
        <v>1</v>
      </c>
      <c r="R524" s="2" t="inlineStr">
        <is>
          <t>Gammelgransskål</t>
        </is>
      </c>
      <c r="S524">
        <f>HYPERLINK("https://klasma.github.io/Logging_BJURHOLM/artfynd/A 7978-2019.xlsx", "A 7978-2019")</f>
        <v/>
      </c>
      <c r="T524">
        <f>HYPERLINK("https://klasma.github.io/Logging_BJURHOLM/kartor/A 7978-2019.png", "A 7978-2019")</f>
        <v/>
      </c>
      <c r="V524">
        <f>HYPERLINK("https://klasma.github.io/Logging_BJURHOLM/klagomål/A 7978-2019.docx", "A 7978-2019")</f>
        <v/>
      </c>
      <c r="W524">
        <f>HYPERLINK("https://klasma.github.io/Logging_BJURHOLM/klagomålsmail/A 7978-2019.docx", "A 7978-2019")</f>
        <v/>
      </c>
      <c r="X524">
        <f>HYPERLINK("https://klasma.github.io/Logging_BJURHOLM/tillsyn/A 7978-2019.docx", "A 7978-2019")</f>
        <v/>
      </c>
      <c r="Y524">
        <f>HYPERLINK("https://klasma.github.io/Logging_BJURHOLM/tillsynsmail/A 7978-2019.docx", "A 7978-2019")</f>
        <v/>
      </c>
    </row>
    <row r="525" ht="15" customHeight="1">
      <c r="A525" t="inlineStr">
        <is>
          <t>A 7576-2019</t>
        </is>
      </c>
      <c r="B525" s="1" t="n">
        <v>43497</v>
      </c>
      <c r="C525" s="1" t="n">
        <v>45204</v>
      </c>
      <c r="D525" t="inlineStr">
        <is>
          <t>VÄSTERBOTTENS LÄN</t>
        </is>
      </c>
      <c r="E525" t="inlineStr">
        <is>
          <t>BJURHOLM</t>
        </is>
      </c>
      <c r="F525" t="inlineStr">
        <is>
          <t>SCA</t>
        </is>
      </c>
      <c r="G525" t="n">
        <v>39.8</v>
      </c>
      <c r="H525" t="n">
        <v>0</v>
      </c>
      <c r="I525" t="n">
        <v>1</v>
      </c>
      <c r="J525" t="n">
        <v>0</v>
      </c>
      <c r="K525" t="n">
        <v>0</v>
      </c>
      <c r="L525" t="n">
        <v>0</v>
      </c>
      <c r="M525" t="n">
        <v>0</v>
      </c>
      <c r="N525" t="n">
        <v>0</v>
      </c>
      <c r="O525" t="n">
        <v>0</v>
      </c>
      <c r="P525" t="n">
        <v>0</v>
      </c>
      <c r="Q525" t="n">
        <v>1</v>
      </c>
      <c r="R525" s="2" t="inlineStr">
        <is>
          <t>Skinnlav</t>
        </is>
      </c>
      <c r="S525">
        <f>HYPERLINK("https://klasma.github.io/Logging_BJURHOLM/artfynd/A 7576-2019.xlsx", "A 7576-2019")</f>
        <v/>
      </c>
      <c r="T525">
        <f>HYPERLINK("https://klasma.github.io/Logging_BJURHOLM/kartor/A 7576-2019.png", "A 7576-2019")</f>
        <v/>
      </c>
      <c r="V525">
        <f>HYPERLINK("https://klasma.github.io/Logging_BJURHOLM/klagomål/A 7576-2019.docx", "A 7576-2019")</f>
        <v/>
      </c>
      <c r="W525">
        <f>HYPERLINK("https://klasma.github.io/Logging_BJURHOLM/klagomålsmail/A 7576-2019.docx", "A 7576-2019")</f>
        <v/>
      </c>
      <c r="X525">
        <f>HYPERLINK("https://klasma.github.io/Logging_BJURHOLM/tillsyn/A 7576-2019.docx", "A 7576-2019")</f>
        <v/>
      </c>
      <c r="Y525">
        <f>HYPERLINK("https://klasma.github.io/Logging_BJURHOLM/tillsynsmail/A 7576-2019.docx", "A 7576-2019")</f>
        <v/>
      </c>
    </row>
    <row r="526" ht="15" customHeight="1">
      <c r="A526" t="inlineStr">
        <is>
          <t>A 7826-2019</t>
        </is>
      </c>
      <c r="B526" s="1" t="n">
        <v>43500</v>
      </c>
      <c r="C526" s="1" t="n">
        <v>45204</v>
      </c>
      <c r="D526" t="inlineStr">
        <is>
          <t>VÄSTERBOTTENS LÄN</t>
        </is>
      </c>
      <c r="E526" t="inlineStr">
        <is>
          <t>STORUMAN</t>
        </is>
      </c>
      <c r="G526" t="n">
        <v>2.2</v>
      </c>
      <c r="H526" t="n">
        <v>0</v>
      </c>
      <c r="I526" t="n">
        <v>0</v>
      </c>
      <c r="J526" t="n">
        <v>1</v>
      </c>
      <c r="K526" t="n">
        <v>0</v>
      </c>
      <c r="L526" t="n">
        <v>0</v>
      </c>
      <c r="M526" t="n">
        <v>0</v>
      </c>
      <c r="N526" t="n">
        <v>0</v>
      </c>
      <c r="O526" t="n">
        <v>1</v>
      </c>
      <c r="P526" t="n">
        <v>0</v>
      </c>
      <c r="Q526" t="n">
        <v>1</v>
      </c>
      <c r="R526" s="2" t="inlineStr">
        <is>
          <t>Gammelgransskål</t>
        </is>
      </c>
      <c r="S526">
        <f>HYPERLINK("https://klasma.github.io/Logging_STORUMAN/artfynd/A 7826-2019.xlsx", "A 7826-2019")</f>
        <v/>
      </c>
      <c r="T526">
        <f>HYPERLINK("https://klasma.github.io/Logging_STORUMAN/kartor/A 7826-2019.png", "A 7826-2019")</f>
        <v/>
      </c>
      <c r="V526">
        <f>HYPERLINK("https://klasma.github.io/Logging_STORUMAN/klagomål/A 7826-2019.docx", "A 7826-2019")</f>
        <v/>
      </c>
      <c r="W526">
        <f>HYPERLINK("https://klasma.github.io/Logging_STORUMAN/klagomålsmail/A 7826-2019.docx", "A 7826-2019")</f>
        <v/>
      </c>
      <c r="X526">
        <f>HYPERLINK("https://klasma.github.io/Logging_STORUMAN/tillsyn/A 7826-2019.docx", "A 7826-2019")</f>
        <v/>
      </c>
      <c r="Y526">
        <f>HYPERLINK("https://klasma.github.io/Logging_STORUMAN/tillsynsmail/A 7826-2019.docx", "A 7826-2019")</f>
        <v/>
      </c>
    </row>
    <row r="527" ht="15" customHeight="1">
      <c r="A527" t="inlineStr">
        <is>
          <t>A 13683-2019</t>
        </is>
      </c>
      <c r="B527" s="1" t="n">
        <v>43530</v>
      </c>
      <c r="C527" s="1" t="n">
        <v>45204</v>
      </c>
      <c r="D527" t="inlineStr">
        <is>
          <t>VÄSTERBOTTENS LÄN</t>
        </is>
      </c>
      <c r="E527" t="inlineStr">
        <is>
          <t>MALÅ</t>
        </is>
      </c>
      <c r="F527" t="inlineStr">
        <is>
          <t>SCA</t>
        </is>
      </c>
      <c r="G527" t="n">
        <v>1.5</v>
      </c>
      <c r="H527" t="n">
        <v>0</v>
      </c>
      <c r="I527" t="n">
        <v>0</v>
      </c>
      <c r="J527" t="n">
        <v>1</v>
      </c>
      <c r="K527" t="n">
        <v>0</v>
      </c>
      <c r="L527" t="n">
        <v>0</v>
      </c>
      <c r="M527" t="n">
        <v>0</v>
      </c>
      <c r="N527" t="n">
        <v>0</v>
      </c>
      <c r="O527" t="n">
        <v>1</v>
      </c>
      <c r="P527" t="n">
        <v>0</v>
      </c>
      <c r="Q527" t="n">
        <v>1</v>
      </c>
      <c r="R527" s="2" t="inlineStr">
        <is>
          <t>Gammelgransskål</t>
        </is>
      </c>
      <c r="S527">
        <f>HYPERLINK("https://klasma.github.io/Logging_MALA/artfynd/A 13683-2019.xlsx", "A 13683-2019")</f>
        <v/>
      </c>
      <c r="T527">
        <f>HYPERLINK("https://klasma.github.io/Logging_MALA/kartor/A 13683-2019.png", "A 13683-2019")</f>
        <v/>
      </c>
      <c r="V527">
        <f>HYPERLINK("https://klasma.github.io/Logging_MALA/klagomål/A 13683-2019.docx", "A 13683-2019")</f>
        <v/>
      </c>
      <c r="W527">
        <f>HYPERLINK("https://klasma.github.io/Logging_MALA/klagomålsmail/A 13683-2019.docx", "A 13683-2019")</f>
        <v/>
      </c>
      <c r="X527">
        <f>HYPERLINK("https://klasma.github.io/Logging_MALA/tillsyn/A 13683-2019.docx", "A 13683-2019")</f>
        <v/>
      </c>
      <c r="Y527">
        <f>HYPERLINK("https://klasma.github.io/Logging_MALA/tillsynsmail/A 13683-2019.docx", "A 13683-2019")</f>
        <v/>
      </c>
    </row>
    <row r="528" ht="15" customHeight="1">
      <c r="A528" t="inlineStr">
        <is>
          <t>A 14581-2019</t>
        </is>
      </c>
      <c r="B528" s="1" t="n">
        <v>43536</v>
      </c>
      <c r="C528" s="1" t="n">
        <v>45204</v>
      </c>
      <c r="D528" t="inlineStr">
        <is>
          <t>VÄSTERBOTTENS LÄN</t>
        </is>
      </c>
      <c r="E528" t="inlineStr">
        <is>
          <t>DOROTEA</t>
        </is>
      </c>
      <c r="F528" t="inlineStr">
        <is>
          <t>SCA</t>
        </is>
      </c>
      <c r="G528" t="n">
        <v>5.9</v>
      </c>
      <c r="H528" t="n">
        <v>0</v>
      </c>
      <c r="I528" t="n">
        <v>0</v>
      </c>
      <c r="J528" t="n">
        <v>1</v>
      </c>
      <c r="K528" t="n">
        <v>0</v>
      </c>
      <c r="L528" t="n">
        <v>0</v>
      </c>
      <c r="M528" t="n">
        <v>0</v>
      </c>
      <c r="N528" t="n">
        <v>0</v>
      </c>
      <c r="O528" t="n">
        <v>1</v>
      </c>
      <c r="P528" t="n">
        <v>0</v>
      </c>
      <c r="Q528" t="n">
        <v>1</v>
      </c>
      <c r="R528" s="2" t="inlineStr">
        <is>
          <t>Granticka</t>
        </is>
      </c>
      <c r="S528">
        <f>HYPERLINK("https://klasma.github.io/Logging_DOROTEA/artfynd/A 14581-2019.xlsx", "A 14581-2019")</f>
        <v/>
      </c>
      <c r="T528">
        <f>HYPERLINK("https://klasma.github.io/Logging_DOROTEA/kartor/A 14581-2019.png", "A 14581-2019")</f>
        <v/>
      </c>
      <c r="V528">
        <f>HYPERLINK("https://klasma.github.io/Logging_DOROTEA/klagomål/A 14581-2019.docx", "A 14581-2019")</f>
        <v/>
      </c>
      <c r="W528">
        <f>HYPERLINK("https://klasma.github.io/Logging_DOROTEA/klagomålsmail/A 14581-2019.docx", "A 14581-2019")</f>
        <v/>
      </c>
      <c r="X528">
        <f>HYPERLINK("https://klasma.github.io/Logging_DOROTEA/tillsyn/A 14581-2019.docx", "A 14581-2019")</f>
        <v/>
      </c>
      <c r="Y528">
        <f>HYPERLINK("https://klasma.github.io/Logging_DOROTEA/tillsynsmail/A 14581-2019.docx", "A 14581-2019")</f>
        <v/>
      </c>
    </row>
    <row r="529" ht="15" customHeight="1">
      <c r="A529" t="inlineStr">
        <is>
          <t>A 14821-2019</t>
        </is>
      </c>
      <c r="B529" s="1" t="n">
        <v>43538</v>
      </c>
      <c r="C529" s="1" t="n">
        <v>45204</v>
      </c>
      <c r="D529" t="inlineStr">
        <is>
          <t>VÄSTERBOTTENS LÄN</t>
        </is>
      </c>
      <c r="E529" t="inlineStr">
        <is>
          <t>ROBERTSFORS</t>
        </is>
      </c>
      <c r="G529" t="n">
        <v>0.9</v>
      </c>
      <c r="H529" t="n">
        <v>0</v>
      </c>
      <c r="I529" t="n">
        <v>0</v>
      </c>
      <c r="J529" t="n">
        <v>1</v>
      </c>
      <c r="K529" t="n">
        <v>0</v>
      </c>
      <c r="L529" t="n">
        <v>0</v>
      </c>
      <c r="M529" t="n">
        <v>0</v>
      </c>
      <c r="N529" t="n">
        <v>0</v>
      </c>
      <c r="O529" t="n">
        <v>1</v>
      </c>
      <c r="P529" t="n">
        <v>0</v>
      </c>
      <c r="Q529" t="n">
        <v>1</v>
      </c>
      <c r="R529" s="2" t="inlineStr">
        <is>
          <t>Granticka</t>
        </is>
      </c>
      <c r="S529">
        <f>HYPERLINK("https://klasma.github.io/Logging_ROBERTSFORS/artfynd/A 14821-2019.xlsx", "A 14821-2019")</f>
        <v/>
      </c>
      <c r="T529">
        <f>HYPERLINK("https://klasma.github.io/Logging_ROBERTSFORS/kartor/A 14821-2019.png", "A 14821-2019")</f>
        <v/>
      </c>
      <c r="V529">
        <f>HYPERLINK("https://klasma.github.io/Logging_ROBERTSFORS/klagomål/A 14821-2019.docx", "A 14821-2019")</f>
        <v/>
      </c>
      <c r="W529">
        <f>HYPERLINK("https://klasma.github.io/Logging_ROBERTSFORS/klagomålsmail/A 14821-2019.docx", "A 14821-2019")</f>
        <v/>
      </c>
      <c r="X529">
        <f>HYPERLINK("https://klasma.github.io/Logging_ROBERTSFORS/tillsyn/A 14821-2019.docx", "A 14821-2019")</f>
        <v/>
      </c>
      <c r="Y529">
        <f>HYPERLINK("https://klasma.github.io/Logging_ROBERTSFORS/tillsynsmail/A 14821-2019.docx", "A 14821-2019")</f>
        <v/>
      </c>
    </row>
    <row r="530" ht="15" customHeight="1">
      <c r="A530" t="inlineStr">
        <is>
          <t>A 19106-2019</t>
        </is>
      </c>
      <c r="B530" s="1" t="n">
        <v>43564</v>
      </c>
      <c r="C530" s="1" t="n">
        <v>45204</v>
      </c>
      <c r="D530" t="inlineStr">
        <is>
          <t>VÄSTERBOTTENS LÄN</t>
        </is>
      </c>
      <c r="E530" t="inlineStr">
        <is>
          <t>BJURHOLM</t>
        </is>
      </c>
      <c r="G530" t="n">
        <v>1.7</v>
      </c>
      <c r="H530" t="n">
        <v>0</v>
      </c>
      <c r="I530" t="n">
        <v>0</v>
      </c>
      <c r="J530" t="n">
        <v>1</v>
      </c>
      <c r="K530" t="n">
        <v>0</v>
      </c>
      <c r="L530" t="n">
        <v>0</v>
      </c>
      <c r="M530" t="n">
        <v>0</v>
      </c>
      <c r="N530" t="n">
        <v>0</v>
      </c>
      <c r="O530" t="n">
        <v>1</v>
      </c>
      <c r="P530" t="n">
        <v>0</v>
      </c>
      <c r="Q530" t="n">
        <v>1</v>
      </c>
      <c r="R530" s="2" t="inlineStr">
        <is>
          <t>Violettgrå tagellav</t>
        </is>
      </c>
      <c r="S530">
        <f>HYPERLINK("https://klasma.github.io/Logging_BJURHOLM/artfynd/A 19106-2019.xlsx", "A 19106-2019")</f>
        <v/>
      </c>
      <c r="T530">
        <f>HYPERLINK("https://klasma.github.io/Logging_BJURHOLM/kartor/A 19106-2019.png", "A 19106-2019")</f>
        <v/>
      </c>
      <c r="V530">
        <f>HYPERLINK("https://klasma.github.io/Logging_BJURHOLM/klagomål/A 19106-2019.docx", "A 19106-2019")</f>
        <v/>
      </c>
      <c r="W530">
        <f>HYPERLINK("https://klasma.github.io/Logging_BJURHOLM/klagomålsmail/A 19106-2019.docx", "A 19106-2019")</f>
        <v/>
      </c>
      <c r="X530">
        <f>HYPERLINK("https://klasma.github.io/Logging_BJURHOLM/tillsyn/A 19106-2019.docx", "A 19106-2019")</f>
        <v/>
      </c>
      <c r="Y530">
        <f>HYPERLINK("https://klasma.github.io/Logging_BJURHOLM/tillsynsmail/A 19106-2019.docx", "A 19106-2019")</f>
        <v/>
      </c>
    </row>
    <row r="531" ht="15" customHeight="1">
      <c r="A531" t="inlineStr">
        <is>
          <t>A 20337-2019</t>
        </is>
      </c>
      <c r="B531" s="1" t="n">
        <v>43570</v>
      </c>
      <c r="C531" s="1" t="n">
        <v>45204</v>
      </c>
      <c r="D531" t="inlineStr">
        <is>
          <t>VÄSTERBOTTENS LÄN</t>
        </is>
      </c>
      <c r="E531" t="inlineStr">
        <is>
          <t>NORSJÖ</t>
        </is>
      </c>
      <c r="G531" t="n">
        <v>6.4</v>
      </c>
      <c r="H531" t="n">
        <v>0</v>
      </c>
      <c r="I531" t="n">
        <v>0</v>
      </c>
      <c r="J531" t="n">
        <v>1</v>
      </c>
      <c r="K531" t="n">
        <v>0</v>
      </c>
      <c r="L531" t="n">
        <v>0</v>
      </c>
      <c r="M531" t="n">
        <v>0</v>
      </c>
      <c r="N531" t="n">
        <v>0</v>
      </c>
      <c r="O531" t="n">
        <v>1</v>
      </c>
      <c r="P531" t="n">
        <v>0</v>
      </c>
      <c r="Q531" t="n">
        <v>1</v>
      </c>
      <c r="R531" s="2" t="inlineStr">
        <is>
          <t>Dvärgbägarlav</t>
        </is>
      </c>
      <c r="S531">
        <f>HYPERLINK("https://klasma.github.io/Logging_NORSJO/artfynd/A 20337-2019.xlsx", "A 20337-2019")</f>
        <v/>
      </c>
      <c r="T531">
        <f>HYPERLINK("https://klasma.github.io/Logging_NORSJO/kartor/A 20337-2019.png", "A 20337-2019")</f>
        <v/>
      </c>
      <c r="V531">
        <f>HYPERLINK("https://klasma.github.io/Logging_NORSJO/klagomål/A 20337-2019.docx", "A 20337-2019")</f>
        <v/>
      </c>
      <c r="W531">
        <f>HYPERLINK("https://klasma.github.io/Logging_NORSJO/klagomålsmail/A 20337-2019.docx", "A 20337-2019")</f>
        <v/>
      </c>
      <c r="X531">
        <f>HYPERLINK("https://klasma.github.io/Logging_NORSJO/tillsyn/A 20337-2019.docx", "A 20337-2019")</f>
        <v/>
      </c>
      <c r="Y531">
        <f>HYPERLINK("https://klasma.github.io/Logging_NORSJO/tillsynsmail/A 20337-2019.docx", "A 20337-2019")</f>
        <v/>
      </c>
    </row>
    <row r="532" ht="15" customHeight="1">
      <c r="A532" t="inlineStr">
        <is>
          <t>A 20465-2019</t>
        </is>
      </c>
      <c r="B532" s="1" t="n">
        <v>43572</v>
      </c>
      <c r="C532" s="1" t="n">
        <v>45204</v>
      </c>
      <c r="D532" t="inlineStr">
        <is>
          <t>VÄSTERBOTTENS LÄN</t>
        </is>
      </c>
      <c r="E532" t="inlineStr">
        <is>
          <t>SKELLEFTEÅ</t>
        </is>
      </c>
      <c r="G532" t="n">
        <v>2.1</v>
      </c>
      <c r="H532" t="n">
        <v>0</v>
      </c>
      <c r="I532" t="n">
        <v>0</v>
      </c>
      <c r="J532" t="n">
        <v>1</v>
      </c>
      <c r="K532" t="n">
        <v>0</v>
      </c>
      <c r="L532" t="n">
        <v>0</v>
      </c>
      <c r="M532" t="n">
        <v>0</v>
      </c>
      <c r="N532" t="n">
        <v>0</v>
      </c>
      <c r="O532" t="n">
        <v>1</v>
      </c>
      <c r="P532" t="n">
        <v>0</v>
      </c>
      <c r="Q532" t="n">
        <v>1</v>
      </c>
      <c r="R532" s="2" t="inlineStr">
        <is>
          <t>Violettgrå tagellav</t>
        </is>
      </c>
      <c r="S532">
        <f>HYPERLINK("https://klasma.github.io/Logging_SKELLEFTEA/artfynd/A 20465-2019.xlsx", "A 20465-2019")</f>
        <v/>
      </c>
      <c r="T532">
        <f>HYPERLINK("https://klasma.github.io/Logging_SKELLEFTEA/kartor/A 20465-2019.png", "A 20465-2019")</f>
        <v/>
      </c>
      <c r="V532">
        <f>HYPERLINK("https://klasma.github.io/Logging_SKELLEFTEA/klagomål/A 20465-2019.docx", "A 20465-2019")</f>
        <v/>
      </c>
      <c r="W532">
        <f>HYPERLINK("https://klasma.github.io/Logging_SKELLEFTEA/klagomålsmail/A 20465-2019.docx", "A 20465-2019")</f>
        <v/>
      </c>
      <c r="X532">
        <f>HYPERLINK("https://klasma.github.io/Logging_SKELLEFTEA/tillsyn/A 20465-2019.docx", "A 20465-2019")</f>
        <v/>
      </c>
      <c r="Y532">
        <f>HYPERLINK("https://klasma.github.io/Logging_SKELLEFTEA/tillsynsmail/A 20465-2019.docx", "A 20465-2019")</f>
        <v/>
      </c>
    </row>
    <row r="533" ht="15" customHeight="1">
      <c r="A533" t="inlineStr">
        <is>
          <t>A 25651-2019</t>
        </is>
      </c>
      <c r="B533" s="1" t="n">
        <v>43602</v>
      </c>
      <c r="C533" s="1" t="n">
        <v>45204</v>
      </c>
      <c r="D533" t="inlineStr">
        <is>
          <t>VÄSTERBOTTENS LÄN</t>
        </is>
      </c>
      <c r="E533" t="inlineStr">
        <is>
          <t>SKELLEFTEÅ</t>
        </is>
      </c>
      <c r="G533" t="n">
        <v>16.9</v>
      </c>
      <c r="H533" t="n">
        <v>1</v>
      </c>
      <c r="I533" t="n">
        <v>0</v>
      </c>
      <c r="J533" t="n">
        <v>0</v>
      </c>
      <c r="K533" t="n">
        <v>0</v>
      </c>
      <c r="L533" t="n">
        <v>0</v>
      </c>
      <c r="M533" t="n">
        <v>0</v>
      </c>
      <c r="N533" t="n">
        <v>0</v>
      </c>
      <c r="O533" t="n">
        <v>0</v>
      </c>
      <c r="P533" t="n">
        <v>0</v>
      </c>
      <c r="Q533" t="n">
        <v>1</v>
      </c>
      <c r="R533" s="2" t="inlineStr">
        <is>
          <t>Fläcknycklar</t>
        </is>
      </c>
      <c r="S533">
        <f>HYPERLINK("https://klasma.github.io/Logging_SKELLEFTEA/artfynd/A 25651-2019.xlsx", "A 25651-2019")</f>
        <v/>
      </c>
      <c r="T533">
        <f>HYPERLINK("https://klasma.github.io/Logging_SKELLEFTEA/kartor/A 25651-2019.png", "A 25651-2019")</f>
        <v/>
      </c>
      <c r="V533">
        <f>HYPERLINK("https://klasma.github.io/Logging_SKELLEFTEA/klagomål/A 25651-2019.docx", "A 25651-2019")</f>
        <v/>
      </c>
      <c r="W533">
        <f>HYPERLINK("https://klasma.github.io/Logging_SKELLEFTEA/klagomålsmail/A 25651-2019.docx", "A 25651-2019")</f>
        <v/>
      </c>
      <c r="X533">
        <f>HYPERLINK("https://klasma.github.io/Logging_SKELLEFTEA/tillsyn/A 25651-2019.docx", "A 25651-2019")</f>
        <v/>
      </c>
      <c r="Y533">
        <f>HYPERLINK("https://klasma.github.io/Logging_SKELLEFTEA/tillsynsmail/A 25651-2019.docx", "A 25651-2019")</f>
        <v/>
      </c>
    </row>
    <row r="534" ht="15" customHeight="1">
      <c r="A534" t="inlineStr">
        <is>
          <t>A 31376-2019</t>
        </is>
      </c>
      <c r="B534" s="1" t="n">
        <v>43636</v>
      </c>
      <c r="C534" s="1" t="n">
        <v>45204</v>
      </c>
      <c r="D534" t="inlineStr">
        <is>
          <t>VÄSTERBOTTENS LÄN</t>
        </is>
      </c>
      <c r="E534" t="inlineStr">
        <is>
          <t>MALÅ</t>
        </is>
      </c>
      <c r="G534" t="n">
        <v>9</v>
      </c>
      <c r="H534" t="n">
        <v>1</v>
      </c>
      <c r="I534" t="n">
        <v>0</v>
      </c>
      <c r="J534" t="n">
        <v>1</v>
      </c>
      <c r="K534" t="n">
        <v>0</v>
      </c>
      <c r="L534" t="n">
        <v>0</v>
      </c>
      <c r="M534" t="n">
        <v>0</v>
      </c>
      <c r="N534" t="n">
        <v>0</v>
      </c>
      <c r="O534" t="n">
        <v>1</v>
      </c>
      <c r="P534" t="n">
        <v>0</v>
      </c>
      <c r="Q534" t="n">
        <v>1</v>
      </c>
      <c r="R534" s="2" t="inlineStr">
        <is>
          <t>Utter</t>
        </is>
      </c>
      <c r="S534">
        <f>HYPERLINK("https://klasma.github.io/Logging_MALA/artfynd/A 31376-2019.xlsx", "A 31376-2019")</f>
        <v/>
      </c>
      <c r="T534">
        <f>HYPERLINK("https://klasma.github.io/Logging_MALA/kartor/A 31376-2019.png", "A 31376-2019")</f>
        <v/>
      </c>
      <c r="V534">
        <f>HYPERLINK("https://klasma.github.io/Logging_MALA/klagomål/A 31376-2019.docx", "A 31376-2019")</f>
        <v/>
      </c>
      <c r="W534">
        <f>HYPERLINK("https://klasma.github.io/Logging_MALA/klagomålsmail/A 31376-2019.docx", "A 31376-2019")</f>
        <v/>
      </c>
      <c r="X534">
        <f>HYPERLINK("https://klasma.github.io/Logging_MALA/tillsyn/A 31376-2019.docx", "A 31376-2019")</f>
        <v/>
      </c>
      <c r="Y534">
        <f>HYPERLINK("https://klasma.github.io/Logging_MALA/tillsynsmail/A 31376-2019.docx", "A 31376-2019")</f>
        <v/>
      </c>
    </row>
    <row r="535" ht="15" customHeight="1">
      <c r="A535" t="inlineStr">
        <is>
          <t>A 32370-2019</t>
        </is>
      </c>
      <c r="B535" s="1" t="n">
        <v>43636</v>
      </c>
      <c r="C535" s="1" t="n">
        <v>45204</v>
      </c>
      <c r="D535" t="inlineStr">
        <is>
          <t>VÄSTERBOTTENS LÄN</t>
        </is>
      </c>
      <c r="E535" t="inlineStr">
        <is>
          <t>ÅSELE</t>
        </is>
      </c>
      <c r="F535" t="inlineStr">
        <is>
          <t>Sveaskog</t>
        </is>
      </c>
      <c r="G535" t="n">
        <v>19.4</v>
      </c>
      <c r="H535" t="n">
        <v>0</v>
      </c>
      <c r="I535" t="n">
        <v>0</v>
      </c>
      <c r="J535" t="n">
        <v>1</v>
      </c>
      <c r="K535" t="n">
        <v>0</v>
      </c>
      <c r="L535" t="n">
        <v>0</v>
      </c>
      <c r="M535" t="n">
        <v>0</v>
      </c>
      <c r="N535" t="n">
        <v>0</v>
      </c>
      <c r="O535" t="n">
        <v>1</v>
      </c>
      <c r="P535" t="n">
        <v>0</v>
      </c>
      <c r="Q535" t="n">
        <v>1</v>
      </c>
      <c r="R535" s="2" t="inlineStr">
        <is>
          <t>Garnlav</t>
        </is>
      </c>
      <c r="S535">
        <f>HYPERLINK("https://klasma.github.io/Logging_ASELE/artfynd/A 32370-2019.xlsx", "A 32370-2019")</f>
        <v/>
      </c>
      <c r="T535">
        <f>HYPERLINK("https://klasma.github.io/Logging_ASELE/kartor/A 32370-2019.png", "A 32370-2019")</f>
        <v/>
      </c>
      <c r="V535">
        <f>HYPERLINK("https://klasma.github.io/Logging_ASELE/klagomål/A 32370-2019.docx", "A 32370-2019")</f>
        <v/>
      </c>
      <c r="W535">
        <f>HYPERLINK("https://klasma.github.io/Logging_ASELE/klagomålsmail/A 32370-2019.docx", "A 32370-2019")</f>
        <v/>
      </c>
      <c r="X535">
        <f>HYPERLINK("https://klasma.github.io/Logging_ASELE/tillsyn/A 32370-2019.docx", "A 32370-2019")</f>
        <v/>
      </c>
      <c r="Y535">
        <f>HYPERLINK("https://klasma.github.io/Logging_ASELE/tillsynsmail/A 32370-2019.docx", "A 32370-2019")</f>
        <v/>
      </c>
    </row>
    <row r="536" ht="15" customHeight="1">
      <c r="A536" t="inlineStr">
        <is>
          <t>A 32631-2019</t>
        </is>
      </c>
      <c r="B536" s="1" t="n">
        <v>43647</v>
      </c>
      <c r="C536" s="1" t="n">
        <v>45204</v>
      </c>
      <c r="D536" t="inlineStr">
        <is>
          <t>VÄSTERBOTTENS LÄN</t>
        </is>
      </c>
      <c r="E536" t="inlineStr">
        <is>
          <t>VINDELN</t>
        </is>
      </c>
      <c r="F536" t="inlineStr">
        <is>
          <t>Sveaskog</t>
        </is>
      </c>
      <c r="G536" t="n">
        <v>7.7</v>
      </c>
      <c r="H536" t="n">
        <v>0</v>
      </c>
      <c r="I536" t="n">
        <v>0</v>
      </c>
      <c r="J536" t="n">
        <v>1</v>
      </c>
      <c r="K536" t="n">
        <v>0</v>
      </c>
      <c r="L536" t="n">
        <v>0</v>
      </c>
      <c r="M536" t="n">
        <v>0</v>
      </c>
      <c r="N536" t="n">
        <v>0</v>
      </c>
      <c r="O536" t="n">
        <v>1</v>
      </c>
      <c r="P536" t="n">
        <v>0</v>
      </c>
      <c r="Q536" t="n">
        <v>1</v>
      </c>
      <c r="R536" s="2" t="inlineStr">
        <is>
          <t>Lunglav</t>
        </is>
      </c>
      <c r="S536">
        <f>HYPERLINK("https://klasma.github.io/Logging_VINDELN/artfynd/A 32631-2019.xlsx", "A 32631-2019")</f>
        <v/>
      </c>
      <c r="T536">
        <f>HYPERLINK("https://klasma.github.io/Logging_VINDELN/kartor/A 32631-2019.png", "A 32631-2019")</f>
        <v/>
      </c>
      <c r="V536">
        <f>HYPERLINK("https://klasma.github.io/Logging_VINDELN/klagomål/A 32631-2019.docx", "A 32631-2019")</f>
        <v/>
      </c>
      <c r="W536">
        <f>HYPERLINK("https://klasma.github.io/Logging_VINDELN/klagomålsmail/A 32631-2019.docx", "A 32631-2019")</f>
        <v/>
      </c>
      <c r="X536">
        <f>HYPERLINK("https://klasma.github.io/Logging_VINDELN/tillsyn/A 32631-2019.docx", "A 32631-2019")</f>
        <v/>
      </c>
      <c r="Y536">
        <f>HYPERLINK("https://klasma.github.io/Logging_VINDELN/tillsynsmail/A 32631-2019.docx", "A 32631-2019")</f>
        <v/>
      </c>
    </row>
    <row r="537" ht="15" customHeight="1">
      <c r="A537" t="inlineStr">
        <is>
          <t>A 34058-2019</t>
        </is>
      </c>
      <c r="B537" s="1" t="n">
        <v>43654</v>
      </c>
      <c r="C537" s="1" t="n">
        <v>45204</v>
      </c>
      <c r="D537" t="inlineStr">
        <is>
          <t>VÄSTERBOTTENS LÄN</t>
        </is>
      </c>
      <c r="E537" t="inlineStr">
        <is>
          <t>SORSELE</t>
        </is>
      </c>
      <c r="F537" t="inlineStr">
        <is>
          <t>Sveaskog</t>
        </is>
      </c>
      <c r="G537" t="n">
        <v>1.1</v>
      </c>
      <c r="H537" t="n">
        <v>0</v>
      </c>
      <c r="I537" t="n">
        <v>0</v>
      </c>
      <c r="J537" t="n">
        <v>0</v>
      </c>
      <c r="K537" t="n">
        <v>1</v>
      </c>
      <c r="L537" t="n">
        <v>0</v>
      </c>
      <c r="M537" t="n">
        <v>0</v>
      </c>
      <c r="N537" t="n">
        <v>0</v>
      </c>
      <c r="O537" t="n">
        <v>1</v>
      </c>
      <c r="P537" t="n">
        <v>1</v>
      </c>
      <c r="Q537" t="n">
        <v>1</v>
      </c>
      <c r="R537" s="2" t="inlineStr">
        <is>
          <t>Rynkskinn</t>
        </is>
      </c>
      <c r="S537">
        <f>HYPERLINK("https://klasma.github.io/Logging_SORSELE/artfynd/A 34058-2019.xlsx", "A 34058-2019")</f>
        <v/>
      </c>
      <c r="T537">
        <f>HYPERLINK("https://klasma.github.io/Logging_SORSELE/kartor/A 34058-2019.png", "A 34058-2019")</f>
        <v/>
      </c>
      <c r="V537">
        <f>HYPERLINK("https://klasma.github.io/Logging_SORSELE/klagomål/A 34058-2019.docx", "A 34058-2019")</f>
        <v/>
      </c>
      <c r="W537">
        <f>HYPERLINK("https://klasma.github.io/Logging_SORSELE/klagomålsmail/A 34058-2019.docx", "A 34058-2019")</f>
        <v/>
      </c>
      <c r="X537">
        <f>HYPERLINK("https://klasma.github.io/Logging_SORSELE/tillsyn/A 34058-2019.docx", "A 34058-2019")</f>
        <v/>
      </c>
      <c r="Y537">
        <f>HYPERLINK("https://klasma.github.io/Logging_SORSELE/tillsynsmail/A 34058-2019.docx", "A 34058-2019")</f>
        <v/>
      </c>
    </row>
    <row r="538" ht="15" customHeight="1">
      <c r="A538" t="inlineStr">
        <is>
          <t>A 34784-2019</t>
        </is>
      </c>
      <c r="B538" s="1" t="n">
        <v>43658</v>
      </c>
      <c r="C538" s="1" t="n">
        <v>45204</v>
      </c>
      <c r="D538" t="inlineStr">
        <is>
          <t>VÄSTERBOTTENS LÄN</t>
        </is>
      </c>
      <c r="E538" t="inlineStr">
        <is>
          <t>VILHELMINA</t>
        </is>
      </c>
      <c r="F538" t="inlineStr">
        <is>
          <t>Sveaskog</t>
        </is>
      </c>
      <c r="G538" t="n">
        <v>1.8</v>
      </c>
      <c r="H538" t="n">
        <v>0</v>
      </c>
      <c r="I538" t="n">
        <v>0</v>
      </c>
      <c r="J538" t="n">
        <v>1</v>
      </c>
      <c r="K538" t="n">
        <v>0</v>
      </c>
      <c r="L538" t="n">
        <v>0</v>
      </c>
      <c r="M538" t="n">
        <v>0</v>
      </c>
      <c r="N538" t="n">
        <v>0</v>
      </c>
      <c r="O538" t="n">
        <v>1</v>
      </c>
      <c r="P538" t="n">
        <v>0</v>
      </c>
      <c r="Q538" t="n">
        <v>1</v>
      </c>
      <c r="R538" s="2" t="inlineStr">
        <is>
          <t>Tallticka</t>
        </is>
      </c>
      <c r="S538">
        <f>HYPERLINK("https://klasma.github.io/Logging_VILHELMINA/artfynd/A 34784-2019.xlsx", "A 34784-2019")</f>
        <v/>
      </c>
      <c r="T538">
        <f>HYPERLINK("https://klasma.github.io/Logging_VILHELMINA/kartor/A 34784-2019.png", "A 34784-2019")</f>
        <v/>
      </c>
      <c r="V538">
        <f>HYPERLINK("https://klasma.github.io/Logging_VILHELMINA/klagomål/A 34784-2019.docx", "A 34784-2019")</f>
        <v/>
      </c>
      <c r="W538">
        <f>HYPERLINK("https://klasma.github.io/Logging_VILHELMINA/klagomålsmail/A 34784-2019.docx", "A 34784-2019")</f>
        <v/>
      </c>
      <c r="X538">
        <f>HYPERLINK("https://klasma.github.io/Logging_VILHELMINA/tillsyn/A 34784-2019.docx", "A 34784-2019")</f>
        <v/>
      </c>
      <c r="Y538">
        <f>HYPERLINK("https://klasma.github.io/Logging_VILHELMINA/tillsynsmail/A 34784-2019.docx", "A 34784-2019")</f>
        <v/>
      </c>
    </row>
    <row r="539" ht="15" customHeight="1">
      <c r="A539" t="inlineStr">
        <is>
          <t>A 35565-2019</t>
        </is>
      </c>
      <c r="B539" s="1" t="n">
        <v>43664</v>
      </c>
      <c r="C539" s="1" t="n">
        <v>45204</v>
      </c>
      <c r="D539" t="inlineStr">
        <is>
          <t>VÄSTERBOTTENS LÄN</t>
        </is>
      </c>
      <c r="E539" t="inlineStr">
        <is>
          <t>ÅSELE</t>
        </is>
      </c>
      <c r="F539" t="inlineStr">
        <is>
          <t>Sveaskog</t>
        </is>
      </c>
      <c r="G539" t="n">
        <v>2.1</v>
      </c>
      <c r="H539" t="n">
        <v>0</v>
      </c>
      <c r="I539" t="n">
        <v>0</v>
      </c>
      <c r="J539" t="n">
        <v>1</v>
      </c>
      <c r="K539" t="n">
        <v>0</v>
      </c>
      <c r="L539" t="n">
        <v>0</v>
      </c>
      <c r="M539" t="n">
        <v>0</v>
      </c>
      <c r="N539" t="n">
        <v>0</v>
      </c>
      <c r="O539" t="n">
        <v>1</v>
      </c>
      <c r="P539" t="n">
        <v>0</v>
      </c>
      <c r="Q539" t="n">
        <v>1</v>
      </c>
      <c r="R539" s="2" t="inlineStr">
        <is>
          <t>Vitgrynig nållav</t>
        </is>
      </c>
      <c r="S539">
        <f>HYPERLINK("https://klasma.github.io/Logging_ASELE/artfynd/A 35565-2019.xlsx", "A 35565-2019")</f>
        <v/>
      </c>
      <c r="T539">
        <f>HYPERLINK("https://klasma.github.io/Logging_ASELE/kartor/A 35565-2019.png", "A 35565-2019")</f>
        <v/>
      </c>
      <c r="V539">
        <f>HYPERLINK("https://klasma.github.io/Logging_ASELE/klagomål/A 35565-2019.docx", "A 35565-2019")</f>
        <v/>
      </c>
      <c r="W539">
        <f>HYPERLINK("https://klasma.github.io/Logging_ASELE/klagomålsmail/A 35565-2019.docx", "A 35565-2019")</f>
        <v/>
      </c>
      <c r="X539">
        <f>HYPERLINK("https://klasma.github.io/Logging_ASELE/tillsyn/A 35565-2019.docx", "A 35565-2019")</f>
        <v/>
      </c>
      <c r="Y539">
        <f>HYPERLINK("https://klasma.github.io/Logging_ASELE/tillsynsmail/A 35565-2019.docx", "A 35565-2019")</f>
        <v/>
      </c>
    </row>
    <row r="540" ht="15" customHeight="1">
      <c r="A540" t="inlineStr">
        <is>
          <t>A 36373-2019</t>
        </is>
      </c>
      <c r="B540" s="1" t="n">
        <v>43670</v>
      </c>
      <c r="C540" s="1" t="n">
        <v>45204</v>
      </c>
      <c r="D540" t="inlineStr">
        <is>
          <t>VÄSTERBOTTENS LÄN</t>
        </is>
      </c>
      <c r="E540" t="inlineStr">
        <is>
          <t>LYCKSELE</t>
        </is>
      </c>
      <c r="F540" t="inlineStr">
        <is>
          <t>Sveaskog</t>
        </is>
      </c>
      <c r="G540" t="n">
        <v>2</v>
      </c>
      <c r="H540" t="n">
        <v>0</v>
      </c>
      <c r="I540" t="n">
        <v>1</v>
      </c>
      <c r="J540" t="n">
        <v>0</v>
      </c>
      <c r="K540" t="n">
        <v>0</v>
      </c>
      <c r="L540" t="n">
        <v>0</v>
      </c>
      <c r="M540" t="n">
        <v>0</v>
      </c>
      <c r="N540" t="n">
        <v>0</v>
      </c>
      <c r="O540" t="n">
        <v>0</v>
      </c>
      <c r="P540" t="n">
        <v>0</v>
      </c>
      <c r="Q540" t="n">
        <v>1</v>
      </c>
      <c r="R540" s="2" t="inlineStr">
        <is>
          <t>Stor aspticka</t>
        </is>
      </c>
      <c r="S540">
        <f>HYPERLINK("https://klasma.github.io/Logging_LYCKSELE/artfynd/A 36373-2019.xlsx", "A 36373-2019")</f>
        <v/>
      </c>
      <c r="T540">
        <f>HYPERLINK("https://klasma.github.io/Logging_LYCKSELE/kartor/A 36373-2019.png", "A 36373-2019")</f>
        <v/>
      </c>
      <c r="U540">
        <f>HYPERLINK("https://klasma.github.io/Logging_LYCKSELE/knärot/A 36373-2019.png", "A 36373-2019")</f>
        <v/>
      </c>
      <c r="V540">
        <f>HYPERLINK("https://klasma.github.io/Logging_LYCKSELE/klagomål/A 36373-2019.docx", "A 36373-2019")</f>
        <v/>
      </c>
      <c r="W540">
        <f>HYPERLINK("https://klasma.github.io/Logging_LYCKSELE/klagomålsmail/A 36373-2019.docx", "A 36373-2019")</f>
        <v/>
      </c>
      <c r="X540">
        <f>HYPERLINK("https://klasma.github.io/Logging_LYCKSELE/tillsyn/A 36373-2019.docx", "A 36373-2019")</f>
        <v/>
      </c>
      <c r="Y540">
        <f>HYPERLINK("https://klasma.github.io/Logging_LYCKSELE/tillsynsmail/A 36373-2019.docx", "A 36373-2019")</f>
        <v/>
      </c>
    </row>
    <row r="541" ht="15" customHeight="1">
      <c r="A541" t="inlineStr">
        <is>
          <t>A 39136-2019</t>
        </is>
      </c>
      <c r="B541" s="1" t="n">
        <v>43689</v>
      </c>
      <c r="C541" s="1" t="n">
        <v>45204</v>
      </c>
      <c r="D541" t="inlineStr">
        <is>
          <t>VÄSTERBOTTENS LÄN</t>
        </is>
      </c>
      <c r="E541" t="inlineStr">
        <is>
          <t>BJURHOLM</t>
        </is>
      </c>
      <c r="G541" t="n">
        <v>2.2</v>
      </c>
      <c r="H541" t="n">
        <v>0</v>
      </c>
      <c r="I541" t="n">
        <v>0</v>
      </c>
      <c r="J541" t="n">
        <v>1</v>
      </c>
      <c r="K541" t="n">
        <v>0</v>
      </c>
      <c r="L541" t="n">
        <v>0</v>
      </c>
      <c r="M541" t="n">
        <v>0</v>
      </c>
      <c r="N541" t="n">
        <v>0</v>
      </c>
      <c r="O541" t="n">
        <v>1</v>
      </c>
      <c r="P541" t="n">
        <v>0</v>
      </c>
      <c r="Q541" t="n">
        <v>1</v>
      </c>
      <c r="R541" s="2" t="inlineStr">
        <is>
          <t>Lunglav</t>
        </is>
      </c>
      <c r="S541">
        <f>HYPERLINK("https://klasma.github.io/Logging_BJURHOLM/artfynd/A 39136-2019.xlsx", "A 39136-2019")</f>
        <v/>
      </c>
      <c r="T541">
        <f>HYPERLINK("https://klasma.github.io/Logging_BJURHOLM/kartor/A 39136-2019.png", "A 39136-2019")</f>
        <v/>
      </c>
      <c r="V541">
        <f>HYPERLINK("https://klasma.github.io/Logging_BJURHOLM/klagomål/A 39136-2019.docx", "A 39136-2019")</f>
        <v/>
      </c>
      <c r="W541">
        <f>HYPERLINK("https://klasma.github.io/Logging_BJURHOLM/klagomålsmail/A 39136-2019.docx", "A 39136-2019")</f>
        <v/>
      </c>
      <c r="X541">
        <f>HYPERLINK("https://klasma.github.io/Logging_BJURHOLM/tillsyn/A 39136-2019.docx", "A 39136-2019")</f>
        <v/>
      </c>
      <c r="Y541">
        <f>HYPERLINK("https://klasma.github.io/Logging_BJURHOLM/tillsynsmail/A 39136-2019.docx", "A 39136-2019")</f>
        <v/>
      </c>
    </row>
    <row r="542" ht="15" customHeight="1">
      <c r="A542" t="inlineStr">
        <is>
          <t>A 39400-2019</t>
        </is>
      </c>
      <c r="B542" s="1" t="n">
        <v>43690</v>
      </c>
      <c r="C542" s="1" t="n">
        <v>45204</v>
      </c>
      <c r="D542" t="inlineStr">
        <is>
          <t>VÄSTERBOTTENS LÄN</t>
        </is>
      </c>
      <c r="E542" t="inlineStr">
        <is>
          <t>VINDELN</t>
        </is>
      </c>
      <c r="F542" t="inlineStr">
        <is>
          <t>SCA</t>
        </is>
      </c>
      <c r="G542" t="n">
        <v>1.9</v>
      </c>
      <c r="H542" t="n">
        <v>0</v>
      </c>
      <c r="I542" t="n">
        <v>0</v>
      </c>
      <c r="J542" t="n">
        <v>1</v>
      </c>
      <c r="K542" t="n">
        <v>0</v>
      </c>
      <c r="L542" t="n">
        <v>0</v>
      </c>
      <c r="M542" t="n">
        <v>0</v>
      </c>
      <c r="N542" t="n">
        <v>0</v>
      </c>
      <c r="O542" t="n">
        <v>1</v>
      </c>
      <c r="P542" t="n">
        <v>0</v>
      </c>
      <c r="Q542" t="n">
        <v>1</v>
      </c>
      <c r="R542" s="2" t="inlineStr">
        <is>
          <t>Gammelgransskål</t>
        </is>
      </c>
      <c r="S542">
        <f>HYPERLINK("https://klasma.github.io/Logging_VINDELN/artfynd/A 39400-2019.xlsx", "A 39400-2019")</f>
        <v/>
      </c>
      <c r="T542">
        <f>HYPERLINK("https://klasma.github.io/Logging_VINDELN/kartor/A 39400-2019.png", "A 39400-2019")</f>
        <v/>
      </c>
      <c r="V542">
        <f>HYPERLINK("https://klasma.github.io/Logging_VINDELN/klagomål/A 39400-2019.docx", "A 39400-2019")</f>
        <v/>
      </c>
      <c r="W542">
        <f>HYPERLINK("https://klasma.github.io/Logging_VINDELN/klagomålsmail/A 39400-2019.docx", "A 39400-2019")</f>
        <v/>
      </c>
      <c r="X542">
        <f>HYPERLINK("https://klasma.github.io/Logging_VINDELN/tillsyn/A 39400-2019.docx", "A 39400-2019")</f>
        <v/>
      </c>
      <c r="Y542">
        <f>HYPERLINK("https://klasma.github.io/Logging_VINDELN/tillsynsmail/A 39400-2019.docx", "A 39400-2019")</f>
        <v/>
      </c>
    </row>
    <row r="543" ht="15" customHeight="1">
      <c r="A543" t="inlineStr">
        <is>
          <t>A 48391-2019</t>
        </is>
      </c>
      <c r="B543" s="1" t="n">
        <v>43726</v>
      </c>
      <c r="C543" s="1" t="n">
        <v>45204</v>
      </c>
      <c r="D543" t="inlineStr">
        <is>
          <t>VÄSTERBOTTENS LÄN</t>
        </is>
      </c>
      <c r="E543" t="inlineStr">
        <is>
          <t>VILHELMINA</t>
        </is>
      </c>
      <c r="F543" t="inlineStr">
        <is>
          <t>SCA</t>
        </is>
      </c>
      <c r="G543" t="n">
        <v>10.7</v>
      </c>
      <c r="H543" t="n">
        <v>0</v>
      </c>
      <c r="I543" t="n">
        <v>0</v>
      </c>
      <c r="J543" t="n">
        <v>1</v>
      </c>
      <c r="K543" t="n">
        <v>0</v>
      </c>
      <c r="L543" t="n">
        <v>0</v>
      </c>
      <c r="M543" t="n">
        <v>0</v>
      </c>
      <c r="N543" t="n">
        <v>0</v>
      </c>
      <c r="O543" t="n">
        <v>1</v>
      </c>
      <c r="P543" t="n">
        <v>0</v>
      </c>
      <c r="Q543" t="n">
        <v>1</v>
      </c>
      <c r="R543" s="2" t="inlineStr">
        <is>
          <t>Skrovellav</t>
        </is>
      </c>
      <c r="S543">
        <f>HYPERLINK("https://klasma.github.io/Logging_VILHELMINA/artfynd/A 48391-2019.xlsx", "A 48391-2019")</f>
        <v/>
      </c>
      <c r="T543">
        <f>HYPERLINK("https://klasma.github.io/Logging_VILHELMINA/kartor/A 48391-2019.png", "A 48391-2019")</f>
        <v/>
      </c>
      <c r="V543">
        <f>HYPERLINK("https://klasma.github.io/Logging_VILHELMINA/klagomål/A 48391-2019.docx", "A 48391-2019")</f>
        <v/>
      </c>
      <c r="W543">
        <f>HYPERLINK("https://klasma.github.io/Logging_VILHELMINA/klagomålsmail/A 48391-2019.docx", "A 48391-2019")</f>
        <v/>
      </c>
      <c r="X543">
        <f>HYPERLINK("https://klasma.github.io/Logging_VILHELMINA/tillsyn/A 48391-2019.docx", "A 48391-2019")</f>
        <v/>
      </c>
      <c r="Y543">
        <f>HYPERLINK("https://klasma.github.io/Logging_VILHELMINA/tillsynsmail/A 48391-2019.docx", "A 48391-2019")</f>
        <v/>
      </c>
    </row>
    <row r="544" ht="15" customHeight="1">
      <c r="A544" t="inlineStr">
        <is>
          <t>A 51211-2019</t>
        </is>
      </c>
      <c r="B544" s="1" t="n">
        <v>43739</v>
      </c>
      <c r="C544" s="1" t="n">
        <v>45204</v>
      </c>
      <c r="D544" t="inlineStr">
        <is>
          <t>VÄSTERBOTTENS LÄN</t>
        </is>
      </c>
      <c r="E544" t="inlineStr">
        <is>
          <t>LYCKSELE</t>
        </is>
      </c>
      <c r="F544" t="inlineStr">
        <is>
          <t>Kyrkan</t>
        </is>
      </c>
      <c r="G544" t="n">
        <v>4.1</v>
      </c>
      <c r="H544" t="n">
        <v>0</v>
      </c>
      <c r="I544" t="n">
        <v>1</v>
      </c>
      <c r="J544" t="n">
        <v>0</v>
      </c>
      <c r="K544" t="n">
        <v>0</v>
      </c>
      <c r="L544" t="n">
        <v>0</v>
      </c>
      <c r="M544" t="n">
        <v>0</v>
      </c>
      <c r="N544" t="n">
        <v>0</v>
      </c>
      <c r="O544" t="n">
        <v>0</v>
      </c>
      <c r="P544" t="n">
        <v>0</v>
      </c>
      <c r="Q544" t="n">
        <v>1</v>
      </c>
      <c r="R544" s="2" t="inlineStr">
        <is>
          <t>Skarp dropptaggsvamp</t>
        </is>
      </c>
      <c r="S544">
        <f>HYPERLINK("https://klasma.github.io/Logging_LYCKSELE/artfynd/A 51211-2019.xlsx", "A 51211-2019")</f>
        <v/>
      </c>
      <c r="T544">
        <f>HYPERLINK("https://klasma.github.io/Logging_LYCKSELE/kartor/A 51211-2019.png", "A 51211-2019")</f>
        <v/>
      </c>
      <c r="V544">
        <f>HYPERLINK("https://klasma.github.io/Logging_LYCKSELE/klagomål/A 51211-2019.docx", "A 51211-2019")</f>
        <v/>
      </c>
      <c r="W544">
        <f>HYPERLINK("https://klasma.github.io/Logging_LYCKSELE/klagomålsmail/A 51211-2019.docx", "A 51211-2019")</f>
        <v/>
      </c>
      <c r="X544">
        <f>HYPERLINK("https://klasma.github.io/Logging_LYCKSELE/tillsyn/A 51211-2019.docx", "A 51211-2019")</f>
        <v/>
      </c>
      <c r="Y544">
        <f>HYPERLINK("https://klasma.github.io/Logging_LYCKSELE/tillsynsmail/A 51211-2019.docx", "A 51211-2019")</f>
        <v/>
      </c>
    </row>
    <row r="545" ht="15" customHeight="1">
      <c r="A545" t="inlineStr">
        <is>
          <t>A 51461-2019</t>
        </is>
      </c>
      <c r="B545" s="1" t="n">
        <v>43740</v>
      </c>
      <c r="C545" s="1" t="n">
        <v>45204</v>
      </c>
      <c r="D545" t="inlineStr">
        <is>
          <t>VÄSTERBOTTENS LÄN</t>
        </is>
      </c>
      <c r="E545" t="inlineStr">
        <is>
          <t>SKELLEFTEÅ</t>
        </is>
      </c>
      <c r="F545" t="inlineStr">
        <is>
          <t>Sveaskog</t>
        </is>
      </c>
      <c r="G545" t="n">
        <v>12.2</v>
      </c>
      <c r="H545" t="n">
        <v>0</v>
      </c>
      <c r="I545" t="n">
        <v>0</v>
      </c>
      <c r="J545" t="n">
        <v>0</v>
      </c>
      <c r="K545" t="n">
        <v>0</v>
      </c>
      <c r="L545" t="n">
        <v>1</v>
      </c>
      <c r="M545" t="n">
        <v>0</v>
      </c>
      <c r="N545" t="n">
        <v>0</v>
      </c>
      <c r="O545" t="n">
        <v>1</v>
      </c>
      <c r="P545" t="n">
        <v>1</v>
      </c>
      <c r="Q545" t="n">
        <v>1</v>
      </c>
      <c r="R545" s="2" t="inlineStr">
        <is>
          <t>Flodpärlmussla</t>
        </is>
      </c>
      <c r="S545">
        <f>HYPERLINK("https://klasma.github.io/Logging_SKELLEFTEA/artfynd/A 51461-2019.xlsx", "A 51461-2019")</f>
        <v/>
      </c>
      <c r="T545">
        <f>HYPERLINK("https://klasma.github.io/Logging_SKELLEFTEA/kartor/A 51461-2019.png", "A 51461-2019")</f>
        <v/>
      </c>
      <c r="V545">
        <f>HYPERLINK("https://klasma.github.io/Logging_SKELLEFTEA/klagomål/A 51461-2019.docx", "A 51461-2019")</f>
        <v/>
      </c>
      <c r="W545">
        <f>HYPERLINK("https://klasma.github.io/Logging_SKELLEFTEA/klagomålsmail/A 51461-2019.docx", "A 51461-2019")</f>
        <v/>
      </c>
      <c r="X545">
        <f>HYPERLINK("https://klasma.github.io/Logging_SKELLEFTEA/tillsyn/A 51461-2019.docx", "A 51461-2019")</f>
        <v/>
      </c>
      <c r="Y545">
        <f>HYPERLINK("https://klasma.github.io/Logging_SKELLEFTEA/tillsynsmail/A 51461-2019.docx", "A 51461-2019")</f>
        <v/>
      </c>
    </row>
    <row r="546" ht="15" customHeight="1">
      <c r="A546" t="inlineStr">
        <is>
          <t>A 51774-2019</t>
        </is>
      </c>
      <c r="B546" s="1" t="n">
        <v>43741</v>
      </c>
      <c r="C546" s="1" t="n">
        <v>45204</v>
      </c>
      <c r="D546" t="inlineStr">
        <is>
          <t>VÄSTERBOTTENS LÄN</t>
        </is>
      </c>
      <c r="E546" t="inlineStr">
        <is>
          <t>VILHELMINA</t>
        </is>
      </c>
      <c r="F546" t="inlineStr">
        <is>
          <t>Allmännings- och besparingsskogar</t>
        </is>
      </c>
      <c r="G546" t="n">
        <v>19.9</v>
      </c>
      <c r="H546" t="n">
        <v>1</v>
      </c>
      <c r="I546" t="n">
        <v>0</v>
      </c>
      <c r="J546" t="n">
        <v>1</v>
      </c>
      <c r="K546" t="n">
        <v>0</v>
      </c>
      <c r="L546" t="n">
        <v>0</v>
      </c>
      <c r="M546" t="n">
        <v>0</v>
      </c>
      <c r="N546" t="n">
        <v>0</v>
      </c>
      <c r="O546" t="n">
        <v>1</v>
      </c>
      <c r="P546" t="n">
        <v>0</v>
      </c>
      <c r="Q546" t="n">
        <v>1</v>
      </c>
      <c r="R546" s="2" t="inlineStr">
        <is>
          <t>Tretåig hackspett</t>
        </is>
      </c>
      <c r="S546">
        <f>HYPERLINK("https://klasma.github.io/Logging_VILHELMINA/artfynd/A 51774-2019.xlsx", "A 51774-2019")</f>
        <v/>
      </c>
      <c r="T546">
        <f>HYPERLINK("https://klasma.github.io/Logging_VILHELMINA/kartor/A 51774-2019.png", "A 51774-2019")</f>
        <v/>
      </c>
      <c r="V546">
        <f>HYPERLINK("https://klasma.github.io/Logging_VILHELMINA/klagomål/A 51774-2019.docx", "A 51774-2019")</f>
        <v/>
      </c>
      <c r="W546">
        <f>HYPERLINK("https://klasma.github.io/Logging_VILHELMINA/klagomålsmail/A 51774-2019.docx", "A 51774-2019")</f>
        <v/>
      </c>
      <c r="X546">
        <f>HYPERLINK("https://klasma.github.io/Logging_VILHELMINA/tillsyn/A 51774-2019.docx", "A 51774-2019")</f>
        <v/>
      </c>
      <c r="Y546">
        <f>HYPERLINK("https://klasma.github.io/Logging_VILHELMINA/tillsynsmail/A 51774-2019.docx", "A 51774-2019")</f>
        <v/>
      </c>
    </row>
    <row r="547" ht="15" customHeight="1">
      <c r="A547" t="inlineStr">
        <is>
          <t>A 53745-2019</t>
        </is>
      </c>
      <c r="B547" s="1" t="n">
        <v>43749</v>
      </c>
      <c r="C547" s="1" t="n">
        <v>45204</v>
      </c>
      <c r="D547" t="inlineStr">
        <is>
          <t>VÄSTERBOTTENS LÄN</t>
        </is>
      </c>
      <c r="E547" t="inlineStr">
        <is>
          <t>UMEÅ</t>
        </is>
      </c>
      <c r="G547" t="n">
        <v>1.9</v>
      </c>
      <c r="H547" t="n">
        <v>0</v>
      </c>
      <c r="I547" t="n">
        <v>1</v>
      </c>
      <c r="J547" t="n">
        <v>0</v>
      </c>
      <c r="K547" t="n">
        <v>0</v>
      </c>
      <c r="L547" t="n">
        <v>0</v>
      </c>
      <c r="M547" t="n">
        <v>0</v>
      </c>
      <c r="N547" t="n">
        <v>0</v>
      </c>
      <c r="O547" t="n">
        <v>0</v>
      </c>
      <c r="P547" t="n">
        <v>0</v>
      </c>
      <c r="Q547" t="n">
        <v>1</v>
      </c>
      <c r="R547" s="2" t="inlineStr">
        <is>
          <t>Strutbräken</t>
        </is>
      </c>
      <c r="S547">
        <f>HYPERLINK("https://klasma.github.io/Logging_UMEA/artfynd/A 53745-2019.xlsx", "A 53745-2019")</f>
        <v/>
      </c>
      <c r="T547">
        <f>HYPERLINK("https://klasma.github.io/Logging_UMEA/kartor/A 53745-2019.png", "A 53745-2019")</f>
        <v/>
      </c>
      <c r="V547">
        <f>HYPERLINK("https://klasma.github.io/Logging_UMEA/klagomål/A 53745-2019.docx", "A 53745-2019")</f>
        <v/>
      </c>
      <c r="W547">
        <f>HYPERLINK("https://klasma.github.io/Logging_UMEA/klagomålsmail/A 53745-2019.docx", "A 53745-2019")</f>
        <v/>
      </c>
      <c r="X547">
        <f>HYPERLINK("https://klasma.github.io/Logging_UMEA/tillsyn/A 53745-2019.docx", "A 53745-2019")</f>
        <v/>
      </c>
      <c r="Y547">
        <f>HYPERLINK("https://klasma.github.io/Logging_UMEA/tillsynsmail/A 53745-2019.docx", "A 53745-2019")</f>
        <v/>
      </c>
    </row>
    <row r="548" ht="15" customHeight="1">
      <c r="A548" t="inlineStr">
        <is>
          <t>A 55341-2019</t>
        </is>
      </c>
      <c r="B548" s="1" t="n">
        <v>43756</v>
      </c>
      <c r="C548" s="1" t="n">
        <v>45204</v>
      </c>
      <c r="D548" t="inlineStr">
        <is>
          <t>VÄSTERBOTTENS LÄN</t>
        </is>
      </c>
      <c r="E548" t="inlineStr">
        <is>
          <t>SKELLEFTEÅ</t>
        </is>
      </c>
      <c r="F548" t="inlineStr">
        <is>
          <t>Sveaskog</t>
        </is>
      </c>
      <c r="G548" t="n">
        <v>8.5</v>
      </c>
      <c r="H548" t="n">
        <v>0</v>
      </c>
      <c r="I548" t="n">
        <v>1</v>
      </c>
      <c r="J548" t="n">
        <v>0</v>
      </c>
      <c r="K548" t="n">
        <v>0</v>
      </c>
      <c r="L548" t="n">
        <v>0</v>
      </c>
      <c r="M548" t="n">
        <v>0</v>
      </c>
      <c r="N548" t="n">
        <v>0</v>
      </c>
      <c r="O548" t="n">
        <v>0</v>
      </c>
      <c r="P548" t="n">
        <v>0</v>
      </c>
      <c r="Q548" t="n">
        <v>1</v>
      </c>
      <c r="R548" s="2" t="inlineStr">
        <is>
          <t>Skinnlav</t>
        </is>
      </c>
      <c r="S548">
        <f>HYPERLINK("https://klasma.github.io/Logging_SKELLEFTEA/artfynd/A 55341-2019.xlsx", "A 55341-2019")</f>
        <v/>
      </c>
      <c r="T548">
        <f>HYPERLINK("https://klasma.github.io/Logging_SKELLEFTEA/kartor/A 55341-2019.png", "A 55341-2019")</f>
        <v/>
      </c>
      <c r="V548">
        <f>HYPERLINK("https://klasma.github.io/Logging_SKELLEFTEA/klagomål/A 55341-2019.docx", "A 55341-2019")</f>
        <v/>
      </c>
      <c r="W548">
        <f>HYPERLINK("https://klasma.github.io/Logging_SKELLEFTEA/klagomålsmail/A 55341-2019.docx", "A 55341-2019")</f>
        <v/>
      </c>
      <c r="X548">
        <f>HYPERLINK("https://klasma.github.io/Logging_SKELLEFTEA/tillsyn/A 55341-2019.docx", "A 55341-2019")</f>
        <v/>
      </c>
      <c r="Y548">
        <f>HYPERLINK("https://klasma.github.io/Logging_SKELLEFTEA/tillsynsmail/A 55341-2019.docx", "A 55341-2019")</f>
        <v/>
      </c>
    </row>
    <row r="549" ht="15" customHeight="1">
      <c r="A549" t="inlineStr">
        <is>
          <t>A 59424-2019</t>
        </is>
      </c>
      <c r="B549" s="1" t="n">
        <v>43775</v>
      </c>
      <c r="C549" s="1" t="n">
        <v>45204</v>
      </c>
      <c r="D549" t="inlineStr">
        <is>
          <t>VÄSTERBOTTENS LÄN</t>
        </is>
      </c>
      <c r="E549" t="inlineStr">
        <is>
          <t>VILHELMINA</t>
        </is>
      </c>
      <c r="G549" t="n">
        <v>17.4</v>
      </c>
      <c r="H549" t="n">
        <v>0</v>
      </c>
      <c r="I549" t="n">
        <v>0</v>
      </c>
      <c r="J549" t="n">
        <v>1</v>
      </c>
      <c r="K549" t="n">
        <v>0</v>
      </c>
      <c r="L549" t="n">
        <v>0</v>
      </c>
      <c r="M549" t="n">
        <v>0</v>
      </c>
      <c r="N549" t="n">
        <v>0</v>
      </c>
      <c r="O549" t="n">
        <v>1</v>
      </c>
      <c r="P549" t="n">
        <v>0</v>
      </c>
      <c r="Q549" t="n">
        <v>1</v>
      </c>
      <c r="R549" s="2" t="inlineStr">
        <is>
          <t>Granticka</t>
        </is>
      </c>
      <c r="S549">
        <f>HYPERLINK("https://klasma.github.io/Logging_VILHELMINA/artfynd/A 59424-2019.xlsx", "A 59424-2019")</f>
        <v/>
      </c>
      <c r="T549">
        <f>HYPERLINK("https://klasma.github.io/Logging_VILHELMINA/kartor/A 59424-2019.png", "A 59424-2019")</f>
        <v/>
      </c>
      <c r="V549">
        <f>HYPERLINK("https://klasma.github.io/Logging_VILHELMINA/klagomål/A 59424-2019.docx", "A 59424-2019")</f>
        <v/>
      </c>
      <c r="W549">
        <f>HYPERLINK("https://klasma.github.io/Logging_VILHELMINA/klagomålsmail/A 59424-2019.docx", "A 59424-2019")</f>
        <v/>
      </c>
      <c r="X549">
        <f>HYPERLINK("https://klasma.github.io/Logging_VILHELMINA/tillsyn/A 59424-2019.docx", "A 59424-2019")</f>
        <v/>
      </c>
      <c r="Y549">
        <f>HYPERLINK("https://klasma.github.io/Logging_VILHELMINA/tillsynsmail/A 59424-2019.docx", "A 59424-2019")</f>
        <v/>
      </c>
    </row>
    <row r="550" ht="15" customHeight="1">
      <c r="A550" t="inlineStr">
        <is>
          <t>A 60563-2019</t>
        </is>
      </c>
      <c r="B550" s="1" t="n">
        <v>43781</v>
      </c>
      <c r="C550" s="1" t="n">
        <v>45204</v>
      </c>
      <c r="D550" t="inlineStr">
        <is>
          <t>VÄSTERBOTTENS LÄN</t>
        </is>
      </c>
      <c r="E550" t="inlineStr">
        <is>
          <t>LYCKSELE</t>
        </is>
      </c>
      <c r="F550" t="inlineStr">
        <is>
          <t>Sveaskog</t>
        </is>
      </c>
      <c r="G550" t="n">
        <v>25.1</v>
      </c>
      <c r="H550" t="n">
        <v>0</v>
      </c>
      <c r="I550" t="n">
        <v>0</v>
      </c>
      <c r="J550" t="n">
        <v>1</v>
      </c>
      <c r="K550" t="n">
        <v>0</v>
      </c>
      <c r="L550" t="n">
        <v>0</v>
      </c>
      <c r="M550" t="n">
        <v>0</v>
      </c>
      <c r="N550" t="n">
        <v>0</v>
      </c>
      <c r="O550" t="n">
        <v>1</v>
      </c>
      <c r="P550" t="n">
        <v>0</v>
      </c>
      <c r="Q550" t="n">
        <v>1</v>
      </c>
      <c r="R550" s="2" t="inlineStr">
        <is>
          <t>Lunglav</t>
        </is>
      </c>
      <c r="S550">
        <f>HYPERLINK("https://klasma.github.io/Logging_LYCKSELE/artfynd/A 60563-2019.xlsx", "A 60563-2019")</f>
        <v/>
      </c>
      <c r="T550">
        <f>HYPERLINK("https://klasma.github.io/Logging_LYCKSELE/kartor/A 60563-2019.png", "A 60563-2019")</f>
        <v/>
      </c>
      <c r="V550">
        <f>HYPERLINK("https://klasma.github.io/Logging_LYCKSELE/klagomål/A 60563-2019.docx", "A 60563-2019")</f>
        <v/>
      </c>
      <c r="W550">
        <f>HYPERLINK("https://klasma.github.io/Logging_LYCKSELE/klagomålsmail/A 60563-2019.docx", "A 60563-2019")</f>
        <v/>
      </c>
      <c r="X550">
        <f>HYPERLINK("https://klasma.github.io/Logging_LYCKSELE/tillsyn/A 60563-2019.docx", "A 60563-2019")</f>
        <v/>
      </c>
      <c r="Y550">
        <f>HYPERLINK("https://klasma.github.io/Logging_LYCKSELE/tillsynsmail/A 60563-2019.docx", "A 60563-2019")</f>
        <v/>
      </c>
    </row>
    <row r="551" ht="15" customHeight="1">
      <c r="A551" t="inlineStr">
        <is>
          <t>A 61542-2019</t>
        </is>
      </c>
      <c r="B551" s="1" t="n">
        <v>43784</v>
      </c>
      <c r="C551" s="1" t="n">
        <v>45204</v>
      </c>
      <c r="D551" t="inlineStr">
        <is>
          <t>VÄSTERBOTTENS LÄN</t>
        </is>
      </c>
      <c r="E551" t="inlineStr">
        <is>
          <t>NORSJÖ</t>
        </is>
      </c>
      <c r="F551" t="inlineStr">
        <is>
          <t>Sveaskog</t>
        </is>
      </c>
      <c r="G551" t="n">
        <v>31.1</v>
      </c>
      <c r="H551" t="n">
        <v>0</v>
      </c>
      <c r="I551" t="n">
        <v>0</v>
      </c>
      <c r="J551" t="n">
        <v>1</v>
      </c>
      <c r="K551" t="n">
        <v>0</v>
      </c>
      <c r="L551" t="n">
        <v>0</v>
      </c>
      <c r="M551" t="n">
        <v>0</v>
      </c>
      <c r="N551" t="n">
        <v>0</v>
      </c>
      <c r="O551" t="n">
        <v>1</v>
      </c>
      <c r="P551" t="n">
        <v>0</v>
      </c>
      <c r="Q551" t="n">
        <v>1</v>
      </c>
      <c r="R551" s="2" t="inlineStr">
        <is>
          <t>Lunglav</t>
        </is>
      </c>
      <c r="S551">
        <f>HYPERLINK("https://klasma.github.io/Logging_NORSJO/artfynd/A 61542-2019.xlsx", "A 61542-2019")</f>
        <v/>
      </c>
      <c r="T551">
        <f>HYPERLINK("https://klasma.github.io/Logging_NORSJO/kartor/A 61542-2019.png", "A 61542-2019")</f>
        <v/>
      </c>
      <c r="V551">
        <f>HYPERLINK("https://klasma.github.io/Logging_NORSJO/klagomål/A 61542-2019.docx", "A 61542-2019")</f>
        <v/>
      </c>
      <c r="W551">
        <f>HYPERLINK("https://klasma.github.io/Logging_NORSJO/klagomålsmail/A 61542-2019.docx", "A 61542-2019")</f>
        <v/>
      </c>
      <c r="X551">
        <f>HYPERLINK("https://klasma.github.io/Logging_NORSJO/tillsyn/A 61542-2019.docx", "A 61542-2019")</f>
        <v/>
      </c>
      <c r="Y551">
        <f>HYPERLINK("https://klasma.github.io/Logging_NORSJO/tillsynsmail/A 61542-2019.docx", "A 61542-2019")</f>
        <v/>
      </c>
    </row>
    <row r="552" ht="15" customHeight="1">
      <c r="A552" t="inlineStr">
        <is>
          <t>A 63411-2019</t>
        </is>
      </c>
      <c r="B552" s="1" t="n">
        <v>43787</v>
      </c>
      <c r="C552" s="1" t="n">
        <v>45204</v>
      </c>
      <c r="D552" t="inlineStr">
        <is>
          <t>VÄSTERBOTTENS LÄN</t>
        </is>
      </c>
      <c r="E552" t="inlineStr">
        <is>
          <t>NORDMALING</t>
        </is>
      </c>
      <c r="F552" t="inlineStr">
        <is>
          <t>SCA</t>
        </is>
      </c>
      <c r="G552" t="n">
        <v>6.3</v>
      </c>
      <c r="H552" t="n">
        <v>0</v>
      </c>
      <c r="I552" t="n">
        <v>1</v>
      </c>
      <c r="J552" t="n">
        <v>0</v>
      </c>
      <c r="K552" t="n">
        <v>0</v>
      </c>
      <c r="L552" t="n">
        <v>0</v>
      </c>
      <c r="M552" t="n">
        <v>0</v>
      </c>
      <c r="N552" t="n">
        <v>0</v>
      </c>
      <c r="O552" t="n">
        <v>0</v>
      </c>
      <c r="P552" t="n">
        <v>0</v>
      </c>
      <c r="Q552" t="n">
        <v>1</v>
      </c>
      <c r="R552" s="2" t="inlineStr">
        <is>
          <t>Jättesvampmal</t>
        </is>
      </c>
      <c r="S552">
        <f>HYPERLINK("https://klasma.github.io/Logging_NORDMALING/artfynd/A 63411-2019.xlsx", "A 63411-2019")</f>
        <v/>
      </c>
      <c r="T552">
        <f>HYPERLINK("https://klasma.github.io/Logging_NORDMALING/kartor/A 63411-2019.png", "A 63411-2019")</f>
        <v/>
      </c>
      <c r="V552">
        <f>HYPERLINK("https://klasma.github.io/Logging_NORDMALING/klagomål/A 63411-2019.docx", "A 63411-2019")</f>
        <v/>
      </c>
      <c r="W552">
        <f>HYPERLINK("https://klasma.github.io/Logging_NORDMALING/klagomålsmail/A 63411-2019.docx", "A 63411-2019")</f>
        <v/>
      </c>
      <c r="X552">
        <f>HYPERLINK("https://klasma.github.io/Logging_NORDMALING/tillsyn/A 63411-2019.docx", "A 63411-2019")</f>
        <v/>
      </c>
      <c r="Y552">
        <f>HYPERLINK("https://klasma.github.io/Logging_NORDMALING/tillsynsmail/A 63411-2019.docx", "A 63411-2019")</f>
        <v/>
      </c>
    </row>
    <row r="553" ht="15" customHeight="1">
      <c r="A553" t="inlineStr">
        <is>
          <t>A 63673-2019</t>
        </is>
      </c>
      <c r="B553" s="1" t="n">
        <v>43789</v>
      </c>
      <c r="C553" s="1" t="n">
        <v>45204</v>
      </c>
      <c r="D553" t="inlineStr">
        <is>
          <t>VÄSTERBOTTENS LÄN</t>
        </is>
      </c>
      <c r="E553" t="inlineStr">
        <is>
          <t>STORUMAN</t>
        </is>
      </c>
      <c r="G553" t="n">
        <v>4.1</v>
      </c>
      <c r="H553" t="n">
        <v>1</v>
      </c>
      <c r="I553" t="n">
        <v>0</v>
      </c>
      <c r="J553" t="n">
        <v>0</v>
      </c>
      <c r="K553" t="n">
        <v>1</v>
      </c>
      <c r="L553" t="n">
        <v>0</v>
      </c>
      <c r="M553" t="n">
        <v>0</v>
      </c>
      <c r="N553" t="n">
        <v>0</v>
      </c>
      <c r="O553" t="n">
        <v>1</v>
      </c>
      <c r="P553" t="n">
        <v>1</v>
      </c>
      <c r="Q553" t="n">
        <v>1</v>
      </c>
      <c r="R553" s="2" t="inlineStr">
        <is>
          <t>Doftticka</t>
        </is>
      </c>
      <c r="S553">
        <f>HYPERLINK("https://klasma.github.io/Logging_STORUMAN/artfynd/A 63673-2019.xlsx", "A 63673-2019")</f>
        <v/>
      </c>
      <c r="T553">
        <f>HYPERLINK("https://klasma.github.io/Logging_STORUMAN/kartor/A 63673-2019.png", "A 63673-2019")</f>
        <v/>
      </c>
      <c r="V553">
        <f>HYPERLINK("https://klasma.github.io/Logging_STORUMAN/klagomål/A 63673-2019.docx", "A 63673-2019")</f>
        <v/>
      </c>
      <c r="W553">
        <f>HYPERLINK("https://klasma.github.io/Logging_STORUMAN/klagomålsmail/A 63673-2019.docx", "A 63673-2019")</f>
        <v/>
      </c>
      <c r="X553">
        <f>HYPERLINK("https://klasma.github.io/Logging_STORUMAN/tillsyn/A 63673-2019.docx", "A 63673-2019")</f>
        <v/>
      </c>
      <c r="Y553">
        <f>HYPERLINK("https://klasma.github.io/Logging_STORUMAN/tillsynsmail/A 63673-2019.docx", "A 63673-2019")</f>
        <v/>
      </c>
    </row>
    <row r="554" ht="15" customHeight="1">
      <c r="A554" t="inlineStr">
        <is>
          <t>A 63709-2019</t>
        </is>
      </c>
      <c r="B554" s="1" t="n">
        <v>43795</v>
      </c>
      <c r="C554" s="1" t="n">
        <v>45204</v>
      </c>
      <c r="D554" t="inlineStr">
        <is>
          <t>VÄSTERBOTTENS LÄN</t>
        </is>
      </c>
      <c r="E554" t="inlineStr">
        <is>
          <t>SKELLEFTEÅ</t>
        </is>
      </c>
      <c r="F554" t="inlineStr">
        <is>
          <t>Sveaskog</t>
        </is>
      </c>
      <c r="G554" t="n">
        <v>39.7</v>
      </c>
      <c r="H554" t="n">
        <v>1</v>
      </c>
      <c r="I554" t="n">
        <v>0</v>
      </c>
      <c r="J554" t="n">
        <v>0</v>
      </c>
      <c r="K554" t="n">
        <v>0</v>
      </c>
      <c r="L554" t="n">
        <v>0</v>
      </c>
      <c r="M554" t="n">
        <v>0</v>
      </c>
      <c r="N554" t="n">
        <v>0</v>
      </c>
      <c r="O554" t="n">
        <v>0</v>
      </c>
      <c r="P554" t="n">
        <v>0</v>
      </c>
      <c r="Q554" t="n">
        <v>1</v>
      </c>
      <c r="R554" s="2" t="inlineStr">
        <is>
          <t>Fläcknycklar</t>
        </is>
      </c>
      <c r="S554">
        <f>HYPERLINK("https://klasma.github.io/Logging_SKELLEFTEA/artfynd/A 63709-2019.xlsx", "A 63709-2019")</f>
        <v/>
      </c>
      <c r="T554">
        <f>HYPERLINK("https://klasma.github.io/Logging_SKELLEFTEA/kartor/A 63709-2019.png", "A 63709-2019")</f>
        <v/>
      </c>
      <c r="V554">
        <f>HYPERLINK("https://klasma.github.io/Logging_SKELLEFTEA/klagomål/A 63709-2019.docx", "A 63709-2019")</f>
        <v/>
      </c>
      <c r="W554">
        <f>HYPERLINK("https://klasma.github.io/Logging_SKELLEFTEA/klagomålsmail/A 63709-2019.docx", "A 63709-2019")</f>
        <v/>
      </c>
      <c r="X554">
        <f>HYPERLINK("https://klasma.github.io/Logging_SKELLEFTEA/tillsyn/A 63709-2019.docx", "A 63709-2019")</f>
        <v/>
      </c>
      <c r="Y554">
        <f>HYPERLINK("https://klasma.github.io/Logging_SKELLEFTEA/tillsynsmail/A 63709-2019.docx", "A 63709-2019")</f>
        <v/>
      </c>
    </row>
    <row r="555" ht="15" customHeight="1">
      <c r="A555" t="inlineStr">
        <is>
          <t>A 65562-2019</t>
        </is>
      </c>
      <c r="B555" s="1" t="n">
        <v>43803</v>
      </c>
      <c r="C555" s="1" t="n">
        <v>45204</v>
      </c>
      <c r="D555" t="inlineStr">
        <is>
          <t>VÄSTERBOTTENS LÄN</t>
        </is>
      </c>
      <c r="E555" t="inlineStr">
        <is>
          <t>ÅSELE</t>
        </is>
      </c>
      <c r="F555" t="inlineStr">
        <is>
          <t>SCA</t>
        </is>
      </c>
      <c r="G555" t="n">
        <v>5.8</v>
      </c>
      <c r="H555" t="n">
        <v>0</v>
      </c>
      <c r="I555" t="n">
        <v>0</v>
      </c>
      <c r="J555" t="n">
        <v>1</v>
      </c>
      <c r="K555" t="n">
        <v>0</v>
      </c>
      <c r="L555" t="n">
        <v>0</v>
      </c>
      <c r="M555" t="n">
        <v>0</v>
      </c>
      <c r="N555" t="n">
        <v>0</v>
      </c>
      <c r="O555" t="n">
        <v>1</v>
      </c>
      <c r="P555" t="n">
        <v>0</v>
      </c>
      <c r="Q555" t="n">
        <v>1</v>
      </c>
      <c r="R555" s="2" t="inlineStr">
        <is>
          <t>Rosenticka</t>
        </is>
      </c>
      <c r="S555">
        <f>HYPERLINK("https://klasma.github.io/Logging_ASELE/artfynd/A 65562-2019.xlsx", "A 65562-2019")</f>
        <v/>
      </c>
      <c r="T555">
        <f>HYPERLINK("https://klasma.github.io/Logging_ASELE/kartor/A 65562-2019.png", "A 65562-2019")</f>
        <v/>
      </c>
      <c r="V555">
        <f>HYPERLINK("https://klasma.github.io/Logging_ASELE/klagomål/A 65562-2019.docx", "A 65562-2019")</f>
        <v/>
      </c>
      <c r="W555">
        <f>HYPERLINK("https://klasma.github.io/Logging_ASELE/klagomålsmail/A 65562-2019.docx", "A 65562-2019")</f>
        <v/>
      </c>
      <c r="X555">
        <f>HYPERLINK("https://klasma.github.io/Logging_ASELE/tillsyn/A 65562-2019.docx", "A 65562-2019")</f>
        <v/>
      </c>
      <c r="Y555">
        <f>HYPERLINK("https://klasma.github.io/Logging_ASELE/tillsynsmail/A 65562-2019.docx", "A 65562-2019")</f>
        <v/>
      </c>
    </row>
    <row r="556" ht="15" customHeight="1">
      <c r="A556" t="inlineStr">
        <is>
          <t>A 67975-2019</t>
        </is>
      </c>
      <c r="B556" s="1" t="n">
        <v>43816</v>
      </c>
      <c r="C556" s="1" t="n">
        <v>45204</v>
      </c>
      <c r="D556" t="inlineStr">
        <is>
          <t>VÄSTERBOTTENS LÄN</t>
        </is>
      </c>
      <c r="E556" t="inlineStr">
        <is>
          <t>LYCKSELE</t>
        </is>
      </c>
      <c r="F556" t="inlineStr">
        <is>
          <t>Sveaskog</t>
        </is>
      </c>
      <c r="G556" t="n">
        <v>11.5</v>
      </c>
      <c r="H556" t="n">
        <v>0</v>
      </c>
      <c r="I556" t="n">
        <v>0</v>
      </c>
      <c r="J556" t="n">
        <v>1</v>
      </c>
      <c r="K556" t="n">
        <v>0</v>
      </c>
      <c r="L556" t="n">
        <v>0</v>
      </c>
      <c r="M556" t="n">
        <v>0</v>
      </c>
      <c r="N556" t="n">
        <v>0</v>
      </c>
      <c r="O556" t="n">
        <v>1</v>
      </c>
      <c r="P556" t="n">
        <v>0</v>
      </c>
      <c r="Q556" t="n">
        <v>1</v>
      </c>
      <c r="R556" s="2" t="inlineStr">
        <is>
          <t>Lunglav</t>
        </is>
      </c>
      <c r="S556">
        <f>HYPERLINK("https://klasma.github.io/Logging_LYCKSELE/artfynd/A 67975-2019.xlsx", "A 67975-2019")</f>
        <v/>
      </c>
      <c r="T556">
        <f>HYPERLINK("https://klasma.github.io/Logging_LYCKSELE/kartor/A 67975-2019.png", "A 67975-2019")</f>
        <v/>
      </c>
      <c r="V556">
        <f>HYPERLINK("https://klasma.github.io/Logging_LYCKSELE/klagomål/A 67975-2019.docx", "A 67975-2019")</f>
        <v/>
      </c>
      <c r="W556">
        <f>HYPERLINK("https://klasma.github.io/Logging_LYCKSELE/klagomålsmail/A 67975-2019.docx", "A 67975-2019")</f>
        <v/>
      </c>
      <c r="X556">
        <f>HYPERLINK("https://klasma.github.io/Logging_LYCKSELE/tillsyn/A 67975-2019.docx", "A 67975-2019")</f>
        <v/>
      </c>
      <c r="Y556">
        <f>HYPERLINK("https://klasma.github.io/Logging_LYCKSELE/tillsynsmail/A 67975-2019.docx", "A 67975-2019")</f>
        <v/>
      </c>
    </row>
    <row r="557" ht="15" customHeight="1">
      <c r="A557" t="inlineStr">
        <is>
          <t>A 68098-2019</t>
        </is>
      </c>
      <c r="B557" s="1" t="n">
        <v>43817</v>
      </c>
      <c r="C557" s="1" t="n">
        <v>45204</v>
      </c>
      <c r="D557" t="inlineStr">
        <is>
          <t>VÄSTERBOTTENS LÄN</t>
        </is>
      </c>
      <c r="E557" t="inlineStr">
        <is>
          <t>LYCKSELE</t>
        </is>
      </c>
      <c r="F557" t="inlineStr">
        <is>
          <t>Sveaskog</t>
        </is>
      </c>
      <c r="G557" t="n">
        <v>5.1</v>
      </c>
      <c r="H557" t="n">
        <v>0</v>
      </c>
      <c r="I557" t="n">
        <v>0</v>
      </c>
      <c r="J557" t="n">
        <v>1</v>
      </c>
      <c r="K557" t="n">
        <v>0</v>
      </c>
      <c r="L557" t="n">
        <v>0</v>
      </c>
      <c r="M557" t="n">
        <v>0</v>
      </c>
      <c r="N557" t="n">
        <v>0</v>
      </c>
      <c r="O557" t="n">
        <v>1</v>
      </c>
      <c r="P557" t="n">
        <v>0</v>
      </c>
      <c r="Q557" t="n">
        <v>1</v>
      </c>
      <c r="R557" s="2" t="inlineStr">
        <is>
          <t>Harticka</t>
        </is>
      </c>
      <c r="S557">
        <f>HYPERLINK("https://klasma.github.io/Logging_LYCKSELE/artfynd/A 68098-2019.xlsx", "A 68098-2019")</f>
        <v/>
      </c>
      <c r="T557">
        <f>HYPERLINK("https://klasma.github.io/Logging_LYCKSELE/kartor/A 68098-2019.png", "A 68098-2019")</f>
        <v/>
      </c>
      <c r="V557">
        <f>HYPERLINK("https://klasma.github.io/Logging_LYCKSELE/klagomål/A 68098-2019.docx", "A 68098-2019")</f>
        <v/>
      </c>
      <c r="W557">
        <f>HYPERLINK("https://klasma.github.io/Logging_LYCKSELE/klagomålsmail/A 68098-2019.docx", "A 68098-2019")</f>
        <v/>
      </c>
      <c r="X557">
        <f>HYPERLINK("https://klasma.github.io/Logging_LYCKSELE/tillsyn/A 68098-2019.docx", "A 68098-2019")</f>
        <v/>
      </c>
      <c r="Y557">
        <f>HYPERLINK("https://klasma.github.io/Logging_LYCKSELE/tillsynsmail/A 68098-2019.docx", "A 68098-2019")</f>
        <v/>
      </c>
    </row>
    <row r="558" ht="15" customHeight="1">
      <c r="A558" t="inlineStr">
        <is>
          <t>A 220-2020</t>
        </is>
      </c>
      <c r="B558" s="1" t="n">
        <v>43833</v>
      </c>
      <c r="C558" s="1" t="n">
        <v>45204</v>
      </c>
      <c r="D558" t="inlineStr">
        <is>
          <t>VÄSTERBOTTENS LÄN</t>
        </is>
      </c>
      <c r="E558" t="inlineStr">
        <is>
          <t>VILHELMINA</t>
        </is>
      </c>
      <c r="F558" t="inlineStr">
        <is>
          <t>SCA</t>
        </is>
      </c>
      <c r="G558" t="n">
        <v>3.2</v>
      </c>
      <c r="H558" t="n">
        <v>0</v>
      </c>
      <c r="I558" t="n">
        <v>0</v>
      </c>
      <c r="J558" t="n">
        <v>1</v>
      </c>
      <c r="K558" t="n">
        <v>0</v>
      </c>
      <c r="L558" t="n">
        <v>0</v>
      </c>
      <c r="M558" t="n">
        <v>0</v>
      </c>
      <c r="N558" t="n">
        <v>0</v>
      </c>
      <c r="O558" t="n">
        <v>1</v>
      </c>
      <c r="P558" t="n">
        <v>0</v>
      </c>
      <c r="Q558" t="n">
        <v>1</v>
      </c>
      <c r="R558" s="2" t="inlineStr">
        <is>
          <t>Vedskivlav</t>
        </is>
      </c>
      <c r="S558">
        <f>HYPERLINK("https://klasma.github.io/Logging_VILHELMINA/artfynd/A 220-2020.xlsx", "A 220-2020")</f>
        <v/>
      </c>
      <c r="T558">
        <f>HYPERLINK("https://klasma.github.io/Logging_VILHELMINA/kartor/A 220-2020.png", "A 220-2020")</f>
        <v/>
      </c>
      <c r="V558">
        <f>HYPERLINK("https://klasma.github.io/Logging_VILHELMINA/klagomål/A 220-2020.docx", "A 220-2020")</f>
        <v/>
      </c>
      <c r="W558">
        <f>HYPERLINK("https://klasma.github.io/Logging_VILHELMINA/klagomålsmail/A 220-2020.docx", "A 220-2020")</f>
        <v/>
      </c>
      <c r="X558">
        <f>HYPERLINK("https://klasma.github.io/Logging_VILHELMINA/tillsyn/A 220-2020.docx", "A 220-2020")</f>
        <v/>
      </c>
      <c r="Y558">
        <f>HYPERLINK("https://klasma.github.io/Logging_VILHELMINA/tillsynsmail/A 220-2020.docx", "A 220-2020")</f>
        <v/>
      </c>
    </row>
    <row r="559" ht="15" customHeight="1">
      <c r="A559" t="inlineStr">
        <is>
          <t>A 495-2020</t>
        </is>
      </c>
      <c r="B559" s="1" t="n">
        <v>43837</v>
      </c>
      <c r="C559" s="1" t="n">
        <v>45204</v>
      </c>
      <c r="D559" t="inlineStr">
        <is>
          <t>VÄSTERBOTTENS LÄN</t>
        </is>
      </c>
      <c r="E559" t="inlineStr">
        <is>
          <t>BJURHOLM</t>
        </is>
      </c>
      <c r="F559" t="inlineStr">
        <is>
          <t>Sveaskog</t>
        </is>
      </c>
      <c r="G559" t="n">
        <v>10.7</v>
      </c>
      <c r="H559" t="n">
        <v>0</v>
      </c>
      <c r="I559" t="n">
        <v>0</v>
      </c>
      <c r="J559" t="n">
        <v>1</v>
      </c>
      <c r="K559" t="n">
        <v>0</v>
      </c>
      <c r="L559" t="n">
        <v>0</v>
      </c>
      <c r="M559" t="n">
        <v>0</v>
      </c>
      <c r="N559" t="n">
        <v>0</v>
      </c>
      <c r="O559" t="n">
        <v>1</v>
      </c>
      <c r="P559" t="n">
        <v>0</v>
      </c>
      <c r="Q559" t="n">
        <v>1</v>
      </c>
      <c r="R559" s="2" t="inlineStr">
        <is>
          <t>Lunglav</t>
        </is>
      </c>
      <c r="S559">
        <f>HYPERLINK("https://klasma.github.io/Logging_BJURHOLM/artfynd/A 495-2020.xlsx", "A 495-2020")</f>
        <v/>
      </c>
      <c r="T559">
        <f>HYPERLINK("https://klasma.github.io/Logging_BJURHOLM/kartor/A 495-2020.png", "A 495-2020")</f>
        <v/>
      </c>
      <c r="V559">
        <f>HYPERLINK("https://klasma.github.io/Logging_BJURHOLM/klagomål/A 495-2020.docx", "A 495-2020")</f>
        <v/>
      </c>
      <c r="W559">
        <f>HYPERLINK("https://klasma.github.io/Logging_BJURHOLM/klagomålsmail/A 495-2020.docx", "A 495-2020")</f>
        <v/>
      </c>
      <c r="X559">
        <f>HYPERLINK("https://klasma.github.io/Logging_BJURHOLM/tillsyn/A 495-2020.docx", "A 495-2020")</f>
        <v/>
      </c>
      <c r="Y559">
        <f>HYPERLINK("https://klasma.github.io/Logging_BJURHOLM/tillsynsmail/A 495-2020.docx", "A 495-2020")</f>
        <v/>
      </c>
    </row>
    <row r="560" ht="15" customHeight="1">
      <c r="A560" t="inlineStr">
        <is>
          <t>A 546-2020</t>
        </is>
      </c>
      <c r="B560" s="1" t="n">
        <v>43837</v>
      </c>
      <c r="C560" s="1" t="n">
        <v>45204</v>
      </c>
      <c r="D560" t="inlineStr">
        <is>
          <t>VÄSTERBOTTENS LÄN</t>
        </is>
      </c>
      <c r="E560" t="inlineStr">
        <is>
          <t>VILHELMINA</t>
        </is>
      </c>
      <c r="F560" t="inlineStr">
        <is>
          <t>SCA</t>
        </is>
      </c>
      <c r="G560" t="n">
        <v>3.1</v>
      </c>
      <c r="H560" t="n">
        <v>0</v>
      </c>
      <c r="I560" t="n">
        <v>0</v>
      </c>
      <c r="J560" t="n">
        <v>1</v>
      </c>
      <c r="K560" t="n">
        <v>0</v>
      </c>
      <c r="L560" t="n">
        <v>0</v>
      </c>
      <c r="M560" t="n">
        <v>0</v>
      </c>
      <c r="N560" t="n">
        <v>0</v>
      </c>
      <c r="O560" t="n">
        <v>1</v>
      </c>
      <c r="P560" t="n">
        <v>0</v>
      </c>
      <c r="Q560" t="n">
        <v>1</v>
      </c>
      <c r="R560" s="2" t="inlineStr">
        <is>
          <t>Vedskivlav</t>
        </is>
      </c>
      <c r="S560">
        <f>HYPERLINK("https://klasma.github.io/Logging_VILHELMINA/artfynd/A 546-2020.xlsx", "A 546-2020")</f>
        <v/>
      </c>
      <c r="T560">
        <f>HYPERLINK("https://klasma.github.io/Logging_VILHELMINA/kartor/A 546-2020.png", "A 546-2020")</f>
        <v/>
      </c>
      <c r="V560">
        <f>HYPERLINK("https://klasma.github.io/Logging_VILHELMINA/klagomål/A 546-2020.docx", "A 546-2020")</f>
        <v/>
      </c>
      <c r="W560">
        <f>HYPERLINK("https://klasma.github.io/Logging_VILHELMINA/klagomålsmail/A 546-2020.docx", "A 546-2020")</f>
        <v/>
      </c>
      <c r="X560">
        <f>HYPERLINK("https://klasma.github.io/Logging_VILHELMINA/tillsyn/A 546-2020.docx", "A 546-2020")</f>
        <v/>
      </c>
      <c r="Y560">
        <f>HYPERLINK("https://klasma.github.io/Logging_VILHELMINA/tillsynsmail/A 546-2020.docx", "A 546-2020")</f>
        <v/>
      </c>
    </row>
    <row r="561" ht="15" customHeight="1">
      <c r="A561" t="inlineStr">
        <is>
          <t>A 1978-2020</t>
        </is>
      </c>
      <c r="B561" s="1" t="n">
        <v>43838</v>
      </c>
      <c r="C561" s="1" t="n">
        <v>45204</v>
      </c>
      <c r="D561" t="inlineStr">
        <is>
          <t>VÄSTERBOTTENS LÄN</t>
        </is>
      </c>
      <c r="E561" t="inlineStr">
        <is>
          <t>DOROTEA</t>
        </is>
      </c>
      <c r="G561" t="n">
        <v>3.4</v>
      </c>
      <c r="H561" t="n">
        <v>1</v>
      </c>
      <c r="I561" t="n">
        <v>0</v>
      </c>
      <c r="J561" t="n">
        <v>1</v>
      </c>
      <c r="K561" t="n">
        <v>0</v>
      </c>
      <c r="L561" t="n">
        <v>0</v>
      </c>
      <c r="M561" t="n">
        <v>0</v>
      </c>
      <c r="N561" t="n">
        <v>0</v>
      </c>
      <c r="O561" t="n">
        <v>1</v>
      </c>
      <c r="P561" t="n">
        <v>0</v>
      </c>
      <c r="Q561" t="n">
        <v>1</v>
      </c>
      <c r="R561" s="2" t="inlineStr">
        <is>
          <t>Rosenfink</t>
        </is>
      </c>
      <c r="S561">
        <f>HYPERLINK("https://klasma.github.io/Logging_DOROTEA/artfynd/A 1978-2020.xlsx", "A 1978-2020")</f>
        <v/>
      </c>
      <c r="T561">
        <f>HYPERLINK("https://klasma.github.io/Logging_DOROTEA/kartor/A 1978-2020.png", "A 1978-2020")</f>
        <v/>
      </c>
      <c r="V561">
        <f>HYPERLINK("https://klasma.github.io/Logging_DOROTEA/klagomål/A 1978-2020.docx", "A 1978-2020")</f>
        <v/>
      </c>
      <c r="W561">
        <f>HYPERLINK("https://klasma.github.io/Logging_DOROTEA/klagomålsmail/A 1978-2020.docx", "A 1978-2020")</f>
        <v/>
      </c>
      <c r="X561">
        <f>HYPERLINK("https://klasma.github.io/Logging_DOROTEA/tillsyn/A 1978-2020.docx", "A 1978-2020")</f>
        <v/>
      </c>
      <c r="Y561">
        <f>HYPERLINK("https://klasma.github.io/Logging_DOROTEA/tillsynsmail/A 1978-2020.docx", "A 1978-2020")</f>
        <v/>
      </c>
    </row>
    <row r="562" ht="15" customHeight="1">
      <c r="A562" t="inlineStr">
        <is>
          <t>A 4765-2020</t>
        </is>
      </c>
      <c r="B562" s="1" t="n">
        <v>43850</v>
      </c>
      <c r="C562" s="1" t="n">
        <v>45204</v>
      </c>
      <c r="D562" t="inlineStr">
        <is>
          <t>VÄSTERBOTTENS LÄN</t>
        </is>
      </c>
      <c r="E562" t="inlineStr">
        <is>
          <t>SKELLEFTEÅ</t>
        </is>
      </c>
      <c r="G562" t="n">
        <v>2.5</v>
      </c>
      <c r="H562" t="n">
        <v>1</v>
      </c>
      <c r="I562" t="n">
        <v>1</v>
      </c>
      <c r="J562" t="n">
        <v>0</v>
      </c>
      <c r="K562" t="n">
        <v>0</v>
      </c>
      <c r="L562" t="n">
        <v>0</v>
      </c>
      <c r="M562" t="n">
        <v>0</v>
      </c>
      <c r="N562" t="n">
        <v>0</v>
      </c>
      <c r="O562" t="n">
        <v>0</v>
      </c>
      <c r="P562" t="n">
        <v>0</v>
      </c>
      <c r="Q562" t="n">
        <v>1</v>
      </c>
      <c r="R562" s="2" t="inlineStr">
        <is>
          <t>Plattlummer</t>
        </is>
      </c>
      <c r="S562">
        <f>HYPERLINK("https://klasma.github.io/Logging_SKELLEFTEA/artfynd/A 4765-2020.xlsx", "A 4765-2020")</f>
        <v/>
      </c>
      <c r="T562">
        <f>HYPERLINK("https://klasma.github.io/Logging_SKELLEFTEA/kartor/A 4765-2020.png", "A 4765-2020")</f>
        <v/>
      </c>
      <c r="V562">
        <f>HYPERLINK("https://klasma.github.io/Logging_SKELLEFTEA/klagomål/A 4765-2020.docx", "A 4765-2020")</f>
        <v/>
      </c>
      <c r="W562">
        <f>HYPERLINK("https://klasma.github.io/Logging_SKELLEFTEA/klagomålsmail/A 4765-2020.docx", "A 4765-2020")</f>
        <v/>
      </c>
      <c r="X562">
        <f>HYPERLINK("https://klasma.github.io/Logging_SKELLEFTEA/tillsyn/A 4765-2020.docx", "A 4765-2020")</f>
        <v/>
      </c>
      <c r="Y562">
        <f>HYPERLINK("https://klasma.github.io/Logging_SKELLEFTEA/tillsynsmail/A 4765-2020.docx", "A 4765-2020")</f>
        <v/>
      </c>
    </row>
    <row r="563" ht="15" customHeight="1">
      <c r="A563" t="inlineStr">
        <is>
          <t>A 4439-2020</t>
        </is>
      </c>
      <c r="B563" s="1" t="n">
        <v>43858</v>
      </c>
      <c r="C563" s="1" t="n">
        <v>45204</v>
      </c>
      <c r="D563" t="inlineStr">
        <is>
          <t>VÄSTERBOTTENS LÄN</t>
        </is>
      </c>
      <c r="E563" t="inlineStr">
        <is>
          <t>SORSELE</t>
        </is>
      </c>
      <c r="F563" t="inlineStr">
        <is>
          <t>Sveaskog</t>
        </is>
      </c>
      <c r="G563" t="n">
        <v>7.5</v>
      </c>
      <c r="H563" t="n">
        <v>0</v>
      </c>
      <c r="I563" t="n">
        <v>0</v>
      </c>
      <c r="J563" t="n">
        <v>0</v>
      </c>
      <c r="K563" t="n">
        <v>1</v>
      </c>
      <c r="L563" t="n">
        <v>0</v>
      </c>
      <c r="M563" t="n">
        <v>0</v>
      </c>
      <c r="N563" t="n">
        <v>0</v>
      </c>
      <c r="O563" t="n">
        <v>1</v>
      </c>
      <c r="P563" t="n">
        <v>1</v>
      </c>
      <c r="Q563" t="n">
        <v>1</v>
      </c>
      <c r="R563" s="2" t="inlineStr">
        <is>
          <t>Torrmusseron</t>
        </is>
      </c>
      <c r="S563">
        <f>HYPERLINK("https://klasma.github.io/Logging_SORSELE/artfynd/A 4439-2020.xlsx", "A 4439-2020")</f>
        <v/>
      </c>
      <c r="T563">
        <f>HYPERLINK("https://klasma.github.io/Logging_SORSELE/kartor/A 4439-2020.png", "A 4439-2020")</f>
        <v/>
      </c>
      <c r="V563">
        <f>HYPERLINK("https://klasma.github.io/Logging_SORSELE/klagomål/A 4439-2020.docx", "A 4439-2020")</f>
        <v/>
      </c>
      <c r="W563">
        <f>HYPERLINK("https://klasma.github.io/Logging_SORSELE/klagomålsmail/A 4439-2020.docx", "A 4439-2020")</f>
        <v/>
      </c>
      <c r="X563">
        <f>HYPERLINK("https://klasma.github.io/Logging_SORSELE/tillsyn/A 4439-2020.docx", "A 4439-2020")</f>
        <v/>
      </c>
      <c r="Y563">
        <f>HYPERLINK("https://klasma.github.io/Logging_SORSELE/tillsynsmail/A 4439-2020.docx", "A 4439-2020")</f>
        <v/>
      </c>
    </row>
    <row r="564" ht="15" customHeight="1">
      <c r="A564" t="inlineStr">
        <is>
          <t>A 5716-2020</t>
        </is>
      </c>
      <c r="B564" s="1" t="n">
        <v>43862</v>
      </c>
      <c r="C564" s="1" t="n">
        <v>45204</v>
      </c>
      <c r="D564" t="inlineStr">
        <is>
          <t>VÄSTERBOTTENS LÄN</t>
        </is>
      </c>
      <c r="E564" t="inlineStr">
        <is>
          <t>VINDELN</t>
        </is>
      </c>
      <c r="G564" t="n">
        <v>9.6</v>
      </c>
      <c r="H564" t="n">
        <v>0</v>
      </c>
      <c r="I564" t="n">
        <v>1</v>
      </c>
      <c r="J564" t="n">
        <v>0</v>
      </c>
      <c r="K564" t="n">
        <v>0</v>
      </c>
      <c r="L564" t="n">
        <v>0</v>
      </c>
      <c r="M564" t="n">
        <v>0</v>
      </c>
      <c r="N564" t="n">
        <v>0</v>
      </c>
      <c r="O564" t="n">
        <v>0</v>
      </c>
      <c r="P564" t="n">
        <v>0</v>
      </c>
      <c r="Q564" t="n">
        <v>1</v>
      </c>
      <c r="R564" s="2" t="inlineStr">
        <is>
          <t>Källpraktmossa</t>
        </is>
      </c>
      <c r="S564">
        <f>HYPERLINK("https://klasma.github.io/Logging_VINDELN/artfynd/A 5716-2020.xlsx", "A 5716-2020")</f>
        <v/>
      </c>
      <c r="T564">
        <f>HYPERLINK("https://klasma.github.io/Logging_VINDELN/kartor/A 5716-2020.png", "A 5716-2020")</f>
        <v/>
      </c>
      <c r="V564">
        <f>HYPERLINK("https://klasma.github.io/Logging_VINDELN/klagomål/A 5716-2020.docx", "A 5716-2020")</f>
        <v/>
      </c>
      <c r="W564">
        <f>HYPERLINK("https://klasma.github.io/Logging_VINDELN/klagomålsmail/A 5716-2020.docx", "A 5716-2020")</f>
        <v/>
      </c>
      <c r="X564">
        <f>HYPERLINK("https://klasma.github.io/Logging_VINDELN/tillsyn/A 5716-2020.docx", "A 5716-2020")</f>
        <v/>
      </c>
      <c r="Y564">
        <f>HYPERLINK("https://klasma.github.io/Logging_VINDELN/tillsynsmail/A 5716-2020.docx", "A 5716-2020")</f>
        <v/>
      </c>
    </row>
    <row r="565" ht="15" customHeight="1">
      <c r="A565" t="inlineStr">
        <is>
          <t>A 7842-2020</t>
        </is>
      </c>
      <c r="B565" s="1" t="n">
        <v>43873</v>
      </c>
      <c r="C565" s="1" t="n">
        <v>45204</v>
      </c>
      <c r="D565" t="inlineStr">
        <is>
          <t>VÄSTERBOTTENS LÄN</t>
        </is>
      </c>
      <c r="E565" t="inlineStr">
        <is>
          <t>VÄNNÄS</t>
        </is>
      </c>
      <c r="G565" t="n">
        <v>3</v>
      </c>
      <c r="H565" t="n">
        <v>0</v>
      </c>
      <c r="I565" t="n">
        <v>0</v>
      </c>
      <c r="J565" t="n">
        <v>1</v>
      </c>
      <c r="K565" t="n">
        <v>0</v>
      </c>
      <c r="L565" t="n">
        <v>0</v>
      </c>
      <c r="M565" t="n">
        <v>0</v>
      </c>
      <c r="N565" t="n">
        <v>0</v>
      </c>
      <c r="O565" t="n">
        <v>1</v>
      </c>
      <c r="P565" t="n">
        <v>0</v>
      </c>
      <c r="Q565" t="n">
        <v>1</v>
      </c>
      <c r="R565" s="2" t="inlineStr">
        <is>
          <t>Garnlav</t>
        </is>
      </c>
      <c r="S565">
        <f>HYPERLINK("https://klasma.github.io/Logging_VANNAS/artfynd/A 7842-2020.xlsx", "A 7842-2020")</f>
        <v/>
      </c>
      <c r="T565">
        <f>HYPERLINK("https://klasma.github.io/Logging_VANNAS/kartor/A 7842-2020.png", "A 7842-2020")</f>
        <v/>
      </c>
      <c r="V565">
        <f>HYPERLINK("https://klasma.github.io/Logging_VANNAS/klagomål/A 7842-2020.docx", "A 7842-2020")</f>
        <v/>
      </c>
      <c r="W565">
        <f>HYPERLINK("https://klasma.github.io/Logging_VANNAS/klagomålsmail/A 7842-2020.docx", "A 7842-2020")</f>
        <v/>
      </c>
      <c r="X565">
        <f>HYPERLINK("https://klasma.github.io/Logging_VANNAS/tillsyn/A 7842-2020.docx", "A 7842-2020")</f>
        <v/>
      </c>
      <c r="Y565">
        <f>HYPERLINK("https://klasma.github.io/Logging_VANNAS/tillsynsmail/A 7842-2020.docx", "A 7842-2020")</f>
        <v/>
      </c>
    </row>
    <row r="566" ht="15" customHeight="1">
      <c r="A566" t="inlineStr">
        <is>
          <t>A 11922-2020</t>
        </is>
      </c>
      <c r="B566" s="1" t="n">
        <v>43888</v>
      </c>
      <c r="C566" s="1" t="n">
        <v>45204</v>
      </c>
      <c r="D566" t="inlineStr">
        <is>
          <t>VÄSTERBOTTENS LÄN</t>
        </is>
      </c>
      <c r="E566" t="inlineStr">
        <is>
          <t>ÅSELE</t>
        </is>
      </c>
      <c r="F566" t="inlineStr">
        <is>
          <t>Övriga Aktiebolag</t>
        </is>
      </c>
      <c r="G566" t="n">
        <v>3.2</v>
      </c>
      <c r="H566" t="n">
        <v>0</v>
      </c>
      <c r="I566" t="n">
        <v>0</v>
      </c>
      <c r="J566" t="n">
        <v>1</v>
      </c>
      <c r="K566" t="n">
        <v>0</v>
      </c>
      <c r="L566" t="n">
        <v>0</v>
      </c>
      <c r="M566" t="n">
        <v>0</v>
      </c>
      <c r="N566" t="n">
        <v>0</v>
      </c>
      <c r="O566" t="n">
        <v>1</v>
      </c>
      <c r="P566" t="n">
        <v>0</v>
      </c>
      <c r="Q566" t="n">
        <v>1</v>
      </c>
      <c r="R566" s="2" t="inlineStr">
        <is>
          <t>Ullticka</t>
        </is>
      </c>
      <c r="S566">
        <f>HYPERLINK("https://klasma.github.io/Logging_ASELE/artfynd/A 11922-2020.xlsx", "A 11922-2020")</f>
        <v/>
      </c>
      <c r="T566">
        <f>HYPERLINK("https://klasma.github.io/Logging_ASELE/kartor/A 11922-2020.png", "A 11922-2020")</f>
        <v/>
      </c>
      <c r="V566">
        <f>HYPERLINK("https://klasma.github.io/Logging_ASELE/klagomål/A 11922-2020.docx", "A 11922-2020")</f>
        <v/>
      </c>
      <c r="W566">
        <f>HYPERLINK("https://klasma.github.io/Logging_ASELE/klagomålsmail/A 11922-2020.docx", "A 11922-2020")</f>
        <v/>
      </c>
      <c r="X566">
        <f>HYPERLINK("https://klasma.github.io/Logging_ASELE/tillsyn/A 11922-2020.docx", "A 11922-2020")</f>
        <v/>
      </c>
      <c r="Y566">
        <f>HYPERLINK("https://klasma.github.io/Logging_ASELE/tillsynsmail/A 11922-2020.docx", "A 11922-2020")</f>
        <v/>
      </c>
    </row>
    <row r="567" ht="15" customHeight="1">
      <c r="A567" t="inlineStr">
        <is>
          <t>A 19592-2020</t>
        </is>
      </c>
      <c r="B567" s="1" t="n">
        <v>43936</v>
      </c>
      <c r="C567" s="1" t="n">
        <v>45204</v>
      </c>
      <c r="D567" t="inlineStr">
        <is>
          <t>VÄSTERBOTTENS LÄN</t>
        </is>
      </c>
      <c r="E567" t="inlineStr">
        <is>
          <t>ÅSELE</t>
        </is>
      </c>
      <c r="G567" t="n">
        <v>4.5</v>
      </c>
      <c r="H567" t="n">
        <v>0</v>
      </c>
      <c r="I567" t="n">
        <v>1</v>
      </c>
      <c r="J567" t="n">
        <v>0</v>
      </c>
      <c r="K567" t="n">
        <v>0</v>
      </c>
      <c r="L567" t="n">
        <v>0</v>
      </c>
      <c r="M567" t="n">
        <v>0</v>
      </c>
      <c r="N567" t="n">
        <v>0</v>
      </c>
      <c r="O567" t="n">
        <v>0</v>
      </c>
      <c r="P567" t="n">
        <v>0</v>
      </c>
      <c r="Q567" t="n">
        <v>1</v>
      </c>
      <c r="R567" s="2" t="inlineStr">
        <is>
          <t>Bronshjon</t>
        </is>
      </c>
      <c r="S567">
        <f>HYPERLINK("https://klasma.github.io/Logging_ASELE/artfynd/A 19592-2020.xlsx", "A 19592-2020")</f>
        <v/>
      </c>
      <c r="T567">
        <f>HYPERLINK("https://klasma.github.io/Logging_ASELE/kartor/A 19592-2020.png", "A 19592-2020")</f>
        <v/>
      </c>
      <c r="V567">
        <f>HYPERLINK("https://klasma.github.io/Logging_ASELE/klagomål/A 19592-2020.docx", "A 19592-2020")</f>
        <v/>
      </c>
      <c r="W567">
        <f>HYPERLINK("https://klasma.github.io/Logging_ASELE/klagomålsmail/A 19592-2020.docx", "A 19592-2020")</f>
        <v/>
      </c>
      <c r="X567">
        <f>HYPERLINK("https://klasma.github.io/Logging_ASELE/tillsyn/A 19592-2020.docx", "A 19592-2020")</f>
        <v/>
      </c>
      <c r="Y567">
        <f>HYPERLINK("https://klasma.github.io/Logging_ASELE/tillsynsmail/A 19592-2020.docx", "A 19592-2020")</f>
        <v/>
      </c>
    </row>
    <row r="568" ht="15" customHeight="1">
      <c r="A568" t="inlineStr">
        <is>
          <t>A 19295-2020</t>
        </is>
      </c>
      <c r="B568" s="1" t="n">
        <v>43937</v>
      </c>
      <c r="C568" s="1" t="n">
        <v>45204</v>
      </c>
      <c r="D568" t="inlineStr">
        <is>
          <t>VÄSTERBOTTENS LÄN</t>
        </is>
      </c>
      <c r="E568" t="inlineStr">
        <is>
          <t>BJURHOLM</t>
        </is>
      </c>
      <c r="G568" t="n">
        <v>2.9</v>
      </c>
      <c r="H568" t="n">
        <v>0</v>
      </c>
      <c r="I568" t="n">
        <v>0</v>
      </c>
      <c r="J568" t="n">
        <v>1</v>
      </c>
      <c r="K568" t="n">
        <v>0</v>
      </c>
      <c r="L568" t="n">
        <v>0</v>
      </c>
      <c r="M568" t="n">
        <v>0</v>
      </c>
      <c r="N568" t="n">
        <v>0</v>
      </c>
      <c r="O568" t="n">
        <v>1</v>
      </c>
      <c r="P568" t="n">
        <v>0</v>
      </c>
      <c r="Q568" t="n">
        <v>1</v>
      </c>
      <c r="R568" s="2" t="inlineStr">
        <is>
          <t>Ullticka</t>
        </is>
      </c>
      <c r="S568">
        <f>HYPERLINK("https://klasma.github.io/Logging_BJURHOLM/artfynd/A 19295-2020.xlsx", "A 19295-2020")</f>
        <v/>
      </c>
      <c r="T568">
        <f>HYPERLINK("https://klasma.github.io/Logging_BJURHOLM/kartor/A 19295-2020.png", "A 19295-2020")</f>
        <v/>
      </c>
      <c r="V568">
        <f>HYPERLINK("https://klasma.github.io/Logging_BJURHOLM/klagomål/A 19295-2020.docx", "A 19295-2020")</f>
        <v/>
      </c>
      <c r="W568">
        <f>HYPERLINK("https://klasma.github.io/Logging_BJURHOLM/klagomålsmail/A 19295-2020.docx", "A 19295-2020")</f>
        <v/>
      </c>
      <c r="X568">
        <f>HYPERLINK("https://klasma.github.io/Logging_BJURHOLM/tillsyn/A 19295-2020.docx", "A 19295-2020")</f>
        <v/>
      </c>
      <c r="Y568">
        <f>HYPERLINK("https://klasma.github.io/Logging_BJURHOLM/tillsynsmail/A 19295-2020.docx", "A 19295-2020")</f>
        <v/>
      </c>
    </row>
    <row r="569" ht="15" customHeight="1">
      <c r="A569" t="inlineStr">
        <is>
          <t>A 19687-2020</t>
        </is>
      </c>
      <c r="B569" s="1" t="n">
        <v>43941</v>
      </c>
      <c r="C569" s="1" t="n">
        <v>45204</v>
      </c>
      <c r="D569" t="inlineStr">
        <is>
          <t>VÄSTERBOTTENS LÄN</t>
        </is>
      </c>
      <c r="E569" t="inlineStr">
        <is>
          <t>VÄNNÄS</t>
        </is>
      </c>
      <c r="G569" t="n">
        <v>5.8</v>
      </c>
      <c r="H569" t="n">
        <v>1</v>
      </c>
      <c r="I569" t="n">
        <v>0</v>
      </c>
      <c r="J569" t="n">
        <v>1</v>
      </c>
      <c r="K569" t="n">
        <v>0</v>
      </c>
      <c r="L569" t="n">
        <v>0</v>
      </c>
      <c r="M569" t="n">
        <v>0</v>
      </c>
      <c r="N569" t="n">
        <v>0</v>
      </c>
      <c r="O569" t="n">
        <v>1</v>
      </c>
      <c r="P569" t="n">
        <v>0</v>
      </c>
      <c r="Q569" t="n">
        <v>1</v>
      </c>
      <c r="R569" s="2" t="inlineStr">
        <is>
          <t>Tretåig hackspett</t>
        </is>
      </c>
      <c r="S569">
        <f>HYPERLINK("https://klasma.github.io/Logging_VANNAS/artfynd/A 19687-2020.xlsx", "A 19687-2020")</f>
        <v/>
      </c>
      <c r="T569">
        <f>HYPERLINK("https://klasma.github.io/Logging_VANNAS/kartor/A 19687-2020.png", "A 19687-2020")</f>
        <v/>
      </c>
      <c r="V569">
        <f>HYPERLINK("https://klasma.github.io/Logging_VANNAS/klagomål/A 19687-2020.docx", "A 19687-2020")</f>
        <v/>
      </c>
      <c r="W569">
        <f>HYPERLINK("https://klasma.github.io/Logging_VANNAS/klagomålsmail/A 19687-2020.docx", "A 19687-2020")</f>
        <v/>
      </c>
      <c r="X569">
        <f>HYPERLINK("https://klasma.github.io/Logging_VANNAS/tillsyn/A 19687-2020.docx", "A 19687-2020")</f>
        <v/>
      </c>
      <c r="Y569">
        <f>HYPERLINK("https://klasma.github.io/Logging_VANNAS/tillsynsmail/A 19687-2020.docx", "A 19687-2020")</f>
        <v/>
      </c>
    </row>
    <row r="570" ht="15" customHeight="1">
      <c r="A570" t="inlineStr">
        <is>
          <t>A 23492-2020</t>
        </is>
      </c>
      <c r="B570" s="1" t="n">
        <v>43966</v>
      </c>
      <c r="C570" s="1" t="n">
        <v>45204</v>
      </c>
      <c r="D570" t="inlineStr">
        <is>
          <t>VÄSTERBOTTENS LÄN</t>
        </is>
      </c>
      <c r="E570" t="inlineStr">
        <is>
          <t>UMEÅ</t>
        </is>
      </c>
      <c r="G570" t="n">
        <v>3</v>
      </c>
      <c r="H570" t="n">
        <v>1</v>
      </c>
      <c r="I570" t="n">
        <v>0</v>
      </c>
      <c r="J570" t="n">
        <v>0</v>
      </c>
      <c r="K570" t="n">
        <v>0</v>
      </c>
      <c r="L570" t="n">
        <v>0</v>
      </c>
      <c r="M570" t="n">
        <v>0</v>
      </c>
      <c r="N570" t="n">
        <v>0</v>
      </c>
      <c r="O570" t="n">
        <v>0</v>
      </c>
      <c r="P570" t="n">
        <v>0</v>
      </c>
      <c r="Q570" t="n">
        <v>1</v>
      </c>
      <c r="R570" s="2" t="inlineStr">
        <is>
          <t>Vanlig padda</t>
        </is>
      </c>
      <c r="S570">
        <f>HYPERLINK("https://klasma.github.io/Logging_UMEA/artfynd/A 23492-2020.xlsx", "A 23492-2020")</f>
        <v/>
      </c>
      <c r="T570">
        <f>HYPERLINK("https://klasma.github.io/Logging_UMEA/kartor/A 23492-2020.png", "A 23492-2020")</f>
        <v/>
      </c>
      <c r="V570">
        <f>HYPERLINK("https://klasma.github.io/Logging_UMEA/klagomål/A 23492-2020.docx", "A 23492-2020")</f>
        <v/>
      </c>
      <c r="W570">
        <f>HYPERLINK("https://klasma.github.io/Logging_UMEA/klagomålsmail/A 23492-2020.docx", "A 23492-2020")</f>
        <v/>
      </c>
      <c r="X570">
        <f>HYPERLINK("https://klasma.github.io/Logging_UMEA/tillsyn/A 23492-2020.docx", "A 23492-2020")</f>
        <v/>
      </c>
      <c r="Y570">
        <f>HYPERLINK("https://klasma.github.io/Logging_UMEA/tillsynsmail/A 23492-2020.docx", "A 23492-2020")</f>
        <v/>
      </c>
    </row>
    <row r="571" ht="15" customHeight="1">
      <c r="A571" t="inlineStr">
        <is>
          <t>A 28098-2020</t>
        </is>
      </c>
      <c r="B571" s="1" t="n">
        <v>43997</v>
      </c>
      <c r="C571" s="1" t="n">
        <v>45204</v>
      </c>
      <c r="D571" t="inlineStr">
        <is>
          <t>VÄSTERBOTTENS LÄN</t>
        </is>
      </c>
      <c r="E571" t="inlineStr">
        <is>
          <t>LYCKSELE</t>
        </is>
      </c>
      <c r="F571" t="inlineStr">
        <is>
          <t>Kyrkan</t>
        </is>
      </c>
      <c r="G571" t="n">
        <v>6.4</v>
      </c>
      <c r="H571" t="n">
        <v>0</v>
      </c>
      <c r="I571" t="n">
        <v>1</v>
      </c>
      <c r="J571" t="n">
        <v>0</v>
      </c>
      <c r="K571" t="n">
        <v>0</v>
      </c>
      <c r="L571" t="n">
        <v>0</v>
      </c>
      <c r="M571" t="n">
        <v>0</v>
      </c>
      <c r="N571" t="n">
        <v>0</v>
      </c>
      <c r="O571" t="n">
        <v>0</v>
      </c>
      <c r="P571" t="n">
        <v>0</v>
      </c>
      <c r="Q571" t="n">
        <v>1</v>
      </c>
      <c r="R571" s="2" t="inlineStr">
        <is>
          <t>Mindre märgborre</t>
        </is>
      </c>
      <c r="S571">
        <f>HYPERLINK("https://klasma.github.io/Logging_LYCKSELE/artfynd/A 28098-2020.xlsx", "A 28098-2020")</f>
        <v/>
      </c>
      <c r="T571">
        <f>HYPERLINK("https://klasma.github.io/Logging_LYCKSELE/kartor/A 28098-2020.png", "A 28098-2020")</f>
        <v/>
      </c>
      <c r="V571">
        <f>HYPERLINK("https://klasma.github.io/Logging_LYCKSELE/klagomål/A 28098-2020.docx", "A 28098-2020")</f>
        <v/>
      </c>
      <c r="W571">
        <f>HYPERLINK("https://klasma.github.io/Logging_LYCKSELE/klagomålsmail/A 28098-2020.docx", "A 28098-2020")</f>
        <v/>
      </c>
      <c r="X571">
        <f>HYPERLINK("https://klasma.github.io/Logging_LYCKSELE/tillsyn/A 28098-2020.docx", "A 28098-2020")</f>
        <v/>
      </c>
      <c r="Y571">
        <f>HYPERLINK("https://klasma.github.io/Logging_LYCKSELE/tillsynsmail/A 28098-2020.docx", "A 28098-2020")</f>
        <v/>
      </c>
    </row>
    <row r="572" ht="15" customHeight="1">
      <c r="A572" t="inlineStr">
        <is>
          <t>A 30604-2020</t>
        </is>
      </c>
      <c r="B572" s="1" t="n">
        <v>44008</v>
      </c>
      <c r="C572" s="1" t="n">
        <v>45204</v>
      </c>
      <c r="D572" t="inlineStr">
        <is>
          <t>VÄSTERBOTTENS LÄN</t>
        </is>
      </c>
      <c r="E572" t="inlineStr">
        <is>
          <t>SKELLEFTEÅ</t>
        </is>
      </c>
      <c r="G572" t="n">
        <v>17.9</v>
      </c>
      <c r="H572" t="n">
        <v>0</v>
      </c>
      <c r="I572" t="n">
        <v>0</v>
      </c>
      <c r="J572" t="n">
        <v>1</v>
      </c>
      <c r="K572" t="n">
        <v>0</v>
      </c>
      <c r="L572" t="n">
        <v>0</v>
      </c>
      <c r="M572" t="n">
        <v>0</v>
      </c>
      <c r="N572" t="n">
        <v>0</v>
      </c>
      <c r="O572" t="n">
        <v>1</v>
      </c>
      <c r="P572" t="n">
        <v>0</v>
      </c>
      <c r="Q572" t="n">
        <v>1</v>
      </c>
      <c r="R572" s="2" t="inlineStr">
        <is>
          <t>Lunglav</t>
        </is>
      </c>
      <c r="S572">
        <f>HYPERLINK("https://klasma.github.io/Logging_SKELLEFTEA/artfynd/A 30604-2020.xlsx", "A 30604-2020")</f>
        <v/>
      </c>
      <c r="T572">
        <f>HYPERLINK("https://klasma.github.io/Logging_SKELLEFTEA/kartor/A 30604-2020.png", "A 30604-2020")</f>
        <v/>
      </c>
      <c r="V572">
        <f>HYPERLINK("https://klasma.github.io/Logging_SKELLEFTEA/klagomål/A 30604-2020.docx", "A 30604-2020")</f>
        <v/>
      </c>
      <c r="W572">
        <f>HYPERLINK("https://klasma.github.io/Logging_SKELLEFTEA/klagomålsmail/A 30604-2020.docx", "A 30604-2020")</f>
        <v/>
      </c>
      <c r="X572">
        <f>HYPERLINK("https://klasma.github.io/Logging_SKELLEFTEA/tillsyn/A 30604-2020.docx", "A 30604-2020")</f>
        <v/>
      </c>
      <c r="Y572">
        <f>HYPERLINK("https://klasma.github.io/Logging_SKELLEFTEA/tillsynsmail/A 30604-2020.docx", "A 30604-2020")</f>
        <v/>
      </c>
    </row>
    <row r="573" ht="15" customHeight="1">
      <c r="A573" t="inlineStr">
        <is>
          <t>A 33236-2020</t>
        </is>
      </c>
      <c r="B573" s="1" t="n">
        <v>44022</v>
      </c>
      <c r="C573" s="1" t="n">
        <v>45204</v>
      </c>
      <c r="D573" t="inlineStr">
        <is>
          <t>VÄSTERBOTTENS LÄN</t>
        </is>
      </c>
      <c r="E573" t="inlineStr">
        <is>
          <t>ROBERTSFORS</t>
        </is>
      </c>
      <c r="F573" t="inlineStr">
        <is>
          <t>Holmen skog AB</t>
        </is>
      </c>
      <c r="G573" t="n">
        <v>8.800000000000001</v>
      </c>
      <c r="H573" t="n">
        <v>0</v>
      </c>
      <c r="I573" t="n">
        <v>0</v>
      </c>
      <c r="J573" t="n">
        <v>1</v>
      </c>
      <c r="K573" t="n">
        <v>0</v>
      </c>
      <c r="L573" t="n">
        <v>0</v>
      </c>
      <c r="M573" t="n">
        <v>0</v>
      </c>
      <c r="N573" t="n">
        <v>0</v>
      </c>
      <c r="O573" t="n">
        <v>1</v>
      </c>
      <c r="P573" t="n">
        <v>0</v>
      </c>
      <c r="Q573" t="n">
        <v>1</v>
      </c>
      <c r="R573" s="2" t="inlineStr">
        <is>
          <t>Garnlav</t>
        </is>
      </c>
      <c r="S573">
        <f>HYPERLINK("https://klasma.github.io/Logging_ROBERTSFORS/artfynd/A 33236-2020.xlsx", "A 33236-2020")</f>
        <v/>
      </c>
      <c r="T573">
        <f>HYPERLINK("https://klasma.github.io/Logging_ROBERTSFORS/kartor/A 33236-2020.png", "A 33236-2020")</f>
        <v/>
      </c>
      <c r="V573">
        <f>HYPERLINK("https://klasma.github.io/Logging_ROBERTSFORS/klagomål/A 33236-2020.docx", "A 33236-2020")</f>
        <v/>
      </c>
      <c r="W573">
        <f>HYPERLINK("https://klasma.github.io/Logging_ROBERTSFORS/klagomålsmail/A 33236-2020.docx", "A 33236-2020")</f>
        <v/>
      </c>
      <c r="X573">
        <f>HYPERLINK("https://klasma.github.io/Logging_ROBERTSFORS/tillsyn/A 33236-2020.docx", "A 33236-2020")</f>
        <v/>
      </c>
      <c r="Y573">
        <f>HYPERLINK("https://klasma.github.io/Logging_ROBERTSFORS/tillsynsmail/A 33236-2020.docx", "A 33236-2020")</f>
        <v/>
      </c>
    </row>
    <row r="574" ht="15" customHeight="1">
      <c r="A574" t="inlineStr">
        <is>
          <t>A 43180-2020</t>
        </is>
      </c>
      <c r="B574" s="1" t="n">
        <v>44076</v>
      </c>
      <c r="C574" s="1" t="n">
        <v>45204</v>
      </c>
      <c r="D574" t="inlineStr">
        <is>
          <t>VÄSTERBOTTENS LÄN</t>
        </is>
      </c>
      <c r="E574" t="inlineStr">
        <is>
          <t>SKELLEFTEÅ</t>
        </is>
      </c>
      <c r="G574" t="n">
        <v>0.6</v>
      </c>
      <c r="H574" t="n">
        <v>0</v>
      </c>
      <c r="I574" t="n">
        <v>0</v>
      </c>
      <c r="J574" t="n">
        <v>1</v>
      </c>
      <c r="K574" t="n">
        <v>0</v>
      </c>
      <c r="L574" t="n">
        <v>0</v>
      </c>
      <c r="M574" t="n">
        <v>0</v>
      </c>
      <c r="N574" t="n">
        <v>0</v>
      </c>
      <c r="O574" t="n">
        <v>1</v>
      </c>
      <c r="P574" t="n">
        <v>0</v>
      </c>
      <c r="Q574" t="n">
        <v>1</v>
      </c>
      <c r="R574" s="2" t="inlineStr">
        <is>
          <t>Garnlav</t>
        </is>
      </c>
      <c r="S574">
        <f>HYPERLINK("https://klasma.github.io/Logging_SKELLEFTEA/artfynd/A 43180-2020.xlsx", "A 43180-2020")</f>
        <v/>
      </c>
      <c r="T574">
        <f>HYPERLINK("https://klasma.github.io/Logging_SKELLEFTEA/kartor/A 43180-2020.png", "A 43180-2020")</f>
        <v/>
      </c>
      <c r="V574">
        <f>HYPERLINK("https://klasma.github.io/Logging_SKELLEFTEA/klagomål/A 43180-2020.docx", "A 43180-2020")</f>
        <v/>
      </c>
      <c r="W574">
        <f>HYPERLINK("https://klasma.github.io/Logging_SKELLEFTEA/klagomålsmail/A 43180-2020.docx", "A 43180-2020")</f>
        <v/>
      </c>
      <c r="X574">
        <f>HYPERLINK("https://klasma.github.io/Logging_SKELLEFTEA/tillsyn/A 43180-2020.docx", "A 43180-2020")</f>
        <v/>
      </c>
      <c r="Y574">
        <f>HYPERLINK("https://klasma.github.io/Logging_SKELLEFTEA/tillsynsmail/A 43180-2020.docx", "A 43180-2020")</f>
        <v/>
      </c>
    </row>
    <row r="575" ht="15" customHeight="1">
      <c r="A575" t="inlineStr">
        <is>
          <t>A 43303-2020</t>
        </is>
      </c>
      <c r="B575" s="1" t="n">
        <v>44081</v>
      </c>
      <c r="C575" s="1" t="n">
        <v>45204</v>
      </c>
      <c r="D575" t="inlineStr">
        <is>
          <t>VÄSTERBOTTENS LÄN</t>
        </is>
      </c>
      <c r="E575" t="inlineStr">
        <is>
          <t>SKELLEFTEÅ</t>
        </is>
      </c>
      <c r="F575" t="inlineStr">
        <is>
          <t>Sveaskog</t>
        </is>
      </c>
      <c r="G575" t="n">
        <v>2.8</v>
      </c>
      <c r="H575" t="n">
        <v>0</v>
      </c>
      <c r="I575" t="n">
        <v>1</v>
      </c>
      <c r="J575" t="n">
        <v>0</v>
      </c>
      <c r="K575" t="n">
        <v>0</v>
      </c>
      <c r="L575" t="n">
        <v>0</v>
      </c>
      <c r="M575" t="n">
        <v>0</v>
      </c>
      <c r="N575" t="n">
        <v>0</v>
      </c>
      <c r="O575" t="n">
        <v>0</v>
      </c>
      <c r="P575" t="n">
        <v>0</v>
      </c>
      <c r="Q575" t="n">
        <v>1</v>
      </c>
      <c r="R575" s="2" t="inlineStr">
        <is>
          <t>Stuplav</t>
        </is>
      </c>
      <c r="S575">
        <f>HYPERLINK("https://klasma.github.io/Logging_SKELLEFTEA/artfynd/A 43303-2020.xlsx", "A 43303-2020")</f>
        <v/>
      </c>
      <c r="T575">
        <f>HYPERLINK("https://klasma.github.io/Logging_SKELLEFTEA/kartor/A 43303-2020.png", "A 43303-2020")</f>
        <v/>
      </c>
      <c r="V575">
        <f>HYPERLINK("https://klasma.github.io/Logging_SKELLEFTEA/klagomål/A 43303-2020.docx", "A 43303-2020")</f>
        <v/>
      </c>
      <c r="W575">
        <f>HYPERLINK("https://klasma.github.io/Logging_SKELLEFTEA/klagomålsmail/A 43303-2020.docx", "A 43303-2020")</f>
        <v/>
      </c>
      <c r="X575">
        <f>HYPERLINK("https://klasma.github.io/Logging_SKELLEFTEA/tillsyn/A 43303-2020.docx", "A 43303-2020")</f>
        <v/>
      </c>
      <c r="Y575">
        <f>HYPERLINK("https://klasma.github.io/Logging_SKELLEFTEA/tillsynsmail/A 43303-2020.docx", "A 43303-2020")</f>
        <v/>
      </c>
    </row>
    <row r="576" ht="15" customHeight="1">
      <c r="A576" t="inlineStr">
        <is>
          <t>A 43297-2020</t>
        </is>
      </c>
      <c r="B576" s="1" t="n">
        <v>44081</v>
      </c>
      <c r="C576" s="1" t="n">
        <v>45204</v>
      </c>
      <c r="D576" t="inlineStr">
        <is>
          <t>VÄSTERBOTTENS LÄN</t>
        </is>
      </c>
      <c r="E576" t="inlineStr">
        <is>
          <t>SKELLEFTEÅ</t>
        </is>
      </c>
      <c r="F576" t="inlineStr">
        <is>
          <t>Sveaskog</t>
        </is>
      </c>
      <c r="G576" t="n">
        <v>6</v>
      </c>
      <c r="H576" t="n">
        <v>0</v>
      </c>
      <c r="I576" t="n">
        <v>1</v>
      </c>
      <c r="J576" t="n">
        <v>0</v>
      </c>
      <c r="K576" t="n">
        <v>0</v>
      </c>
      <c r="L576" t="n">
        <v>0</v>
      </c>
      <c r="M576" t="n">
        <v>0</v>
      </c>
      <c r="N576" t="n">
        <v>0</v>
      </c>
      <c r="O576" t="n">
        <v>0</v>
      </c>
      <c r="P576" t="n">
        <v>0</v>
      </c>
      <c r="Q576" t="n">
        <v>1</v>
      </c>
      <c r="R576" s="2" t="inlineStr">
        <is>
          <t>Vedticka</t>
        </is>
      </c>
      <c r="S576">
        <f>HYPERLINK("https://klasma.github.io/Logging_SKELLEFTEA/artfynd/A 43297-2020.xlsx", "A 43297-2020")</f>
        <v/>
      </c>
      <c r="T576">
        <f>HYPERLINK("https://klasma.github.io/Logging_SKELLEFTEA/kartor/A 43297-2020.png", "A 43297-2020")</f>
        <v/>
      </c>
      <c r="V576">
        <f>HYPERLINK("https://klasma.github.io/Logging_SKELLEFTEA/klagomål/A 43297-2020.docx", "A 43297-2020")</f>
        <v/>
      </c>
      <c r="W576">
        <f>HYPERLINK("https://klasma.github.io/Logging_SKELLEFTEA/klagomålsmail/A 43297-2020.docx", "A 43297-2020")</f>
        <v/>
      </c>
      <c r="X576">
        <f>HYPERLINK("https://klasma.github.io/Logging_SKELLEFTEA/tillsyn/A 43297-2020.docx", "A 43297-2020")</f>
        <v/>
      </c>
      <c r="Y576">
        <f>HYPERLINK("https://klasma.github.io/Logging_SKELLEFTEA/tillsynsmail/A 43297-2020.docx", "A 43297-2020")</f>
        <v/>
      </c>
    </row>
    <row r="577" ht="15" customHeight="1">
      <c r="A577" t="inlineStr">
        <is>
          <t>A 43813-2020</t>
        </is>
      </c>
      <c r="B577" s="1" t="n">
        <v>44082</v>
      </c>
      <c r="C577" s="1" t="n">
        <v>45204</v>
      </c>
      <c r="D577" t="inlineStr">
        <is>
          <t>VÄSTERBOTTENS LÄN</t>
        </is>
      </c>
      <c r="E577" t="inlineStr">
        <is>
          <t>ÅSELE</t>
        </is>
      </c>
      <c r="F577" t="inlineStr">
        <is>
          <t>Sveaskog</t>
        </is>
      </c>
      <c r="G577" t="n">
        <v>14.2</v>
      </c>
      <c r="H577" t="n">
        <v>1</v>
      </c>
      <c r="I577" t="n">
        <v>0</v>
      </c>
      <c r="J577" t="n">
        <v>1</v>
      </c>
      <c r="K577" t="n">
        <v>0</v>
      </c>
      <c r="L577" t="n">
        <v>0</v>
      </c>
      <c r="M577" t="n">
        <v>0</v>
      </c>
      <c r="N577" t="n">
        <v>0</v>
      </c>
      <c r="O577" t="n">
        <v>1</v>
      </c>
      <c r="P577" t="n">
        <v>0</v>
      </c>
      <c r="Q577" t="n">
        <v>1</v>
      </c>
      <c r="R577" s="2" t="inlineStr">
        <is>
          <t>Spillkråka</t>
        </is>
      </c>
      <c r="S577">
        <f>HYPERLINK("https://klasma.github.io/Logging_ASELE/artfynd/A 43813-2020.xlsx", "A 43813-2020")</f>
        <v/>
      </c>
      <c r="T577">
        <f>HYPERLINK("https://klasma.github.io/Logging_ASELE/kartor/A 43813-2020.png", "A 43813-2020")</f>
        <v/>
      </c>
      <c r="V577">
        <f>HYPERLINK("https://klasma.github.io/Logging_ASELE/klagomål/A 43813-2020.docx", "A 43813-2020")</f>
        <v/>
      </c>
      <c r="W577">
        <f>HYPERLINK("https://klasma.github.io/Logging_ASELE/klagomålsmail/A 43813-2020.docx", "A 43813-2020")</f>
        <v/>
      </c>
      <c r="X577">
        <f>HYPERLINK("https://klasma.github.io/Logging_ASELE/tillsyn/A 43813-2020.docx", "A 43813-2020")</f>
        <v/>
      </c>
      <c r="Y577">
        <f>HYPERLINK("https://klasma.github.io/Logging_ASELE/tillsynsmail/A 43813-2020.docx", "A 43813-2020")</f>
        <v/>
      </c>
    </row>
    <row r="578" ht="15" customHeight="1">
      <c r="A578" t="inlineStr">
        <is>
          <t>A 43837-2020</t>
        </is>
      </c>
      <c r="B578" s="1" t="n">
        <v>44082</v>
      </c>
      <c r="C578" s="1" t="n">
        <v>45204</v>
      </c>
      <c r="D578" t="inlineStr">
        <is>
          <t>VÄSTERBOTTENS LÄN</t>
        </is>
      </c>
      <c r="E578" t="inlineStr">
        <is>
          <t>ÅSELE</t>
        </is>
      </c>
      <c r="F578" t="inlineStr">
        <is>
          <t>SCA</t>
        </is>
      </c>
      <c r="G578" t="n">
        <v>3.8</v>
      </c>
      <c r="H578" t="n">
        <v>1</v>
      </c>
      <c r="I578" t="n">
        <v>0</v>
      </c>
      <c r="J578" t="n">
        <v>1</v>
      </c>
      <c r="K578" t="n">
        <v>0</v>
      </c>
      <c r="L578" t="n">
        <v>0</v>
      </c>
      <c r="M578" t="n">
        <v>0</v>
      </c>
      <c r="N578" t="n">
        <v>0</v>
      </c>
      <c r="O578" t="n">
        <v>1</v>
      </c>
      <c r="P578" t="n">
        <v>0</v>
      </c>
      <c r="Q578" t="n">
        <v>1</v>
      </c>
      <c r="R578" s="2" t="inlineStr">
        <is>
          <t>Tretåig hackspett</t>
        </is>
      </c>
      <c r="S578">
        <f>HYPERLINK("https://klasma.github.io/Logging_ASELE/artfynd/A 43837-2020.xlsx", "A 43837-2020")</f>
        <v/>
      </c>
      <c r="T578">
        <f>HYPERLINK("https://klasma.github.io/Logging_ASELE/kartor/A 43837-2020.png", "A 43837-2020")</f>
        <v/>
      </c>
      <c r="V578">
        <f>HYPERLINK("https://klasma.github.io/Logging_ASELE/klagomål/A 43837-2020.docx", "A 43837-2020")</f>
        <v/>
      </c>
      <c r="W578">
        <f>HYPERLINK("https://klasma.github.io/Logging_ASELE/klagomålsmail/A 43837-2020.docx", "A 43837-2020")</f>
        <v/>
      </c>
      <c r="X578">
        <f>HYPERLINK("https://klasma.github.io/Logging_ASELE/tillsyn/A 43837-2020.docx", "A 43837-2020")</f>
        <v/>
      </c>
      <c r="Y578">
        <f>HYPERLINK("https://klasma.github.io/Logging_ASELE/tillsynsmail/A 43837-2020.docx", "A 43837-2020")</f>
        <v/>
      </c>
    </row>
    <row r="579" ht="15" customHeight="1">
      <c r="A579" t="inlineStr">
        <is>
          <t>A 47013-2020</t>
        </is>
      </c>
      <c r="B579" s="1" t="n">
        <v>44096</v>
      </c>
      <c r="C579" s="1" t="n">
        <v>45204</v>
      </c>
      <c r="D579" t="inlineStr">
        <is>
          <t>VÄSTERBOTTENS LÄN</t>
        </is>
      </c>
      <c r="E579" t="inlineStr">
        <is>
          <t>VINDELN</t>
        </is>
      </c>
      <c r="G579" t="n">
        <v>0.6</v>
      </c>
      <c r="H579" t="n">
        <v>0</v>
      </c>
      <c r="I579" t="n">
        <v>0</v>
      </c>
      <c r="J579" t="n">
        <v>1</v>
      </c>
      <c r="K579" t="n">
        <v>0</v>
      </c>
      <c r="L579" t="n">
        <v>0</v>
      </c>
      <c r="M579" t="n">
        <v>0</v>
      </c>
      <c r="N579" t="n">
        <v>0</v>
      </c>
      <c r="O579" t="n">
        <v>1</v>
      </c>
      <c r="P579" t="n">
        <v>0</v>
      </c>
      <c r="Q579" t="n">
        <v>1</v>
      </c>
      <c r="R579" s="2" t="inlineStr">
        <is>
          <t>Garnlav</t>
        </is>
      </c>
      <c r="S579">
        <f>HYPERLINK("https://klasma.github.io/Logging_VINDELN/artfynd/A 47013-2020.xlsx", "A 47013-2020")</f>
        <v/>
      </c>
      <c r="T579">
        <f>HYPERLINK("https://klasma.github.io/Logging_VINDELN/kartor/A 47013-2020.png", "A 47013-2020")</f>
        <v/>
      </c>
      <c r="V579">
        <f>HYPERLINK("https://klasma.github.io/Logging_VINDELN/klagomål/A 47013-2020.docx", "A 47013-2020")</f>
        <v/>
      </c>
      <c r="W579">
        <f>HYPERLINK("https://klasma.github.io/Logging_VINDELN/klagomålsmail/A 47013-2020.docx", "A 47013-2020")</f>
        <v/>
      </c>
      <c r="X579">
        <f>HYPERLINK("https://klasma.github.io/Logging_VINDELN/tillsyn/A 47013-2020.docx", "A 47013-2020")</f>
        <v/>
      </c>
      <c r="Y579">
        <f>HYPERLINK("https://klasma.github.io/Logging_VINDELN/tillsynsmail/A 47013-2020.docx", "A 47013-2020")</f>
        <v/>
      </c>
    </row>
    <row r="580" ht="15" customHeight="1">
      <c r="A580" t="inlineStr">
        <is>
          <t>A 48400-2020</t>
        </is>
      </c>
      <c r="B580" s="1" t="n">
        <v>44102</v>
      </c>
      <c r="C580" s="1" t="n">
        <v>45204</v>
      </c>
      <c r="D580" t="inlineStr">
        <is>
          <t>VÄSTERBOTTENS LÄN</t>
        </is>
      </c>
      <c r="E580" t="inlineStr">
        <is>
          <t>UMEÅ</t>
        </is>
      </c>
      <c r="G580" t="n">
        <v>1.8</v>
      </c>
      <c r="H580" t="n">
        <v>0</v>
      </c>
      <c r="I580" t="n">
        <v>0</v>
      </c>
      <c r="J580" t="n">
        <v>1</v>
      </c>
      <c r="K580" t="n">
        <v>0</v>
      </c>
      <c r="L580" t="n">
        <v>0</v>
      </c>
      <c r="M580" t="n">
        <v>0</v>
      </c>
      <c r="N580" t="n">
        <v>0</v>
      </c>
      <c r="O580" t="n">
        <v>1</v>
      </c>
      <c r="P580" t="n">
        <v>0</v>
      </c>
      <c r="Q580" t="n">
        <v>1</v>
      </c>
      <c r="R580" s="2" t="inlineStr">
        <is>
          <t>Granticka</t>
        </is>
      </c>
      <c r="S580">
        <f>HYPERLINK("https://klasma.github.io/Logging_UMEA/artfynd/A 48400-2020.xlsx", "A 48400-2020")</f>
        <v/>
      </c>
      <c r="T580">
        <f>HYPERLINK("https://klasma.github.io/Logging_UMEA/kartor/A 48400-2020.png", "A 48400-2020")</f>
        <v/>
      </c>
      <c r="V580">
        <f>HYPERLINK("https://klasma.github.io/Logging_UMEA/klagomål/A 48400-2020.docx", "A 48400-2020")</f>
        <v/>
      </c>
      <c r="W580">
        <f>HYPERLINK("https://klasma.github.io/Logging_UMEA/klagomålsmail/A 48400-2020.docx", "A 48400-2020")</f>
        <v/>
      </c>
      <c r="X580">
        <f>HYPERLINK("https://klasma.github.io/Logging_UMEA/tillsyn/A 48400-2020.docx", "A 48400-2020")</f>
        <v/>
      </c>
      <c r="Y580">
        <f>HYPERLINK("https://klasma.github.io/Logging_UMEA/tillsynsmail/A 48400-2020.docx", "A 48400-2020")</f>
        <v/>
      </c>
    </row>
    <row r="581" ht="15" customHeight="1">
      <c r="A581" t="inlineStr">
        <is>
          <t>A 49683-2020</t>
        </is>
      </c>
      <c r="B581" s="1" t="n">
        <v>44104</v>
      </c>
      <c r="C581" s="1" t="n">
        <v>45204</v>
      </c>
      <c r="D581" t="inlineStr">
        <is>
          <t>VÄSTERBOTTENS LÄN</t>
        </is>
      </c>
      <c r="E581" t="inlineStr">
        <is>
          <t>DOROTEA</t>
        </is>
      </c>
      <c r="F581" t="inlineStr">
        <is>
          <t>SCA</t>
        </is>
      </c>
      <c r="G581" t="n">
        <v>1.1</v>
      </c>
      <c r="H581" t="n">
        <v>0</v>
      </c>
      <c r="I581" t="n">
        <v>0</v>
      </c>
      <c r="J581" t="n">
        <v>0</v>
      </c>
      <c r="K581" t="n">
        <v>1</v>
      </c>
      <c r="L581" t="n">
        <v>0</v>
      </c>
      <c r="M581" t="n">
        <v>0</v>
      </c>
      <c r="N581" t="n">
        <v>0</v>
      </c>
      <c r="O581" t="n">
        <v>1</v>
      </c>
      <c r="P581" t="n">
        <v>1</v>
      </c>
      <c r="Q581" t="n">
        <v>1</v>
      </c>
      <c r="R581" s="2" t="inlineStr">
        <is>
          <t>Rynkskinn</t>
        </is>
      </c>
      <c r="S581">
        <f>HYPERLINK("https://klasma.github.io/Logging_DOROTEA/artfynd/A 49683-2020.xlsx", "A 49683-2020")</f>
        <v/>
      </c>
      <c r="T581">
        <f>HYPERLINK("https://klasma.github.io/Logging_DOROTEA/kartor/A 49683-2020.png", "A 49683-2020")</f>
        <v/>
      </c>
      <c r="V581">
        <f>HYPERLINK("https://klasma.github.io/Logging_DOROTEA/klagomål/A 49683-2020.docx", "A 49683-2020")</f>
        <v/>
      </c>
      <c r="W581">
        <f>HYPERLINK("https://klasma.github.io/Logging_DOROTEA/klagomålsmail/A 49683-2020.docx", "A 49683-2020")</f>
        <v/>
      </c>
      <c r="X581">
        <f>HYPERLINK("https://klasma.github.io/Logging_DOROTEA/tillsyn/A 49683-2020.docx", "A 49683-2020")</f>
        <v/>
      </c>
      <c r="Y581">
        <f>HYPERLINK("https://klasma.github.io/Logging_DOROTEA/tillsynsmail/A 49683-2020.docx", "A 49683-2020")</f>
        <v/>
      </c>
    </row>
    <row r="582" ht="15" customHeight="1">
      <c r="A582" t="inlineStr">
        <is>
          <t>A 49843-2020</t>
        </is>
      </c>
      <c r="B582" s="1" t="n">
        <v>44106</v>
      </c>
      <c r="C582" s="1" t="n">
        <v>45204</v>
      </c>
      <c r="D582" t="inlineStr">
        <is>
          <t>VÄSTERBOTTENS LÄN</t>
        </is>
      </c>
      <c r="E582" t="inlineStr">
        <is>
          <t>ÅSELE</t>
        </is>
      </c>
      <c r="F582" t="inlineStr">
        <is>
          <t>SCA</t>
        </is>
      </c>
      <c r="G582" t="n">
        <v>3.6</v>
      </c>
      <c r="H582" t="n">
        <v>0</v>
      </c>
      <c r="I582" t="n">
        <v>0</v>
      </c>
      <c r="J582" t="n">
        <v>1</v>
      </c>
      <c r="K582" t="n">
        <v>0</v>
      </c>
      <c r="L582" t="n">
        <v>0</v>
      </c>
      <c r="M582" t="n">
        <v>0</v>
      </c>
      <c r="N582" t="n">
        <v>0</v>
      </c>
      <c r="O582" t="n">
        <v>1</v>
      </c>
      <c r="P582" t="n">
        <v>0</v>
      </c>
      <c r="Q582" t="n">
        <v>1</v>
      </c>
      <c r="R582" s="2" t="inlineStr">
        <is>
          <t>Skrovellav</t>
        </is>
      </c>
      <c r="S582">
        <f>HYPERLINK("https://klasma.github.io/Logging_ASELE/artfynd/A 49843-2020.xlsx", "A 49843-2020")</f>
        <v/>
      </c>
      <c r="T582">
        <f>HYPERLINK("https://klasma.github.io/Logging_ASELE/kartor/A 49843-2020.png", "A 49843-2020")</f>
        <v/>
      </c>
      <c r="V582">
        <f>HYPERLINK("https://klasma.github.io/Logging_ASELE/klagomål/A 49843-2020.docx", "A 49843-2020")</f>
        <v/>
      </c>
      <c r="W582">
        <f>HYPERLINK("https://klasma.github.io/Logging_ASELE/klagomålsmail/A 49843-2020.docx", "A 49843-2020")</f>
        <v/>
      </c>
      <c r="X582">
        <f>HYPERLINK("https://klasma.github.io/Logging_ASELE/tillsyn/A 49843-2020.docx", "A 49843-2020")</f>
        <v/>
      </c>
      <c r="Y582">
        <f>HYPERLINK("https://klasma.github.io/Logging_ASELE/tillsynsmail/A 49843-2020.docx", "A 49843-2020")</f>
        <v/>
      </c>
    </row>
    <row r="583" ht="15" customHeight="1">
      <c r="A583" t="inlineStr">
        <is>
          <t>A 52676-2020</t>
        </is>
      </c>
      <c r="B583" s="1" t="n">
        <v>44117</v>
      </c>
      <c r="C583" s="1" t="n">
        <v>45204</v>
      </c>
      <c r="D583" t="inlineStr">
        <is>
          <t>VÄSTERBOTTENS LÄN</t>
        </is>
      </c>
      <c r="E583" t="inlineStr">
        <is>
          <t>UMEÅ</t>
        </is>
      </c>
      <c r="G583" t="n">
        <v>3.3</v>
      </c>
      <c r="H583" t="n">
        <v>0</v>
      </c>
      <c r="I583" t="n">
        <v>0</v>
      </c>
      <c r="J583" t="n">
        <v>1</v>
      </c>
      <c r="K583" t="n">
        <v>0</v>
      </c>
      <c r="L583" t="n">
        <v>0</v>
      </c>
      <c r="M583" t="n">
        <v>0</v>
      </c>
      <c r="N583" t="n">
        <v>0</v>
      </c>
      <c r="O583" t="n">
        <v>1</v>
      </c>
      <c r="P583" t="n">
        <v>0</v>
      </c>
      <c r="Q583" t="n">
        <v>1</v>
      </c>
      <c r="R583" s="2" t="inlineStr">
        <is>
          <t>Garnlav</t>
        </is>
      </c>
      <c r="S583">
        <f>HYPERLINK("https://klasma.github.io/Logging_UMEA/artfynd/A 52676-2020.xlsx", "A 52676-2020")</f>
        <v/>
      </c>
      <c r="T583">
        <f>HYPERLINK("https://klasma.github.io/Logging_UMEA/kartor/A 52676-2020.png", "A 52676-2020")</f>
        <v/>
      </c>
      <c r="V583">
        <f>HYPERLINK("https://klasma.github.io/Logging_UMEA/klagomål/A 52676-2020.docx", "A 52676-2020")</f>
        <v/>
      </c>
      <c r="W583">
        <f>HYPERLINK("https://klasma.github.io/Logging_UMEA/klagomålsmail/A 52676-2020.docx", "A 52676-2020")</f>
        <v/>
      </c>
      <c r="X583">
        <f>HYPERLINK("https://klasma.github.io/Logging_UMEA/tillsyn/A 52676-2020.docx", "A 52676-2020")</f>
        <v/>
      </c>
      <c r="Y583">
        <f>HYPERLINK("https://klasma.github.io/Logging_UMEA/tillsynsmail/A 52676-2020.docx", "A 52676-2020")</f>
        <v/>
      </c>
    </row>
    <row r="584" ht="15" customHeight="1">
      <c r="A584" t="inlineStr">
        <is>
          <t>A 52538-2020</t>
        </is>
      </c>
      <c r="B584" s="1" t="n">
        <v>44118</v>
      </c>
      <c r="C584" s="1" t="n">
        <v>45204</v>
      </c>
      <c r="D584" t="inlineStr">
        <is>
          <t>VÄSTERBOTTENS LÄN</t>
        </is>
      </c>
      <c r="E584" t="inlineStr">
        <is>
          <t>VINDELN</t>
        </is>
      </c>
      <c r="F584" t="inlineStr">
        <is>
          <t>Sveaskog</t>
        </is>
      </c>
      <c r="G584" t="n">
        <v>22.7</v>
      </c>
      <c r="H584" t="n">
        <v>0</v>
      </c>
      <c r="I584" t="n">
        <v>0</v>
      </c>
      <c r="J584" t="n">
        <v>1</v>
      </c>
      <c r="K584" t="n">
        <v>0</v>
      </c>
      <c r="L584" t="n">
        <v>0</v>
      </c>
      <c r="M584" t="n">
        <v>0</v>
      </c>
      <c r="N584" t="n">
        <v>0</v>
      </c>
      <c r="O584" t="n">
        <v>1</v>
      </c>
      <c r="P584" t="n">
        <v>0</v>
      </c>
      <c r="Q584" t="n">
        <v>1</v>
      </c>
      <c r="R584" s="2" t="inlineStr">
        <is>
          <t>Motaggsvamp</t>
        </is>
      </c>
      <c r="S584">
        <f>HYPERLINK("https://klasma.github.io/Logging_VINDELN/artfynd/A 52538-2020.xlsx", "A 52538-2020")</f>
        <v/>
      </c>
      <c r="T584">
        <f>HYPERLINK("https://klasma.github.io/Logging_VINDELN/kartor/A 52538-2020.png", "A 52538-2020")</f>
        <v/>
      </c>
      <c r="V584">
        <f>HYPERLINK("https://klasma.github.io/Logging_VINDELN/klagomål/A 52538-2020.docx", "A 52538-2020")</f>
        <v/>
      </c>
      <c r="W584">
        <f>HYPERLINK("https://klasma.github.io/Logging_VINDELN/klagomålsmail/A 52538-2020.docx", "A 52538-2020")</f>
        <v/>
      </c>
      <c r="X584">
        <f>HYPERLINK("https://klasma.github.io/Logging_VINDELN/tillsyn/A 52538-2020.docx", "A 52538-2020")</f>
        <v/>
      </c>
      <c r="Y584">
        <f>HYPERLINK("https://klasma.github.io/Logging_VINDELN/tillsynsmail/A 52538-2020.docx", "A 52538-2020")</f>
        <v/>
      </c>
    </row>
    <row r="585" ht="15" customHeight="1">
      <c r="A585" t="inlineStr">
        <is>
          <t>A 55810-2020</t>
        </is>
      </c>
      <c r="B585" s="1" t="n">
        <v>44132</v>
      </c>
      <c r="C585" s="1" t="n">
        <v>45204</v>
      </c>
      <c r="D585" t="inlineStr">
        <is>
          <t>VÄSTERBOTTENS LÄN</t>
        </is>
      </c>
      <c r="E585" t="inlineStr">
        <is>
          <t>SKELLEFTEÅ</t>
        </is>
      </c>
      <c r="F585" t="inlineStr">
        <is>
          <t>Sveaskog</t>
        </is>
      </c>
      <c r="G585" t="n">
        <v>20.1</v>
      </c>
      <c r="H585" t="n">
        <v>1</v>
      </c>
      <c r="I585" t="n">
        <v>0</v>
      </c>
      <c r="J585" t="n">
        <v>0</v>
      </c>
      <c r="K585" t="n">
        <v>0</v>
      </c>
      <c r="L585" t="n">
        <v>0</v>
      </c>
      <c r="M585" t="n">
        <v>0</v>
      </c>
      <c r="N585" t="n">
        <v>0</v>
      </c>
      <c r="O585" t="n">
        <v>0</v>
      </c>
      <c r="P585" t="n">
        <v>0</v>
      </c>
      <c r="Q585" t="n">
        <v>1</v>
      </c>
      <c r="R585" s="2" t="inlineStr">
        <is>
          <t>Fläcknycklar</t>
        </is>
      </c>
      <c r="S585">
        <f>HYPERLINK("https://klasma.github.io/Logging_SKELLEFTEA/artfynd/A 55810-2020.xlsx", "A 55810-2020")</f>
        <v/>
      </c>
      <c r="T585">
        <f>HYPERLINK("https://klasma.github.io/Logging_SKELLEFTEA/kartor/A 55810-2020.png", "A 55810-2020")</f>
        <v/>
      </c>
      <c r="V585">
        <f>HYPERLINK("https://klasma.github.io/Logging_SKELLEFTEA/klagomål/A 55810-2020.docx", "A 55810-2020")</f>
        <v/>
      </c>
      <c r="W585">
        <f>HYPERLINK("https://klasma.github.io/Logging_SKELLEFTEA/klagomålsmail/A 55810-2020.docx", "A 55810-2020")</f>
        <v/>
      </c>
      <c r="X585">
        <f>HYPERLINK("https://klasma.github.io/Logging_SKELLEFTEA/tillsyn/A 55810-2020.docx", "A 55810-2020")</f>
        <v/>
      </c>
      <c r="Y585">
        <f>HYPERLINK("https://klasma.github.io/Logging_SKELLEFTEA/tillsynsmail/A 55810-2020.docx", "A 55810-2020")</f>
        <v/>
      </c>
    </row>
    <row r="586" ht="15" customHeight="1">
      <c r="A586" t="inlineStr">
        <is>
          <t>A 57861-2020</t>
        </is>
      </c>
      <c r="B586" s="1" t="n">
        <v>44141</v>
      </c>
      <c r="C586" s="1" t="n">
        <v>45204</v>
      </c>
      <c r="D586" t="inlineStr">
        <is>
          <t>VÄSTERBOTTENS LÄN</t>
        </is>
      </c>
      <c r="E586" t="inlineStr">
        <is>
          <t>VILHELMINA</t>
        </is>
      </c>
      <c r="F586" t="inlineStr">
        <is>
          <t>Sveaskog</t>
        </is>
      </c>
      <c r="G586" t="n">
        <v>11.9</v>
      </c>
      <c r="H586" t="n">
        <v>0</v>
      </c>
      <c r="I586" t="n">
        <v>0</v>
      </c>
      <c r="J586" t="n">
        <v>0</v>
      </c>
      <c r="K586" t="n">
        <v>1</v>
      </c>
      <c r="L586" t="n">
        <v>0</v>
      </c>
      <c r="M586" t="n">
        <v>0</v>
      </c>
      <c r="N586" t="n">
        <v>0</v>
      </c>
      <c r="O586" t="n">
        <v>1</v>
      </c>
      <c r="P586" t="n">
        <v>1</v>
      </c>
      <c r="Q586" t="n">
        <v>1</v>
      </c>
      <c r="R586" s="2" t="inlineStr">
        <is>
          <t>Fläckporing</t>
        </is>
      </c>
      <c r="S586">
        <f>HYPERLINK("https://klasma.github.io/Logging_VILHELMINA/artfynd/A 57861-2020.xlsx", "A 57861-2020")</f>
        <v/>
      </c>
      <c r="T586">
        <f>HYPERLINK("https://klasma.github.io/Logging_VILHELMINA/kartor/A 57861-2020.png", "A 57861-2020")</f>
        <v/>
      </c>
      <c r="V586">
        <f>HYPERLINK("https://klasma.github.io/Logging_VILHELMINA/klagomål/A 57861-2020.docx", "A 57861-2020")</f>
        <v/>
      </c>
      <c r="W586">
        <f>HYPERLINK("https://klasma.github.io/Logging_VILHELMINA/klagomålsmail/A 57861-2020.docx", "A 57861-2020")</f>
        <v/>
      </c>
      <c r="X586">
        <f>HYPERLINK("https://klasma.github.io/Logging_VILHELMINA/tillsyn/A 57861-2020.docx", "A 57861-2020")</f>
        <v/>
      </c>
      <c r="Y586">
        <f>HYPERLINK("https://klasma.github.io/Logging_VILHELMINA/tillsynsmail/A 57861-2020.docx", "A 57861-2020")</f>
        <v/>
      </c>
    </row>
    <row r="587" ht="15" customHeight="1">
      <c r="A587" t="inlineStr">
        <is>
          <t>A 58269-2020</t>
        </is>
      </c>
      <c r="B587" s="1" t="n">
        <v>44144</v>
      </c>
      <c r="C587" s="1" t="n">
        <v>45204</v>
      </c>
      <c r="D587" t="inlineStr">
        <is>
          <t>VÄSTERBOTTENS LÄN</t>
        </is>
      </c>
      <c r="E587" t="inlineStr">
        <is>
          <t>VINDELN</t>
        </is>
      </c>
      <c r="F587" t="inlineStr">
        <is>
          <t>Sveaskog</t>
        </is>
      </c>
      <c r="G587" t="n">
        <v>6.2</v>
      </c>
      <c r="H587" t="n">
        <v>1</v>
      </c>
      <c r="I587" t="n">
        <v>1</v>
      </c>
      <c r="J587" t="n">
        <v>0</v>
      </c>
      <c r="K587" t="n">
        <v>0</v>
      </c>
      <c r="L587" t="n">
        <v>0</v>
      </c>
      <c r="M587" t="n">
        <v>0</v>
      </c>
      <c r="N587" t="n">
        <v>0</v>
      </c>
      <c r="O587" t="n">
        <v>0</v>
      </c>
      <c r="P587" t="n">
        <v>0</v>
      </c>
      <c r="Q587" t="n">
        <v>1</v>
      </c>
      <c r="R587" s="2" t="inlineStr">
        <is>
          <t>Lappranunkel</t>
        </is>
      </c>
      <c r="S587">
        <f>HYPERLINK("https://klasma.github.io/Logging_VINDELN/artfynd/A 58269-2020.xlsx", "A 58269-2020")</f>
        <v/>
      </c>
      <c r="T587">
        <f>HYPERLINK("https://klasma.github.io/Logging_VINDELN/kartor/A 58269-2020.png", "A 58269-2020")</f>
        <v/>
      </c>
      <c r="V587">
        <f>HYPERLINK("https://klasma.github.io/Logging_VINDELN/klagomål/A 58269-2020.docx", "A 58269-2020")</f>
        <v/>
      </c>
      <c r="W587">
        <f>HYPERLINK("https://klasma.github.io/Logging_VINDELN/klagomålsmail/A 58269-2020.docx", "A 58269-2020")</f>
        <v/>
      </c>
      <c r="X587">
        <f>HYPERLINK("https://klasma.github.io/Logging_VINDELN/tillsyn/A 58269-2020.docx", "A 58269-2020")</f>
        <v/>
      </c>
      <c r="Y587">
        <f>HYPERLINK("https://klasma.github.io/Logging_VINDELN/tillsynsmail/A 58269-2020.docx", "A 58269-2020")</f>
        <v/>
      </c>
    </row>
    <row r="588" ht="15" customHeight="1">
      <c r="A588" t="inlineStr">
        <is>
          <t>A 59120-2020</t>
        </is>
      </c>
      <c r="B588" s="1" t="n">
        <v>44147</v>
      </c>
      <c r="C588" s="1" t="n">
        <v>45204</v>
      </c>
      <c r="D588" t="inlineStr">
        <is>
          <t>VÄSTERBOTTENS LÄN</t>
        </is>
      </c>
      <c r="E588" t="inlineStr">
        <is>
          <t>NORSJÖ</t>
        </is>
      </c>
      <c r="F588" t="inlineStr">
        <is>
          <t>Sveaskog</t>
        </is>
      </c>
      <c r="G588" t="n">
        <v>19.6</v>
      </c>
      <c r="H588" t="n">
        <v>0</v>
      </c>
      <c r="I588" t="n">
        <v>1</v>
      </c>
      <c r="J588" t="n">
        <v>0</v>
      </c>
      <c r="K588" t="n">
        <v>0</v>
      </c>
      <c r="L588" t="n">
        <v>0</v>
      </c>
      <c r="M588" t="n">
        <v>0</v>
      </c>
      <c r="N588" t="n">
        <v>0</v>
      </c>
      <c r="O588" t="n">
        <v>0</v>
      </c>
      <c r="P588" t="n">
        <v>0</v>
      </c>
      <c r="Q588" t="n">
        <v>1</v>
      </c>
      <c r="R588" s="2" t="inlineStr">
        <is>
          <t>Bollvitmossa</t>
        </is>
      </c>
      <c r="S588">
        <f>HYPERLINK("https://klasma.github.io/Logging_NORSJO/artfynd/A 59120-2020.xlsx", "A 59120-2020")</f>
        <v/>
      </c>
      <c r="T588">
        <f>HYPERLINK("https://klasma.github.io/Logging_NORSJO/kartor/A 59120-2020.png", "A 59120-2020")</f>
        <v/>
      </c>
      <c r="V588">
        <f>HYPERLINK("https://klasma.github.io/Logging_NORSJO/klagomål/A 59120-2020.docx", "A 59120-2020")</f>
        <v/>
      </c>
      <c r="W588">
        <f>HYPERLINK("https://klasma.github.io/Logging_NORSJO/klagomålsmail/A 59120-2020.docx", "A 59120-2020")</f>
        <v/>
      </c>
      <c r="X588">
        <f>HYPERLINK("https://klasma.github.io/Logging_NORSJO/tillsyn/A 59120-2020.docx", "A 59120-2020")</f>
        <v/>
      </c>
      <c r="Y588">
        <f>HYPERLINK("https://klasma.github.io/Logging_NORSJO/tillsynsmail/A 59120-2020.docx", "A 59120-2020")</f>
        <v/>
      </c>
    </row>
    <row r="589" ht="15" customHeight="1">
      <c r="A589" t="inlineStr">
        <is>
          <t>A 62699-2020</t>
        </is>
      </c>
      <c r="B589" s="1" t="n">
        <v>44161</v>
      </c>
      <c r="C589" s="1" t="n">
        <v>45204</v>
      </c>
      <c r="D589" t="inlineStr">
        <is>
          <t>VÄSTERBOTTENS LÄN</t>
        </is>
      </c>
      <c r="E589" t="inlineStr">
        <is>
          <t>NORSJÖ</t>
        </is>
      </c>
      <c r="F589" t="inlineStr">
        <is>
          <t>Sveaskog</t>
        </is>
      </c>
      <c r="G589" t="n">
        <v>2</v>
      </c>
      <c r="H589" t="n">
        <v>0</v>
      </c>
      <c r="I589" t="n">
        <v>1</v>
      </c>
      <c r="J589" t="n">
        <v>0</v>
      </c>
      <c r="K589" t="n">
        <v>0</v>
      </c>
      <c r="L589" t="n">
        <v>0</v>
      </c>
      <c r="M589" t="n">
        <v>0</v>
      </c>
      <c r="N589" t="n">
        <v>0</v>
      </c>
      <c r="O589" t="n">
        <v>0</v>
      </c>
      <c r="P589" t="n">
        <v>0</v>
      </c>
      <c r="Q589" t="n">
        <v>1</v>
      </c>
      <c r="R589" s="2" t="inlineStr">
        <is>
          <t>Bronshjon</t>
        </is>
      </c>
      <c r="S589">
        <f>HYPERLINK("https://klasma.github.io/Logging_NORSJO/artfynd/A 62699-2020.xlsx", "A 62699-2020")</f>
        <v/>
      </c>
      <c r="T589">
        <f>HYPERLINK("https://klasma.github.io/Logging_NORSJO/kartor/A 62699-2020.png", "A 62699-2020")</f>
        <v/>
      </c>
      <c r="V589">
        <f>HYPERLINK("https://klasma.github.io/Logging_NORSJO/klagomål/A 62699-2020.docx", "A 62699-2020")</f>
        <v/>
      </c>
      <c r="W589">
        <f>HYPERLINK("https://klasma.github.io/Logging_NORSJO/klagomålsmail/A 62699-2020.docx", "A 62699-2020")</f>
        <v/>
      </c>
      <c r="X589">
        <f>HYPERLINK("https://klasma.github.io/Logging_NORSJO/tillsyn/A 62699-2020.docx", "A 62699-2020")</f>
        <v/>
      </c>
      <c r="Y589">
        <f>HYPERLINK("https://klasma.github.io/Logging_NORSJO/tillsynsmail/A 62699-2020.docx", "A 62699-2020")</f>
        <v/>
      </c>
    </row>
    <row r="590" ht="15" customHeight="1">
      <c r="A590" t="inlineStr">
        <is>
          <t>A 63237-2020</t>
        </is>
      </c>
      <c r="B590" s="1" t="n">
        <v>44163</v>
      </c>
      <c r="C590" s="1" t="n">
        <v>45204</v>
      </c>
      <c r="D590" t="inlineStr">
        <is>
          <t>VÄSTERBOTTENS LÄN</t>
        </is>
      </c>
      <c r="E590" t="inlineStr">
        <is>
          <t>ROBERTSFORS</t>
        </is>
      </c>
      <c r="F590" t="inlineStr">
        <is>
          <t>Sveaskog</t>
        </is>
      </c>
      <c r="G590" t="n">
        <v>1.4</v>
      </c>
      <c r="H590" t="n">
        <v>0</v>
      </c>
      <c r="I590" t="n">
        <v>0</v>
      </c>
      <c r="J590" t="n">
        <v>1</v>
      </c>
      <c r="K590" t="n">
        <v>0</v>
      </c>
      <c r="L590" t="n">
        <v>0</v>
      </c>
      <c r="M590" t="n">
        <v>0</v>
      </c>
      <c r="N590" t="n">
        <v>0</v>
      </c>
      <c r="O590" t="n">
        <v>1</v>
      </c>
      <c r="P590" t="n">
        <v>0</v>
      </c>
      <c r="Q590" t="n">
        <v>1</v>
      </c>
      <c r="R590" s="2" t="inlineStr">
        <is>
          <t>Garnlav</t>
        </is>
      </c>
      <c r="S590">
        <f>HYPERLINK("https://klasma.github.io/Logging_ROBERTSFORS/artfynd/A 63237-2020.xlsx", "A 63237-2020")</f>
        <v/>
      </c>
      <c r="T590">
        <f>HYPERLINK("https://klasma.github.io/Logging_ROBERTSFORS/kartor/A 63237-2020.png", "A 63237-2020")</f>
        <v/>
      </c>
      <c r="V590">
        <f>HYPERLINK("https://klasma.github.io/Logging_ROBERTSFORS/klagomål/A 63237-2020.docx", "A 63237-2020")</f>
        <v/>
      </c>
      <c r="W590">
        <f>HYPERLINK("https://klasma.github.io/Logging_ROBERTSFORS/klagomålsmail/A 63237-2020.docx", "A 63237-2020")</f>
        <v/>
      </c>
      <c r="X590">
        <f>HYPERLINK("https://klasma.github.io/Logging_ROBERTSFORS/tillsyn/A 63237-2020.docx", "A 63237-2020")</f>
        <v/>
      </c>
      <c r="Y590">
        <f>HYPERLINK("https://klasma.github.io/Logging_ROBERTSFORS/tillsynsmail/A 63237-2020.docx", "A 63237-2020")</f>
        <v/>
      </c>
    </row>
    <row r="591" ht="15" customHeight="1">
      <c r="A591" t="inlineStr">
        <is>
          <t>A 63227-2020</t>
        </is>
      </c>
      <c r="B591" s="1" t="n">
        <v>44163</v>
      </c>
      <c r="C591" s="1" t="n">
        <v>45204</v>
      </c>
      <c r="D591" t="inlineStr">
        <is>
          <t>VÄSTERBOTTENS LÄN</t>
        </is>
      </c>
      <c r="E591" t="inlineStr">
        <is>
          <t>VINDELN</t>
        </is>
      </c>
      <c r="F591" t="inlineStr">
        <is>
          <t>Sveaskog</t>
        </is>
      </c>
      <c r="G591" t="n">
        <v>2.6</v>
      </c>
      <c r="H591" t="n">
        <v>0</v>
      </c>
      <c r="I591" t="n">
        <v>0</v>
      </c>
      <c r="J591" t="n">
        <v>1</v>
      </c>
      <c r="K591" t="n">
        <v>0</v>
      </c>
      <c r="L591" t="n">
        <v>0</v>
      </c>
      <c r="M591" t="n">
        <v>0</v>
      </c>
      <c r="N591" t="n">
        <v>0</v>
      </c>
      <c r="O591" t="n">
        <v>1</v>
      </c>
      <c r="P591" t="n">
        <v>0</v>
      </c>
      <c r="Q591" t="n">
        <v>1</v>
      </c>
      <c r="R591" s="2" t="inlineStr">
        <is>
          <t>Garnlav</t>
        </is>
      </c>
      <c r="S591">
        <f>HYPERLINK("https://klasma.github.io/Logging_VINDELN/artfynd/A 63227-2020.xlsx", "A 63227-2020")</f>
        <v/>
      </c>
      <c r="T591">
        <f>HYPERLINK("https://klasma.github.io/Logging_VINDELN/kartor/A 63227-2020.png", "A 63227-2020")</f>
        <v/>
      </c>
      <c r="V591">
        <f>HYPERLINK("https://klasma.github.io/Logging_VINDELN/klagomål/A 63227-2020.docx", "A 63227-2020")</f>
        <v/>
      </c>
      <c r="W591">
        <f>HYPERLINK("https://klasma.github.io/Logging_VINDELN/klagomålsmail/A 63227-2020.docx", "A 63227-2020")</f>
        <v/>
      </c>
      <c r="X591">
        <f>HYPERLINK("https://klasma.github.io/Logging_VINDELN/tillsyn/A 63227-2020.docx", "A 63227-2020")</f>
        <v/>
      </c>
      <c r="Y591">
        <f>HYPERLINK("https://klasma.github.io/Logging_VINDELN/tillsynsmail/A 63227-2020.docx", "A 63227-2020")</f>
        <v/>
      </c>
    </row>
    <row r="592" ht="15" customHeight="1">
      <c r="A592" t="inlineStr">
        <is>
          <t>A 64185-2020</t>
        </is>
      </c>
      <c r="B592" s="1" t="n">
        <v>44167</v>
      </c>
      <c r="C592" s="1" t="n">
        <v>45204</v>
      </c>
      <c r="D592" t="inlineStr">
        <is>
          <t>VÄSTERBOTTENS LÄN</t>
        </is>
      </c>
      <c r="E592" t="inlineStr">
        <is>
          <t>NORDMALING</t>
        </is>
      </c>
      <c r="F592" t="inlineStr">
        <is>
          <t>SCA</t>
        </is>
      </c>
      <c r="G592" t="n">
        <v>1.7</v>
      </c>
      <c r="H592" t="n">
        <v>0</v>
      </c>
      <c r="I592" t="n">
        <v>0</v>
      </c>
      <c r="J592" t="n">
        <v>1</v>
      </c>
      <c r="K592" t="n">
        <v>0</v>
      </c>
      <c r="L592" t="n">
        <v>0</v>
      </c>
      <c r="M592" t="n">
        <v>0</v>
      </c>
      <c r="N592" t="n">
        <v>0</v>
      </c>
      <c r="O592" t="n">
        <v>1</v>
      </c>
      <c r="P592" t="n">
        <v>0</v>
      </c>
      <c r="Q592" t="n">
        <v>1</v>
      </c>
      <c r="R592" s="2" t="inlineStr">
        <is>
          <t>Gränsticka</t>
        </is>
      </c>
      <c r="S592">
        <f>HYPERLINK("https://klasma.github.io/Logging_NORDMALING/artfynd/A 64185-2020.xlsx", "A 64185-2020")</f>
        <v/>
      </c>
      <c r="T592">
        <f>HYPERLINK("https://klasma.github.io/Logging_NORDMALING/kartor/A 64185-2020.png", "A 64185-2020")</f>
        <v/>
      </c>
      <c r="V592">
        <f>HYPERLINK("https://klasma.github.io/Logging_NORDMALING/klagomål/A 64185-2020.docx", "A 64185-2020")</f>
        <v/>
      </c>
      <c r="W592">
        <f>HYPERLINK("https://klasma.github.io/Logging_NORDMALING/klagomålsmail/A 64185-2020.docx", "A 64185-2020")</f>
        <v/>
      </c>
      <c r="X592">
        <f>HYPERLINK("https://klasma.github.io/Logging_NORDMALING/tillsyn/A 64185-2020.docx", "A 64185-2020")</f>
        <v/>
      </c>
      <c r="Y592">
        <f>HYPERLINK("https://klasma.github.io/Logging_NORDMALING/tillsynsmail/A 64185-2020.docx", "A 64185-2020")</f>
        <v/>
      </c>
    </row>
    <row r="593" ht="15" customHeight="1">
      <c r="A593" t="inlineStr">
        <is>
          <t>A 65617-2020</t>
        </is>
      </c>
      <c r="B593" s="1" t="n">
        <v>44173</v>
      </c>
      <c r="C593" s="1" t="n">
        <v>45204</v>
      </c>
      <c r="D593" t="inlineStr">
        <is>
          <t>VÄSTERBOTTENS LÄN</t>
        </is>
      </c>
      <c r="E593" t="inlineStr">
        <is>
          <t>NORDMALING</t>
        </is>
      </c>
      <c r="F593" t="inlineStr">
        <is>
          <t>SCA</t>
        </is>
      </c>
      <c r="G593" t="n">
        <v>4.3</v>
      </c>
      <c r="H593" t="n">
        <v>0</v>
      </c>
      <c r="I593" t="n">
        <v>0</v>
      </c>
      <c r="J593" t="n">
        <v>1</v>
      </c>
      <c r="K593" t="n">
        <v>0</v>
      </c>
      <c r="L593" t="n">
        <v>0</v>
      </c>
      <c r="M593" t="n">
        <v>0</v>
      </c>
      <c r="N593" t="n">
        <v>0</v>
      </c>
      <c r="O593" t="n">
        <v>1</v>
      </c>
      <c r="P593" t="n">
        <v>0</v>
      </c>
      <c r="Q593" t="n">
        <v>1</v>
      </c>
      <c r="R593" s="2" t="inlineStr">
        <is>
          <t>Lunglav</t>
        </is>
      </c>
      <c r="S593">
        <f>HYPERLINK("https://klasma.github.io/Logging_NORDMALING/artfynd/A 65617-2020.xlsx", "A 65617-2020")</f>
        <v/>
      </c>
      <c r="T593">
        <f>HYPERLINK("https://klasma.github.io/Logging_NORDMALING/kartor/A 65617-2020.png", "A 65617-2020")</f>
        <v/>
      </c>
      <c r="V593">
        <f>HYPERLINK("https://klasma.github.io/Logging_NORDMALING/klagomål/A 65617-2020.docx", "A 65617-2020")</f>
        <v/>
      </c>
      <c r="W593">
        <f>HYPERLINK("https://klasma.github.io/Logging_NORDMALING/klagomålsmail/A 65617-2020.docx", "A 65617-2020")</f>
        <v/>
      </c>
      <c r="X593">
        <f>HYPERLINK("https://klasma.github.io/Logging_NORDMALING/tillsyn/A 65617-2020.docx", "A 65617-2020")</f>
        <v/>
      </c>
      <c r="Y593">
        <f>HYPERLINK("https://klasma.github.io/Logging_NORDMALING/tillsynsmail/A 65617-2020.docx", "A 65617-2020")</f>
        <v/>
      </c>
    </row>
    <row r="594" ht="15" customHeight="1">
      <c r="A594" t="inlineStr">
        <is>
          <t>A 68291-2020</t>
        </is>
      </c>
      <c r="B594" s="1" t="n">
        <v>44183</v>
      </c>
      <c r="C594" s="1" t="n">
        <v>45204</v>
      </c>
      <c r="D594" t="inlineStr">
        <is>
          <t>VÄSTERBOTTENS LÄN</t>
        </is>
      </c>
      <c r="E594" t="inlineStr">
        <is>
          <t>NORDMALING</t>
        </is>
      </c>
      <c r="F594" t="inlineStr">
        <is>
          <t>SCA</t>
        </is>
      </c>
      <c r="G594" t="n">
        <v>2.2</v>
      </c>
      <c r="H594" t="n">
        <v>0</v>
      </c>
      <c r="I594" t="n">
        <v>0</v>
      </c>
      <c r="J594" t="n">
        <v>1</v>
      </c>
      <c r="K594" t="n">
        <v>0</v>
      </c>
      <c r="L594" t="n">
        <v>0</v>
      </c>
      <c r="M594" t="n">
        <v>0</v>
      </c>
      <c r="N594" t="n">
        <v>0</v>
      </c>
      <c r="O594" t="n">
        <v>1</v>
      </c>
      <c r="P594" t="n">
        <v>0</v>
      </c>
      <c r="Q594" t="n">
        <v>1</v>
      </c>
      <c r="R594" s="2" t="inlineStr">
        <is>
          <t>Granticka</t>
        </is>
      </c>
      <c r="S594">
        <f>HYPERLINK("https://klasma.github.io/Logging_NORDMALING/artfynd/A 68291-2020.xlsx", "A 68291-2020")</f>
        <v/>
      </c>
      <c r="T594">
        <f>HYPERLINK("https://klasma.github.io/Logging_NORDMALING/kartor/A 68291-2020.png", "A 68291-2020")</f>
        <v/>
      </c>
      <c r="V594">
        <f>HYPERLINK("https://klasma.github.io/Logging_NORDMALING/klagomål/A 68291-2020.docx", "A 68291-2020")</f>
        <v/>
      </c>
      <c r="W594">
        <f>HYPERLINK("https://klasma.github.io/Logging_NORDMALING/klagomålsmail/A 68291-2020.docx", "A 68291-2020")</f>
        <v/>
      </c>
      <c r="X594">
        <f>HYPERLINK("https://klasma.github.io/Logging_NORDMALING/tillsyn/A 68291-2020.docx", "A 68291-2020")</f>
        <v/>
      </c>
      <c r="Y594">
        <f>HYPERLINK("https://klasma.github.io/Logging_NORDMALING/tillsynsmail/A 68291-2020.docx", "A 68291-2020")</f>
        <v/>
      </c>
    </row>
    <row r="595" ht="15" customHeight="1">
      <c r="A595" t="inlineStr">
        <is>
          <t>A 69626-2020</t>
        </is>
      </c>
      <c r="B595" s="1" t="n">
        <v>44195</v>
      </c>
      <c r="C595" s="1" t="n">
        <v>45204</v>
      </c>
      <c r="D595" t="inlineStr">
        <is>
          <t>VÄSTERBOTTENS LÄN</t>
        </is>
      </c>
      <c r="E595" t="inlineStr">
        <is>
          <t>VILHELMINA</t>
        </is>
      </c>
      <c r="G595" t="n">
        <v>10.2</v>
      </c>
      <c r="H595" t="n">
        <v>1</v>
      </c>
      <c r="I595" t="n">
        <v>0</v>
      </c>
      <c r="J595" t="n">
        <v>1</v>
      </c>
      <c r="K595" t="n">
        <v>0</v>
      </c>
      <c r="L595" t="n">
        <v>0</v>
      </c>
      <c r="M595" t="n">
        <v>0</v>
      </c>
      <c r="N595" t="n">
        <v>0</v>
      </c>
      <c r="O595" t="n">
        <v>1</v>
      </c>
      <c r="P595" t="n">
        <v>0</v>
      </c>
      <c r="Q595" t="n">
        <v>1</v>
      </c>
      <c r="R595" s="2" t="inlineStr">
        <is>
          <t>Tretåig hackspett</t>
        </is>
      </c>
      <c r="S595">
        <f>HYPERLINK("https://klasma.github.io/Logging_VILHELMINA/artfynd/A 69626-2020.xlsx", "A 69626-2020")</f>
        <v/>
      </c>
      <c r="T595">
        <f>HYPERLINK("https://klasma.github.io/Logging_VILHELMINA/kartor/A 69626-2020.png", "A 69626-2020")</f>
        <v/>
      </c>
      <c r="V595">
        <f>HYPERLINK("https://klasma.github.io/Logging_VILHELMINA/klagomål/A 69626-2020.docx", "A 69626-2020")</f>
        <v/>
      </c>
      <c r="W595">
        <f>HYPERLINK("https://klasma.github.io/Logging_VILHELMINA/klagomålsmail/A 69626-2020.docx", "A 69626-2020")</f>
        <v/>
      </c>
      <c r="X595">
        <f>HYPERLINK("https://klasma.github.io/Logging_VILHELMINA/tillsyn/A 69626-2020.docx", "A 69626-2020")</f>
        <v/>
      </c>
      <c r="Y595">
        <f>HYPERLINK("https://klasma.github.io/Logging_VILHELMINA/tillsynsmail/A 69626-2020.docx", "A 69626-2020")</f>
        <v/>
      </c>
    </row>
    <row r="596" ht="15" customHeight="1">
      <c r="A596" t="inlineStr">
        <is>
          <t>A 3502-2021</t>
        </is>
      </c>
      <c r="B596" s="1" t="n">
        <v>44218</v>
      </c>
      <c r="C596" s="1" t="n">
        <v>45204</v>
      </c>
      <c r="D596" t="inlineStr">
        <is>
          <t>VÄSTERBOTTENS LÄN</t>
        </is>
      </c>
      <c r="E596" t="inlineStr">
        <is>
          <t>STORUMAN</t>
        </is>
      </c>
      <c r="F596" t="inlineStr">
        <is>
          <t>Sveaskog</t>
        </is>
      </c>
      <c r="G596" t="n">
        <v>4.3</v>
      </c>
      <c r="H596" t="n">
        <v>0</v>
      </c>
      <c r="I596" t="n">
        <v>1</v>
      </c>
      <c r="J596" t="n">
        <v>0</v>
      </c>
      <c r="K596" t="n">
        <v>0</v>
      </c>
      <c r="L596" t="n">
        <v>0</v>
      </c>
      <c r="M596" t="n">
        <v>0</v>
      </c>
      <c r="N596" t="n">
        <v>0</v>
      </c>
      <c r="O596" t="n">
        <v>0</v>
      </c>
      <c r="P596" t="n">
        <v>0</v>
      </c>
      <c r="Q596" t="n">
        <v>1</v>
      </c>
      <c r="R596" s="2" t="inlineStr">
        <is>
          <t>Stuplav</t>
        </is>
      </c>
      <c r="S596">
        <f>HYPERLINK("https://klasma.github.io/Logging_STORUMAN/artfynd/A 3502-2021.xlsx", "A 3502-2021")</f>
        <v/>
      </c>
      <c r="T596">
        <f>HYPERLINK("https://klasma.github.io/Logging_STORUMAN/kartor/A 3502-2021.png", "A 3502-2021")</f>
        <v/>
      </c>
      <c r="V596">
        <f>HYPERLINK("https://klasma.github.io/Logging_STORUMAN/klagomål/A 3502-2021.docx", "A 3502-2021")</f>
        <v/>
      </c>
      <c r="W596">
        <f>HYPERLINK("https://klasma.github.io/Logging_STORUMAN/klagomålsmail/A 3502-2021.docx", "A 3502-2021")</f>
        <v/>
      </c>
      <c r="X596">
        <f>HYPERLINK("https://klasma.github.io/Logging_STORUMAN/tillsyn/A 3502-2021.docx", "A 3502-2021")</f>
        <v/>
      </c>
      <c r="Y596">
        <f>HYPERLINK("https://klasma.github.io/Logging_STORUMAN/tillsynsmail/A 3502-2021.docx", "A 3502-2021")</f>
        <v/>
      </c>
    </row>
    <row r="597" ht="15" customHeight="1">
      <c r="A597" t="inlineStr">
        <is>
          <t>A 3816-2021</t>
        </is>
      </c>
      <c r="B597" s="1" t="n">
        <v>44221</v>
      </c>
      <c r="C597" s="1" t="n">
        <v>45204</v>
      </c>
      <c r="D597" t="inlineStr">
        <is>
          <t>VÄSTERBOTTENS LÄN</t>
        </is>
      </c>
      <c r="E597" t="inlineStr">
        <is>
          <t>NORDMALING</t>
        </is>
      </c>
      <c r="G597" t="n">
        <v>2.3</v>
      </c>
      <c r="H597" t="n">
        <v>0</v>
      </c>
      <c r="I597" t="n">
        <v>1</v>
      </c>
      <c r="J597" t="n">
        <v>0</v>
      </c>
      <c r="K597" t="n">
        <v>0</v>
      </c>
      <c r="L597" t="n">
        <v>0</v>
      </c>
      <c r="M597" t="n">
        <v>0</v>
      </c>
      <c r="N597" t="n">
        <v>0</v>
      </c>
      <c r="O597" t="n">
        <v>0</v>
      </c>
      <c r="P597" t="n">
        <v>0</v>
      </c>
      <c r="Q597" t="n">
        <v>1</v>
      </c>
      <c r="R597" s="2" t="inlineStr">
        <is>
          <t>Trådticka</t>
        </is>
      </c>
      <c r="S597">
        <f>HYPERLINK("https://klasma.github.io/Logging_NORDMALING/artfynd/A 3816-2021.xlsx", "A 3816-2021")</f>
        <v/>
      </c>
      <c r="T597">
        <f>HYPERLINK("https://klasma.github.io/Logging_NORDMALING/kartor/A 3816-2021.png", "A 3816-2021")</f>
        <v/>
      </c>
      <c r="V597">
        <f>HYPERLINK("https://klasma.github.io/Logging_NORDMALING/klagomål/A 3816-2021.docx", "A 3816-2021")</f>
        <v/>
      </c>
      <c r="W597">
        <f>HYPERLINK("https://klasma.github.io/Logging_NORDMALING/klagomålsmail/A 3816-2021.docx", "A 3816-2021")</f>
        <v/>
      </c>
      <c r="X597">
        <f>HYPERLINK("https://klasma.github.io/Logging_NORDMALING/tillsyn/A 3816-2021.docx", "A 3816-2021")</f>
        <v/>
      </c>
      <c r="Y597">
        <f>HYPERLINK("https://klasma.github.io/Logging_NORDMALING/tillsynsmail/A 3816-2021.docx", "A 3816-2021")</f>
        <v/>
      </c>
    </row>
    <row r="598" ht="15" customHeight="1">
      <c r="A598" t="inlineStr">
        <is>
          <t>A 6210-2021</t>
        </is>
      </c>
      <c r="B598" s="1" t="n">
        <v>44232</v>
      </c>
      <c r="C598" s="1" t="n">
        <v>45204</v>
      </c>
      <c r="D598" t="inlineStr">
        <is>
          <t>VÄSTERBOTTENS LÄN</t>
        </is>
      </c>
      <c r="E598" t="inlineStr">
        <is>
          <t>STORUMAN</t>
        </is>
      </c>
      <c r="G598" t="n">
        <v>14</v>
      </c>
      <c r="H598" t="n">
        <v>0</v>
      </c>
      <c r="I598" t="n">
        <v>0</v>
      </c>
      <c r="J598" t="n">
        <v>1</v>
      </c>
      <c r="K598" t="n">
        <v>0</v>
      </c>
      <c r="L598" t="n">
        <v>0</v>
      </c>
      <c r="M598" t="n">
        <v>0</v>
      </c>
      <c r="N598" t="n">
        <v>0</v>
      </c>
      <c r="O598" t="n">
        <v>1</v>
      </c>
      <c r="P598" t="n">
        <v>0</v>
      </c>
      <c r="Q598" t="n">
        <v>1</v>
      </c>
      <c r="R598" s="2" t="inlineStr">
        <is>
          <t>Granticka</t>
        </is>
      </c>
      <c r="S598">
        <f>HYPERLINK("https://klasma.github.io/Logging_STORUMAN/artfynd/A 6210-2021.xlsx", "A 6210-2021")</f>
        <v/>
      </c>
      <c r="T598">
        <f>HYPERLINK("https://klasma.github.io/Logging_STORUMAN/kartor/A 6210-2021.png", "A 6210-2021")</f>
        <v/>
      </c>
      <c r="V598">
        <f>HYPERLINK("https://klasma.github.io/Logging_STORUMAN/klagomål/A 6210-2021.docx", "A 6210-2021")</f>
        <v/>
      </c>
      <c r="W598">
        <f>HYPERLINK("https://klasma.github.io/Logging_STORUMAN/klagomålsmail/A 6210-2021.docx", "A 6210-2021")</f>
        <v/>
      </c>
      <c r="X598">
        <f>HYPERLINK("https://klasma.github.io/Logging_STORUMAN/tillsyn/A 6210-2021.docx", "A 6210-2021")</f>
        <v/>
      </c>
      <c r="Y598">
        <f>HYPERLINK("https://klasma.github.io/Logging_STORUMAN/tillsynsmail/A 6210-2021.docx", "A 6210-2021")</f>
        <v/>
      </c>
    </row>
    <row r="599" ht="15" customHeight="1">
      <c r="A599" t="inlineStr">
        <is>
          <t>A 6852-2021</t>
        </is>
      </c>
      <c r="B599" s="1" t="n">
        <v>44237</v>
      </c>
      <c r="C599" s="1" t="n">
        <v>45204</v>
      </c>
      <c r="D599" t="inlineStr">
        <is>
          <t>VÄSTERBOTTENS LÄN</t>
        </is>
      </c>
      <c r="E599" t="inlineStr">
        <is>
          <t>STORUMAN</t>
        </is>
      </c>
      <c r="F599" t="inlineStr">
        <is>
          <t>Sveaskog</t>
        </is>
      </c>
      <c r="G599" t="n">
        <v>6.7</v>
      </c>
      <c r="H599" t="n">
        <v>0</v>
      </c>
      <c r="I599" t="n">
        <v>1</v>
      </c>
      <c r="J599" t="n">
        <v>0</v>
      </c>
      <c r="K599" t="n">
        <v>0</v>
      </c>
      <c r="L599" t="n">
        <v>0</v>
      </c>
      <c r="M599" t="n">
        <v>0</v>
      </c>
      <c r="N599" t="n">
        <v>0</v>
      </c>
      <c r="O599" t="n">
        <v>0</v>
      </c>
      <c r="P599" t="n">
        <v>0</v>
      </c>
      <c r="Q599" t="n">
        <v>1</v>
      </c>
      <c r="R599" s="2" t="inlineStr">
        <is>
          <t>Dropptaggsvamp</t>
        </is>
      </c>
      <c r="S599">
        <f>HYPERLINK("https://klasma.github.io/Logging_STORUMAN/artfynd/A 6852-2021.xlsx", "A 6852-2021")</f>
        <v/>
      </c>
      <c r="T599">
        <f>HYPERLINK("https://klasma.github.io/Logging_STORUMAN/kartor/A 6852-2021.png", "A 6852-2021")</f>
        <v/>
      </c>
      <c r="V599">
        <f>HYPERLINK("https://klasma.github.io/Logging_STORUMAN/klagomål/A 6852-2021.docx", "A 6852-2021")</f>
        <v/>
      </c>
      <c r="W599">
        <f>HYPERLINK("https://klasma.github.io/Logging_STORUMAN/klagomålsmail/A 6852-2021.docx", "A 6852-2021")</f>
        <v/>
      </c>
      <c r="X599">
        <f>HYPERLINK("https://klasma.github.io/Logging_STORUMAN/tillsyn/A 6852-2021.docx", "A 6852-2021")</f>
        <v/>
      </c>
      <c r="Y599">
        <f>HYPERLINK("https://klasma.github.io/Logging_STORUMAN/tillsynsmail/A 6852-2021.docx", "A 6852-2021")</f>
        <v/>
      </c>
    </row>
    <row r="600" ht="15" customHeight="1">
      <c r="A600" t="inlineStr">
        <is>
          <t>A 10340-2021</t>
        </is>
      </c>
      <c r="B600" s="1" t="n">
        <v>44257</v>
      </c>
      <c r="C600" s="1" t="n">
        <v>45204</v>
      </c>
      <c r="D600" t="inlineStr">
        <is>
          <t>VÄSTERBOTTENS LÄN</t>
        </is>
      </c>
      <c r="E600" t="inlineStr">
        <is>
          <t>VINDELN</t>
        </is>
      </c>
      <c r="F600" t="inlineStr">
        <is>
          <t>Sveaskog</t>
        </is>
      </c>
      <c r="G600" t="n">
        <v>3</v>
      </c>
      <c r="H600" t="n">
        <v>0</v>
      </c>
      <c r="I600" t="n">
        <v>0</v>
      </c>
      <c r="J600" t="n">
        <v>1</v>
      </c>
      <c r="K600" t="n">
        <v>0</v>
      </c>
      <c r="L600" t="n">
        <v>0</v>
      </c>
      <c r="M600" t="n">
        <v>0</v>
      </c>
      <c r="N600" t="n">
        <v>0</v>
      </c>
      <c r="O600" t="n">
        <v>1</v>
      </c>
      <c r="P600" t="n">
        <v>0</v>
      </c>
      <c r="Q600" t="n">
        <v>1</v>
      </c>
      <c r="R600" s="2" t="inlineStr">
        <is>
          <t>Garnlav</t>
        </is>
      </c>
      <c r="S600">
        <f>HYPERLINK("https://klasma.github.io/Logging_VINDELN/artfynd/A 10340-2021.xlsx", "A 10340-2021")</f>
        <v/>
      </c>
      <c r="T600">
        <f>HYPERLINK("https://klasma.github.io/Logging_VINDELN/kartor/A 10340-2021.png", "A 10340-2021")</f>
        <v/>
      </c>
      <c r="V600">
        <f>HYPERLINK("https://klasma.github.io/Logging_VINDELN/klagomål/A 10340-2021.docx", "A 10340-2021")</f>
        <v/>
      </c>
      <c r="W600">
        <f>HYPERLINK("https://klasma.github.io/Logging_VINDELN/klagomålsmail/A 10340-2021.docx", "A 10340-2021")</f>
        <v/>
      </c>
      <c r="X600">
        <f>HYPERLINK("https://klasma.github.io/Logging_VINDELN/tillsyn/A 10340-2021.docx", "A 10340-2021")</f>
        <v/>
      </c>
      <c r="Y600">
        <f>HYPERLINK("https://klasma.github.io/Logging_VINDELN/tillsynsmail/A 10340-2021.docx", "A 10340-2021")</f>
        <v/>
      </c>
    </row>
    <row r="601" ht="15" customHeight="1">
      <c r="A601" t="inlineStr">
        <is>
          <t>A 11845-2021</t>
        </is>
      </c>
      <c r="B601" s="1" t="n">
        <v>44265</v>
      </c>
      <c r="C601" s="1" t="n">
        <v>45204</v>
      </c>
      <c r="D601" t="inlineStr">
        <is>
          <t>VÄSTERBOTTENS LÄN</t>
        </is>
      </c>
      <c r="E601" t="inlineStr">
        <is>
          <t>SORSELE</t>
        </is>
      </c>
      <c r="G601" t="n">
        <v>2.8</v>
      </c>
      <c r="H601" t="n">
        <v>0</v>
      </c>
      <c r="I601" t="n">
        <v>0</v>
      </c>
      <c r="J601" t="n">
        <v>1</v>
      </c>
      <c r="K601" t="n">
        <v>0</v>
      </c>
      <c r="L601" t="n">
        <v>0</v>
      </c>
      <c r="M601" t="n">
        <v>0</v>
      </c>
      <c r="N601" t="n">
        <v>0</v>
      </c>
      <c r="O601" t="n">
        <v>1</v>
      </c>
      <c r="P601" t="n">
        <v>0</v>
      </c>
      <c r="Q601" t="n">
        <v>1</v>
      </c>
      <c r="R601" s="2" t="inlineStr">
        <is>
          <t>Blå taggsvamp</t>
        </is>
      </c>
      <c r="S601">
        <f>HYPERLINK("https://klasma.github.io/Logging_SORSELE/artfynd/A 11845-2021.xlsx", "A 11845-2021")</f>
        <v/>
      </c>
      <c r="T601">
        <f>HYPERLINK("https://klasma.github.io/Logging_SORSELE/kartor/A 11845-2021.png", "A 11845-2021")</f>
        <v/>
      </c>
      <c r="V601">
        <f>HYPERLINK("https://klasma.github.io/Logging_SORSELE/klagomål/A 11845-2021.docx", "A 11845-2021")</f>
        <v/>
      </c>
      <c r="W601">
        <f>HYPERLINK("https://klasma.github.io/Logging_SORSELE/klagomålsmail/A 11845-2021.docx", "A 11845-2021")</f>
        <v/>
      </c>
      <c r="X601">
        <f>HYPERLINK("https://klasma.github.io/Logging_SORSELE/tillsyn/A 11845-2021.docx", "A 11845-2021")</f>
        <v/>
      </c>
      <c r="Y601">
        <f>HYPERLINK("https://klasma.github.io/Logging_SORSELE/tillsynsmail/A 11845-2021.docx", "A 11845-2021")</f>
        <v/>
      </c>
    </row>
    <row r="602" ht="15" customHeight="1">
      <c r="A602" t="inlineStr">
        <is>
          <t>A 14088-2021</t>
        </is>
      </c>
      <c r="B602" s="1" t="n">
        <v>44277</v>
      </c>
      <c r="C602" s="1" t="n">
        <v>45204</v>
      </c>
      <c r="D602" t="inlineStr">
        <is>
          <t>VÄSTERBOTTENS LÄN</t>
        </is>
      </c>
      <c r="E602" t="inlineStr">
        <is>
          <t>BJURHOLM</t>
        </is>
      </c>
      <c r="F602" t="inlineStr">
        <is>
          <t>SCA</t>
        </is>
      </c>
      <c r="G602" t="n">
        <v>7.6</v>
      </c>
      <c r="H602" t="n">
        <v>0</v>
      </c>
      <c r="I602" t="n">
        <v>0</v>
      </c>
      <c r="J602" t="n">
        <v>1</v>
      </c>
      <c r="K602" t="n">
        <v>0</v>
      </c>
      <c r="L602" t="n">
        <v>0</v>
      </c>
      <c r="M602" t="n">
        <v>0</v>
      </c>
      <c r="N602" t="n">
        <v>0</v>
      </c>
      <c r="O602" t="n">
        <v>1</v>
      </c>
      <c r="P602" t="n">
        <v>0</v>
      </c>
      <c r="Q602" t="n">
        <v>1</v>
      </c>
      <c r="R602" s="2" t="inlineStr">
        <is>
          <t>Lunglav</t>
        </is>
      </c>
      <c r="S602">
        <f>HYPERLINK("https://klasma.github.io/Logging_BJURHOLM/artfynd/A 14088-2021.xlsx", "A 14088-2021")</f>
        <v/>
      </c>
      <c r="T602">
        <f>HYPERLINK("https://klasma.github.io/Logging_BJURHOLM/kartor/A 14088-2021.png", "A 14088-2021")</f>
        <v/>
      </c>
      <c r="V602">
        <f>HYPERLINK("https://klasma.github.io/Logging_BJURHOLM/klagomål/A 14088-2021.docx", "A 14088-2021")</f>
        <v/>
      </c>
      <c r="W602">
        <f>HYPERLINK("https://klasma.github.io/Logging_BJURHOLM/klagomålsmail/A 14088-2021.docx", "A 14088-2021")</f>
        <v/>
      </c>
      <c r="X602">
        <f>HYPERLINK("https://klasma.github.io/Logging_BJURHOLM/tillsyn/A 14088-2021.docx", "A 14088-2021")</f>
        <v/>
      </c>
      <c r="Y602">
        <f>HYPERLINK("https://klasma.github.io/Logging_BJURHOLM/tillsynsmail/A 14088-2021.docx", "A 14088-2021")</f>
        <v/>
      </c>
    </row>
    <row r="603" ht="15" customHeight="1">
      <c r="A603" t="inlineStr">
        <is>
          <t>A 14083-2021</t>
        </is>
      </c>
      <c r="B603" s="1" t="n">
        <v>44277</v>
      </c>
      <c r="C603" s="1" t="n">
        <v>45204</v>
      </c>
      <c r="D603" t="inlineStr">
        <is>
          <t>VÄSTERBOTTENS LÄN</t>
        </is>
      </c>
      <c r="E603" t="inlineStr">
        <is>
          <t>BJURHOLM</t>
        </is>
      </c>
      <c r="F603" t="inlineStr">
        <is>
          <t>SCA</t>
        </is>
      </c>
      <c r="G603" t="n">
        <v>15.1</v>
      </c>
      <c r="H603" t="n">
        <v>0</v>
      </c>
      <c r="I603" t="n">
        <v>0</v>
      </c>
      <c r="J603" t="n">
        <v>1</v>
      </c>
      <c r="K603" t="n">
        <v>0</v>
      </c>
      <c r="L603" t="n">
        <v>0</v>
      </c>
      <c r="M603" t="n">
        <v>0</v>
      </c>
      <c r="N603" t="n">
        <v>0</v>
      </c>
      <c r="O603" t="n">
        <v>1</v>
      </c>
      <c r="P603" t="n">
        <v>0</v>
      </c>
      <c r="Q603" t="n">
        <v>1</v>
      </c>
      <c r="R603" s="2" t="inlineStr">
        <is>
          <t>Dvärgbägarlav</t>
        </is>
      </c>
      <c r="S603">
        <f>HYPERLINK("https://klasma.github.io/Logging_BJURHOLM/artfynd/A 14083-2021.xlsx", "A 14083-2021")</f>
        <v/>
      </c>
      <c r="T603">
        <f>HYPERLINK("https://klasma.github.io/Logging_BJURHOLM/kartor/A 14083-2021.png", "A 14083-2021")</f>
        <v/>
      </c>
      <c r="V603">
        <f>HYPERLINK("https://klasma.github.io/Logging_BJURHOLM/klagomål/A 14083-2021.docx", "A 14083-2021")</f>
        <v/>
      </c>
      <c r="W603">
        <f>HYPERLINK("https://klasma.github.io/Logging_BJURHOLM/klagomålsmail/A 14083-2021.docx", "A 14083-2021")</f>
        <v/>
      </c>
      <c r="X603">
        <f>HYPERLINK("https://klasma.github.io/Logging_BJURHOLM/tillsyn/A 14083-2021.docx", "A 14083-2021")</f>
        <v/>
      </c>
      <c r="Y603">
        <f>HYPERLINK("https://klasma.github.io/Logging_BJURHOLM/tillsynsmail/A 14083-2021.docx", "A 14083-2021")</f>
        <v/>
      </c>
    </row>
    <row r="604" ht="15" customHeight="1">
      <c r="A604" t="inlineStr">
        <is>
          <t>A 19713-2021</t>
        </is>
      </c>
      <c r="B604" s="1" t="n">
        <v>44312</v>
      </c>
      <c r="C604" s="1" t="n">
        <v>45204</v>
      </c>
      <c r="D604" t="inlineStr">
        <is>
          <t>VÄSTERBOTTENS LÄN</t>
        </is>
      </c>
      <c r="E604" t="inlineStr">
        <is>
          <t>STORUMAN</t>
        </is>
      </c>
      <c r="G604" t="n">
        <v>1.6</v>
      </c>
      <c r="H604" t="n">
        <v>1</v>
      </c>
      <c r="I604" t="n">
        <v>0</v>
      </c>
      <c r="J604" t="n">
        <v>0</v>
      </c>
      <c r="K604" t="n">
        <v>1</v>
      </c>
      <c r="L604" t="n">
        <v>0</v>
      </c>
      <c r="M604" t="n">
        <v>0</v>
      </c>
      <c r="N604" t="n">
        <v>0</v>
      </c>
      <c r="O604" t="n">
        <v>1</v>
      </c>
      <c r="P604" t="n">
        <v>1</v>
      </c>
      <c r="Q604" t="n">
        <v>1</v>
      </c>
      <c r="R604" s="2" t="inlineStr">
        <is>
          <t>Knärot</t>
        </is>
      </c>
      <c r="S604">
        <f>HYPERLINK("https://klasma.github.io/Logging_STORUMAN/artfynd/A 19713-2021.xlsx", "A 19713-2021")</f>
        <v/>
      </c>
      <c r="T604">
        <f>HYPERLINK("https://klasma.github.io/Logging_STORUMAN/kartor/A 19713-2021.png", "A 19713-2021")</f>
        <v/>
      </c>
      <c r="U604">
        <f>HYPERLINK("https://klasma.github.io/Logging_STORUMAN/knärot/A 19713-2021.png", "A 19713-2021")</f>
        <v/>
      </c>
      <c r="V604">
        <f>HYPERLINK("https://klasma.github.io/Logging_STORUMAN/klagomål/A 19713-2021.docx", "A 19713-2021")</f>
        <v/>
      </c>
      <c r="W604">
        <f>HYPERLINK("https://klasma.github.io/Logging_STORUMAN/klagomålsmail/A 19713-2021.docx", "A 19713-2021")</f>
        <v/>
      </c>
      <c r="X604">
        <f>HYPERLINK("https://klasma.github.io/Logging_STORUMAN/tillsyn/A 19713-2021.docx", "A 19713-2021")</f>
        <v/>
      </c>
      <c r="Y604">
        <f>HYPERLINK("https://klasma.github.io/Logging_STORUMAN/tillsynsmail/A 19713-2021.docx", "A 19713-2021")</f>
        <v/>
      </c>
    </row>
    <row r="605" ht="15" customHeight="1">
      <c r="A605" t="inlineStr">
        <is>
          <t>A 27850-2021</t>
        </is>
      </c>
      <c r="B605" s="1" t="n">
        <v>44354</v>
      </c>
      <c r="C605" s="1" t="n">
        <v>45204</v>
      </c>
      <c r="D605" t="inlineStr">
        <is>
          <t>VÄSTERBOTTENS LÄN</t>
        </is>
      </c>
      <c r="E605" t="inlineStr">
        <is>
          <t>NORDMALING</t>
        </is>
      </c>
      <c r="F605" t="inlineStr">
        <is>
          <t>Kyrkan</t>
        </is>
      </c>
      <c r="G605" t="n">
        <v>1.2</v>
      </c>
      <c r="H605" t="n">
        <v>0</v>
      </c>
      <c r="I605" t="n">
        <v>0</v>
      </c>
      <c r="J605" t="n">
        <v>1</v>
      </c>
      <c r="K605" t="n">
        <v>0</v>
      </c>
      <c r="L605" t="n">
        <v>0</v>
      </c>
      <c r="M605" t="n">
        <v>0</v>
      </c>
      <c r="N605" t="n">
        <v>0</v>
      </c>
      <c r="O605" t="n">
        <v>1</v>
      </c>
      <c r="P605" t="n">
        <v>0</v>
      </c>
      <c r="Q605" t="n">
        <v>1</v>
      </c>
      <c r="R605" s="2" t="inlineStr">
        <is>
          <t>Blå taggsvamp</t>
        </is>
      </c>
      <c r="S605">
        <f>HYPERLINK("https://klasma.github.io/Logging_NORDMALING/artfynd/A 27850-2021.xlsx", "A 27850-2021")</f>
        <v/>
      </c>
      <c r="T605">
        <f>HYPERLINK("https://klasma.github.io/Logging_NORDMALING/kartor/A 27850-2021.png", "A 27850-2021")</f>
        <v/>
      </c>
      <c r="V605">
        <f>HYPERLINK("https://klasma.github.io/Logging_NORDMALING/klagomål/A 27850-2021.docx", "A 27850-2021")</f>
        <v/>
      </c>
      <c r="W605">
        <f>HYPERLINK("https://klasma.github.io/Logging_NORDMALING/klagomålsmail/A 27850-2021.docx", "A 27850-2021")</f>
        <v/>
      </c>
      <c r="X605">
        <f>HYPERLINK("https://klasma.github.io/Logging_NORDMALING/tillsyn/A 27850-2021.docx", "A 27850-2021")</f>
        <v/>
      </c>
      <c r="Y605">
        <f>HYPERLINK("https://klasma.github.io/Logging_NORDMALING/tillsynsmail/A 27850-2021.docx", "A 27850-2021")</f>
        <v/>
      </c>
    </row>
    <row r="606" ht="15" customHeight="1">
      <c r="A606" t="inlineStr">
        <is>
          <t>A 31460-2021</t>
        </is>
      </c>
      <c r="B606" s="1" t="n">
        <v>44369</v>
      </c>
      <c r="C606" s="1" t="n">
        <v>45204</v>
      </c>
      <c r="D606" t="inlineStr">
        <is>
          <t>VÄSTERBOTTENS LÄN</t>
        </is>
      </c>
      <c r="E606" t="inlineStr">
        <is>
          <t>LYCKSELE</t>
        </is>
      </c>
      <c r="F606" t="inlineStr">
        <is>
          <t>Sveaskog</t>
        </is>
      </c>
      <c r="G606" t="n">
        <v>6.3</v>
      </c>
      <c r="H606" t="n">
        <v>0</v>
      </c>
      <c r="I606" t="n">
        <v>0</v>
      </c>
      <c r="J606" t="n">
        <v>1</v>
      </c>
      <c r="K606" t="n">
        <v>0</v>
      </c>
      <c r="L606" t="n">
        <v>0</v>
      </c>
      <c r="M606" t="n">
        <v>0</v>
      </c>
      <c r="N606" t="n">
        <v>0</v>
      </c>
      <c r="O606" t="n">
        <v>1</v>
      </c>
      <c r="P606" t="n">
        <v>0</v>
      </c>
      <c r="Q606" t="n">
        <v>1</v>
      </c>
      <c r="R606" s="2" t="inlineStr">
        <is>
          <t>Nordtagging</t>
        </is>
      </c>
      <c r="S606">
        <f>HYPERLINK("https://klasma.github.io/Logging_LYCKSELE/artfynd/A 31460-2021.xlsx", "A 31460-2021")</f>
        <v/>
      </c>
      <c r="T606">
        <f>HYPERLINK("https://klasma.github.io/Logging_LYCKSELE/kartor/A 31460-2021.png", "A 31460-2021")</f>
        <v/>
      </c>
      <c r="V606">
        <f>HYPERLINK("https://klasma.github.io/Logging_LYCKSELE/klagomål/A 31460-2021.docx", "A 31460-2021")</f>
        <v/>
      </c>
      <c r="W606">
        <f>HYPERLINK("https://klasma.github.io/Logging_LYCKSELE/klagomålsmail/A 31460-2021.docx", "A 31460-2021")</f>
        <v/>
      </c>
      <c r="X606">
        <f>HYPERLINK("https://klasma.github.io/Logging_LYCKSELE/tillsyn/A 31460-2021.docx", "A 31460-2021")</f>
        <v/>
      </c>
      <c r="Y606">
        <f>HYPERLINK("https://klasma.github.io/Logging_LYCKSELE/tillsynsmail/A 31460-2021.docx", "A 31460-2021")</f>
        <v/>
      </c>
    </row>
    <row r="607" ht="15" customHeight="1">
      <c r="A607" t="inlineStr">
        <is>
          <t>A 35562-2021</t>
        </is>
      </c>
      <c r="B607" s="1" t="n">
        <v>44385</v>
      </c>
      <c r="C607" s="1" t="n">
        <v>45204</v>
      </c>
      <c r="D607" t="inlineStr">
        <is>
          <t>VÄSTERBOTTENS LÄN</t>
        </is>
      </c>
      <c r="E607" t="inlineStr">
        <is>
          <t>ÅSELE</t>
        </is>
      </c>
      <c r="F607" t="inlineStr">
        <is>
          <t>SCA</t>
        </is>
      </c>
      <c r="G607" t="n">
        <v>4.6</v>
      </c>
      <c r="H607" t="n">
        <v>0</v>
      </c>
      <c r="I607" t="n">
        <v>0</v>
      </c>
      <c r="J607" t="n">
        <v>1</v>
      </c>
      <c r="K607" t="n">
        <v>0</v>
      </c>
      <c r="L607" t="n">
        <v>0</v>
      </c>
      <c r="M607" t="n">
        <v>0</v>
      </c>
      <c r="N607" t="n">
        <v>0</v>
      </c>
      <c r="O607" t="n">
        <v>1</v>
      </c>
      <c r="P607" t="n">
        <v>0</v>
      </c>
      <c r="Q607" t="n">
        <v>1</v>
      </c>
      <c r="R607" s="2" t="inlineStr">
        <is>
          <t>Lunglav</t>
        </is>
      </c>
      <c r="S607">
        <f>HYPERLINK("https://klasma.github.io/Logging_ASELE/artfynd/A 35562-2021.xlsx", "A 35562-2021")</f>
        <v/>
      </c>
      <c r="T607">
        <f>HYPERLINK("https://klasma.github.io/Logging_ASELE/kartor/A 35562-2021.png", "A 35562-2021")</f>
        <v/>
      </c>
      <c r="V607">
        <f>HYPERLINK("https://klasma.github.io/Logging_ASELE/klagomål/A 35562-2021.docx", "A 35562-2021")</f>
        <v/>
      </c>
      <c r="W607">
        <f>HYPERLINK("https://klasma.github.io/Logging_ASELE/klagomålsmail/A 35562-2021.docx", "A 35562-2021")</f>
        <v/>
      </c>
      <c r="X607">
        <f>HYPERLINK("https://klasma.github.io/Logging_ASELE/tillsyn/A 35562-2021.docx", "A 35562-2021")</f>
        <v/>
      </c>
      <c r="Y607">
        <f>HYPERLINK("https://klasma.github.io/Logging_ASELE/tillsynsmail/A 35562-2021.docx", "A 35562-2021")</f>
        <v/>
      </c>
    </row>
    <row r="608" ht="15" customHeight="1">
      <c r="A608" t="inlineStr">
        <is>
          <t>A 35625-2021</t>
        </is>
      </c>
      <c r="B608" s="1" t="n">
        <v>44386</v>
      </c>
      <c r="C608" s="1" t="n">
        <v>45204</v>
      </c>
      <c r="D608" t="inlineStr">
        <is>
          <t>VÄSTERBOTTENS LÄN</t>
        </is>
      </c>
      <c r="E608" t="inlineStr">
        <is>
          <t>SKELLEFTEÅ</t>
        </is>
      </c>
      <c r="F608" t="inlineStr">
        <is>
          <t>Holmen skog AB</t>
        </is>
      </c>
      <c r="G608" t="n">
        <v>3.5</v>
      </c>
      <c r="H608" t="n">
        <v>0</v>
      </c>
      <c r="I608" t="n">
        <v>1</v>
      </c>
      <c r="J608" t="n">
        <v>0</v>
      </c>
      <c r="K608" t="n">
        <v>0</v>
      </c>
      <c r="L608" t="n">
        <v>0</v>
      </c>
      <c r="M608" t="n">
        <v>0</v>
      </c>
      <c r="N608" t="n">
        <v>0</v>
      </c>
      <c r="O608" t="n">
        <v>0</v>
      </c>
      <c r="P608" t="n">
        <v>0</v>
      </c>
      <c r="Q608" t="n">
        <v>1</v>
      </c>
      <c r="R608" s="2" t="inlineStr">
        <is>
          <t>Vedticka</t>
        </is>
      </c>
      <c r="S608">
        <f>HYPERLINK("https://klasma.github.io/Logging_SKELLEFTEA/artfynd/A 35625-2021.xlsx", "A 35625-2021")</f>
        <v/>
      </c>
      <c r="T608">
        <f>HYPERLINK("https://klasma.github.io/Logging_SKELLEFTEA/kartor/A 35625-2021.png", "A 35625-2021")</f>
        <v/>
      </c>
      <c r="V608">
        <f>HYPERLINK("https://klasma.github.io/Logging_SKELLEFTEA/klagomål/A 35625-2021.docx", "A 35625-2021")</f>
        <v/>
      </c>
      <c r="W608">
        <f>HYPERLINK("https://klasma.github.io/Logging_SKELLEFTEA/klagomålsmail/A 35625-2021.docx", "A 35625-2021")</f>
        <v/>
      </c>
      <c r="X608">
        <f>HYPERLINK("https://klasma.github.io/Logging_SKELLEFTEA/tillsyn/A 35625-2021.docx", "A 35625-2021")</f>
        <v/>
      </c>
      <c r="Y608">
        <f>HYPERLINK("https://klasma.github.io/Logging_SKELLEFTEA/tillsynsmail/A 35625-2021.docx", "A 35625-2021")</f>
        <v/>
      </c>
    </row>
    <row r="609" ht="15" customHeight="1">
      <c r="A609" t="inlineStr">
        <is>
          <t>A 38390-2021</t>
        </is>
      </c>
      <c r="B609" s="1" t="n">
        <v>44406</v>
      </c>
      <c r="C609" s="1" t="n">
        <v>45204</v>
      </c>
      <c r="D609" t="inlineStr">
        <is>
          <t>VÄSTERBOTTENS LÄN</t>
        </is>
      </c>
      <c r="E609" t="inlineStr">
        <is>
          <t>UMEÅ</t>
        </is>
      </c>
      <c r="F609" t="inlineStr">
        <is>
          <t>Övriga statliga verk och myndigheter</t>
        </is>
      </c>
      <c r="G609" t="n">
        <v>1.5</v>
      </c>
      <c r="H609" t="n">
        <v>0</v>
      </c>
      <c r="I609" t="n">
        <v>0</v>
      </c>
      <c r="J609" t="n">
        <v>1</v>
      </c>
      <c r="K609" t="n">
        <v>0</v>
      </c>
      <c r="L609" t="n">
        <v>0</v>
      </c>
      <c r="M609" t="n">
        <v>0</v>
      </c>
      <c r="N609" t="n">
        <v>0</v>
      </c>
      <c r="O609" t="n">
        <v>1</v>
      </c>
      <c r="P609" t="n">
        <v>0</v>
      </c>
      <c r="Q609" t="n">
        <v>1</v>
      </c>
      <c r="R609" s="2" t="inlineStr">
        <is>
          <t>Ullticka</t>
        </is>
      </c>
      <c r="S609">
        <f>HYPERLINK("https://klasma.github.io/Logging_UMEA/artfynd/A 38390-2021.xlsx", "A 38390-2021")</f>
        <v/>
      </c>
      <c r="T609">
        <f>HYPERLINK("https://klasma.github.io/Logging_UMEA/kartor/A 38390-2021.png", "A 38390-2021")</f>
        <v/>
      </c>
      <c r="V609">
        <f>HYPERLINK("https://klasma.github.io/Logging_UMEA/klagomål/A 38390-2021.docx", "A 38390-2021")</f>
        <v/>
      </c>
      <c r="W609">
        <f>HYPERLINK("https://klasma.github.io/Logging_UMEA/klagomålsmail/A 38390-2021.docx", "A 38390-2021")</f>
        <v/>
      </c>
      <c r="X609">
        <f>HYPERLINK("https://klasma.github.io/Logging_UMEA/tillsyn/A 38390-2021.docx", "A 38390-2021")</f>
        <v/>
      </c>
      <c r="Y609">
        <f>HYPERLINK("https://klasma.github.io/Logging_UMEA/tillsynsmail/A 38390-2021.docx", "A 38390-2021")</f>
        <v/>
      </c>
    </row>
    <row r="610" ht="15" customHeight="1">
      <c r="A610" t="inlineStr">
        <is>
          <t>A 38437-2021</t>
        </is>
      </c>
      <c r="B610" s="1" t="n">
        <v>44406</v>
      </c>
      <c r="C610" s="1" t="n">
        <v>45204</v>
      </c>
      <c r="D610" t="inlineStr">
        <is>
          <t>VÄSTERBOTTENS LÄN</t>
        </is>
      </c>
      <c r="E610" t="inlineStr">
        <is>
          <t>UMEÅ</t>
        </is>
      </c>
      <c r="F610" t="inlineStr">
        <is>
          <t>Övriga statliga verk och myndigheter</t>
        </is>
      </c>
      <c r="G610" t="n">
        <v>2.3</v>
      </c>
      <c r="H610" t="n">
        <v>0</v>
      </c>
      <c r="I610" t="n">
        <v>1</v>
      </c>
      <c r="J610" t="n">
        <v>0</v>
      </c>
      <c r="K610" t="n">
        <v>0</v>
      </c>
      <c r="L610" t="n">
        <v>0</v>
      </c>
      <c r="M610" t="n">
        <v>0</v>
      </c>
      <c r="N610" t="n">
        <v>0</v>
      </c>
      <c r="O610" t="n">
        <v>0</v>
      </c>
      <c r="P610" t="n">
        <v>0</v>
      </c>
      <c r="Q610" t="n">
        <v>1</v>
      </c>
      <c r="R610" s="2" t="inlineStr">
        <is>
          <t>Tibast</t>
        </is>
      </c>
      <c r="S610">
        <f>HYPERLINK("https://klasma.github.io/Logging_UMEA/artfynd/A 38437-2021.xlsx", "A 38437-2021")</f>
        <v/>
      </c>
      <c r="T610">
        <f>HYPERLINK("https://klasma.github.io/Logging_UMEA/kartor/A 38437-2021.png", "A 38437-2021")</f>
        <v/>
      </c>
      <c r="V610">
        <f>HYPERLINK("https://klasma.github.io/Logging_UMEA/klagomål/A 38437-2021.docx", "A 38437-2021")</f>
        <v/>
      </c>
      <c r="W610">
        <f>HYPERLINK("https://klasma.github.io/Logging_UMEA/klagomålsmail/A 38437-2021.docx", "A 38437-2021")</f>
        <v/>
      </c>
      <c r="X610">
        <f>HYPERLINK("https://klasma.github.io/Logging_UMEA/tillsyn/A 38437-2021.docx", "A 38437-2021")</f>
        <v/>
      </c>
      <c r="Y610">
        <f>HYPERLINK("https://klasma.github.io/Logging_UMEA/tillsynsmail/A 38437-2021.docx", "A 38437-2021")</f>
        <v/>
      </c>
    </row>
    <row r="611" ht="15" customHeight="1">
      <c r="A611" t="inlineStr">
        <is>
          <t>A 38396-2021</t>
        </is>
      </c>
      <c r="B611" s="1" t="n">
        <v>44406</v>
      </c>
      <c r="C611" s="1" t="n">
        <v>45204</v>
      </c>
      <c r="D611" t="inlineStr">
        <is>
          <t>VÄSTERBOTTENS LÄN</t>
        </is>
      </c>
      <c r="E611" t="inlineStr">
        <is>
          <t>UMEÅ</t>
        </is>
      </c>
      <c r="F611" t="inlineStr">
        <is>
          <t>Kommuner</t>
        </is>
      </c>
      <c r="G611" t="n">
        <v>1.7</v>
      </c>
      <c r="H611" t="n">
        <v>0</v>
      </c>
      <c r="I611" t="n">
        <v>1</v>
      </c>
      <c r="J611" t="n">
        <v>0</v>
      </c>
      <c r="K611" t="n">
        <v>0</v>
      </c>
      <c r="L611" t="n">
        <v>0</v>
      </c>
      <c r="M611" t="n">
        <v>0</v>
      </c>
      <c r="N611" t="n">
        <v>0</v>
      </c>
      <c r="O611" t="n">
        <v>0</v>
      </c>
      <c r="P611" t="n">
        <v>0</v>
      </c>
      <c r="Q611" t="n">
        <v>1</v>
      </c>
      <c r="R611" s="2" t="inlineStr">
        <is>
          <t>Strutbräken</t>
        </is>
      </c>
      <c r="S611">
        <f>HYPERLINK("https://klasma.github.io/Logging_UMEA/artfynd/A 38396-2021.xlsx", "A 38396-2021")</f>
        <v/>
      </c>
      <c r="T611">
        <f>HYPERLINK("https://klasma.github.io/Logging_UMEA/kartor/A 38396-2021.png", "A 38396-2021")</f>
        <v/>
      </c>
      <c r="V611">
        <f>HYPERLINK("https://klasma.github.io/Logging_UMEA/klagomål/A 38396-2021.docx", "A 38396-2021")</f>
        <v/>
      </c>
      <c r="W611">
        <f>HYPERLINK("https://klasma.github.io/Logging_UMEA/klagomålsmail/A 38396-2021.docx", "A 38396-2021")</f>
        <v/>
      </c>
      <c r="X611">
        <f>HYPERLINK("https://klasma.github.io/Logging_UMEA/tillsyn/A 38396-2021.docx", "A 38396-2021")</f>
        <v/>
      </c>
      <c r="Y611">
        <f>HYPERLINK("https://klasma.github.io/Logging_UMEA/tillsynsmail/A 38396-2021.docx", "A 38396-2021")</f>
        <v/>
      </c>
    </row>
    <row r="612" ht="15" customHeight="1">
      <c r="A612" t="inlineStr">
        <is>
          <t>A 38393-2021</t>
        </is>
      </c>
      <c r="B612" s="1" t="n">
        <v>44406</v>
      </c>
      <c r="C612" s="1" t="n">
        <v>45204</v>
      </c>
      <c r="D612" t="inlineStr">
        <is>
          <t>VÄSTERBOTTENS LÄN</t>
        </is>
      </c>
      <c r="E612" t="inlineStr">
        <is>
          <t>UMEÅ</t>
        </is>
      </c>
      <c r="G612" t="n">
        <v>1</v>
      </c>
      <c r="H612" t="n">
        <v>1</v>
      </c>
      <c r="I612" t="n">
        <v>0</v>
      </c>
      <c r="J612" t="n">
        <v>1</v>
      </c>
      <c r="K612" t="n">
        <v>0</v>
      </c>
      <c r="L612" t="n">
        <v>0</v>
      </c>
      <c r="M612" t="n">
        <v>0</v>
      </c>
      <c r="N612" t="n">
        <v>0</v>
      </c>
      <c r="O612" t="n">
        <v>1</v>
      </c>
      <c r="P612" t="n">
        <v>0</v>
      </c>
      <c r="Q612" t="n">
        <v>1</v>
      </c>
      <c r="R612" s="2" t="inlineStr">
        <is>
          <t>Spillkråka</t>
        </is>
      </c>
      <c r="S612">
        <f>HYPERLINK("https://klasma.github.io/Logging_UMEA/artfynd/A 38393-2021.xlsx", "A 38393-2021")</f>
        <v/>
      </c>
      <c r="T612">
        <f>HYPERLINK("https://klasma.github.io/Logging_UMEA/kartor/A 38393-2021.png", "A 38393-2021")</f>
        <v/>
      </c>
      <c r="V612">
        <f>HYPERLINK("https://klasma.github.io/Logging_UMEA/klagomål/A 38393-2021.docx", "A 38393-2021")</f>
        <v/>
      </c>
      <c r="W612">
        <f>HYPERLINK("https://klasma.github.io/Logging_UMEA/klagomålsmail/A 38393-2021.docx", "A 38393-2021")</f>
        <v/>
      </c>
      <c r="X612">
        <f>HYPERLINK("https://klasma.github.io/Logging_UMEA/tillsyn/A 38393-2021.docx", "A 38393-2021")</f>
        <v/>
      </c>
      <c r="Y612">
        <f>HYPERLINK("https://klasma.github.io/Logging_UMEA/tillsynsmail/A 38393-2021.docx", "A 38393-2021")</f>
        <v/>
      </c>
    </row>
    <row r="613" ht="15" customHeight="1">
      <c r="A613" t="inlineStr">
        <is>
          <t>A 38545-2021</t>
        </is>
      </c>
      <c r="B613" s="1" t="n">
        <v>44407</v>
      </c>
      <c r="C613" s="1" t="n">
        <v>45204</v>
      </c>
      <c r="D613" t="inlineStr">
        <is>
          <t>VÄSTERBOTTENS LÄN</t>
        </is>
      </c>
      <c r="E613" t="inlineStr">
        <is>
          <t>UMEÅ</t>
        </is>
      </c>
      <c r="F613" t="inlineStr">
        <is>
          <t>Kommuner</t>
        </is>
      </c>
      <c r="G613" t="n">
        <v>0.6</v>
      </c>
      <c r="H613" t="n">
        <v>1</v>
      </c>
      <c r="I613" t="n">
        <v>0</v>
      </c>
      <c r="J613" t="n">
        <v>1</v>
      </c>
      <c r="K613" t="n">
        <v>0</v>
      </c>
      <c r="L613" t="n">
        <v>0</v>
      </c>
      <c r="M613" t="n">
        <v>0</v>
      </c>
      <c r="N613" t="n">
        <v>0</v>
      </c>
      <c r="O613" t="n">
        <v>1</v>
      </c>
      <c r="P613" t="n">
        <v>0</v>
      </c>
      <c r="Q613" t="n">
        <v>1</v>
      </c>
      <c r="R613" s="2" t="inlineStr">
        <is>
          <t>Järpe</t>
        </is>
      </c>
      <c r="S613">
        <f>HYPERLINK("https://klasma.github.io/Logging_UMEA/artfynd/A 38545-2021.xlsx", "A 38545-2021")</f>
        <v/>
      </c>
      <c r="T613">
        <f>HYPERLINK("https://klasma.github.io/Logging_UMEA/kartor/A 38545-2021.png", "A 38545-2021")</f>
        <v/>
      </c>
      <c r="V613">
        <f>HYPERLINK("https://klasma.github.io/Logging_UMEA/klagomål/A 38545-2021.docx", "A 38545-2021")</f>
        <v/>
      </c>
      <c r="W613">
        <f>HYPERLINK("https://klasma.github.io/Logging_UMEA/klagomålsmail/A 38545-2021.docx", "A 38545-2021")</f>
        <v/>
      </c>
      <c r="X613">
        <f>HYPERLINK("https://klasma.github.io/Logging_UMEA/tillsyn/A 38545-2021.docx", "A 38545-2021")</f>
        <v/>
      </c>
      <c r="Y613">
        <f>HYPERLINK("https://klasma.github.io/Logging_UMEA/tillsynsmail/A 38545-2021.docx", "A 38545-2021")</f>
        <v/>
      </c>
    </row>
    <row r="614" ht="15" customHeight="1">
      <c r="A614" t="inlineStr">
        <is>
          <t>A 38742-2021</t>
        </is>
      </c>
      <c r="B614" s="1" t="n">
        <v>44410</v>
      </c>
      <c r="C614" s="1" t="n">
        <v>45204</v>
      </c>
      <c r="D614" t="inlineStr">
        <is>
          <t>VÄSTERBOTTENS LÄN</t>
        </is>
      </c>
      <c r="E614" t="inlineStr">
        <is>
          <t>UMEÅ</t>
        </is>
      </c>
      <c r="F614" t="inlineStr">
        <is>
          <t>Kommuner</t>
        </is>
      </c>
      <c r="G614" t="n">
        <v>3.6</v>
      </c>
      <c r="H614" t="n">
        <v>0</v>
      </c>
      <c r="I614" t="n">
        <v>0</v>
      </c>
      <c r="J614" t="n">
        <v>1</v>
      </c>
      <c r="K614" t="n">
        <v>0</v>
      </c>
      <c r="L614" t="n">
        <v>0</v>
      </c>
      <c r="M614" t="n">
        <v>0</v>
      </c>
      <c r="N614" t="n">
        <v>0</v>
      </c>
      <c r="O614" t="n">
        <v>1</v>
      </c>
      <c r="P614" t="n">
        <v>0</v>
      </c>
      <c r="Q614" t="n">
        <v>1</v>
      </c>
      <c r="R614" s="2" t="inlineStr">
        <is>
          <t>Stubbträfluga</t>
        </is>
      </c>
      <c r="S614">
        <f>HYPERLINK("https://klasma.github.io/Logging_UMEA/artfynd/A 38742-2021.xlsx", "A 38742-2021")</f>
        <v/>
      </c>
      <c r="T614">
        <f>HYPERLINK("https://klasma.github.io/Logging_UMEA/kartor/A 38742-2021.png", "A 38742-2021")</f>
        <v/>
      </c>
      <c r="V614">
        <f>HYPERLINK("https://klasma.github.io/Logging_UMEA/klagomål/A 38742-2021.docx", "A 38742-2021")</f>
        <v/>
      </c>
      <c r="W614">
        <f>HYPERLINK("https://klasma.github.io/Logging_UMEA/klagomålsmail/A 38742-2021.docx", "A 38742-2021")</f>
        <v/>
      </c>
      <c r="X614">
        <f>HYPERLINK("https://klasma.github.io/Logging_UMEA/tillsyn/A 38742-2021.docx", "A 38742-2021")</f>
        <v/>
      </c>
      <c r="Y614">
        <f>HYPERLINK("https://klasma.github.io/Logging_UMEA/tillsynsmail/A 38742-2021.docx", "A 38742-2021")</f>
        <v/>
      </c>
    </row>
    <row r="615" ht="15" customHeight="1">
      <c r="A615" t="inlineStr">
        <is>
          <t>A 38700-2021</t>
        </is>
      </c>
      <c r="B615" s="1" t="n">
        <v>44410</v>
      </c>
      <c r="C615" s="1" t="n">
        <v>45204</v>
      </c>
      <c r="D615" t="inlineStr">
        <is>
          <t>VÄSTERBOTTENS LÄN</t>
        </is>
      </c>
      <c r="E615" t="inlineStr">
        <is>
          <t>UMEÅ</t>
        </is>
      </c>
      <c r="F615" t="inlineStr">
        <is>
          <t>Kommuner</t>
        </is>
      </c>
      <c r="G615" t="n">
        <v>2</v>
      </c>
      <c r="H615" t="n">
        <v>0</v>
      </c>
      <c r="I615" t="n">
        <v>0</v>
      </c>
      <c r="J615" t="n">
        <v>1</v>
      </c>
      <c r="K615" t="n">
        <v>0</v>
      </c>
      <c r="L615" t="n">
        <v>0</v>
      </c>
      <c r="M615" t="n">
        <v>0</v>
      </c>
      <c r="N615" t="n">
        <v>0</v>
      </c>
      <c r="O615" t="n">
        <v>1</v>
      </c>
      <c r="P615" t="n">
        <v>0</v>
      </c>
      <c r="Q615" t="n">
        <v>1</v>
      </c>
      <c r="R615" s="2" t="inlineStr">
        <is>
          <t>Ullticka</t>
        </is>
      </c>
      <c r="S615">
        <f>HYPERLINK("https://klasma.github.io/Logging_UMEA/artfynd/A 38700-2021.xlsx", "A 38700-2021")</f>
        <v/>
      </c>
      <c r="T615">
        <f>HYPERLINK("https://klasma.github.io/Logging_UMEA/kartor/A 38700-2021.png", "A 38700-2021")</f>
        <v/>
      </c>
      <c r="V615">
        <f>HYPERLINK("https://klasma.github.io/Logging_UMEA/klagomål/A 38700-2021.docx", "A 38700-2021")</f>
        <v/>
      </c>
      <c r="W615">
        <f>HYPERLINK("https://klasma.github.io/Logging_UMEA/klagomålsmail/A 38700-2021.docx", "A 38700-2021")</f>
        <v/>
      </c>
      <c r="X615">
        <f>HYPERLINK("https://klasma.github.io/Logging_UMEA/tillsyn/A 38700-2021.docx", "A 38700-2021")</f>
        <v/>
      </c>
      <c r="Y615">
        <f>HYPERLINK("https://klasma.github.io/Logging_UMEA/tillsynsmail/A 38700-2021.docx", "A 38700-2021")</f>
        <v/>
      </c>
    </row>
    <row r="616" ht="15" customHeight="1">
      <c r="A616" t="inlineStr">
        <is>
          <t>A 39946-2021</t>
        </is>
      </c>
      <c r="B616" s="1" t="n">
        <v>44417</v>
      </c>
      <c r="C616" s="1" t="n">
        <v>45204</v>
      </c>
      <c r="D616" t="inlineStr">
        <is>
          <t>VÄSTERBOTTENS LÄN</t>
        </is>
      </c>
      <c r="E616" t="inlineStr">
        <is>
          <t>SKELLEFTEÅ</t>
        </is>
      </c>
      <c r="F616" t="inlineStr">
        <is>
          <t>SCA</t>
        </is>
      </c>
      <c r="G616" t="n">
        <v>3.4</v>
      </c>
      <c r="H616" t="n">
        <v>1</v>
      </c>
      <c r="I616" t="n">
        <v>0</v>
      </c>
      <c r="J616" t="n">
        <v>0</v>
      </c>
      <c r="K616" t="n">
        <v>0</v>
      </c>
      <c r="L616" t="n">
        <v>0</v>
      </c>
      <c r="M616" t="n">
        <v>0</v>
      </c>
      <c r="N616" t="n">
        <v>0</v>
      </c>
      <c r="O616" t="n">
        <v>0</v>
      </c>
      <c r="P616" t="n">
        <v>0</v>
      </c>
      <c r="Q616" t="n">
        <v>1</v>
      </c>
      <c r="R616" s="2" t="inlineStr">
        <is>
          <t>Fläcknycklar</t>
        </is>
      </c>
      <c r="S616">
        <f>HYPERLINK("https://klasma.github.io/Logging_SKELLEFTEA/artfynd/A 39946-2021.xlsx", "A 39946-2021")</f>
        <v/>
      </c>
      <c r="T616">
        <f>HYPERLINK("https://klasma.github.io/Logging_SKELLEFTEA/kartor/A 39946-2021.png", "A 39946-2021")</f>
        <v/>
      </c>
      <c r="V616">
        <f>HYPERLINK("https://klasma.github.io/Logging_SKELLEFTEA/klagomål/A 39946-2021.docx", "A 39946-2021")</f>
        <v/>
      </c>
      <c r="W616">
        <f>HYPERLINK("https://klasma.github.io/Logging_SKELLEFTEA/klagomålsmail/A 39946-2021.docx", "A 39946-2021")</f>
        <v/>
      </c>
      <c r="X616">
        <f>HYPERLINK("https://klasma.github.io/Logging_SKELLEFTEA/tillsyn/A 39946-2021.docx", "A 39946-2021")</f>
        <v/>
      </c>
      <c r="Y616">
        <f>HYPERLINK("https://klasma.github.io/Logging_SKELLEFTEA/tillsynsmail/A 39946-2021.docx", "A 39946-2021")</f>
        <v/>
      </c>
    </row>
    <row r="617" ht="15" customHeight="1">
      <c r="A617" t="inlineStr">
        <is>
          <t>A 42843-2021</t>
        </is>
      </c>
      <c r="B617" s="1" t="n">
        <v>44430</v>
      </c>
      <c r="C617" s="1" t="n">
        <v>45204</v>
      </c>
      <c r="D617" t="inlineStr">
        <is>
          <t>VÄSTERBOTTENS LÄN</t>
        </is>
      </c>
      <c r="E617" t="inlineStr">
        <is>
          <t>STORUMAN</t>
        </is>
      </c>
      <c r="F617" t="inlineStr">
        <is>
          <t>Övriga statliga verk och myndigheter</t>
        </is>
      </c>
      <c r="G617" t="n">
        <v>19.7</v>
      </c>
      <c r="H617" t="n">
        <v>0</v>
      </c>
      <c r="I617" t="n">
        <v>0</v>
      </c>
      <c r="J617" t="n">
        <v>1</v>
      </c>
      <c r="K617" t="n">
        <v>0</v>
      </c>
      <c r="L617" t="n">
        <v>0</v>
      </c>
      <c r="M617" t="n">
        <v>0</v>
      </c>
      <c r="N617" t="n">
        <v>0</v>
      </c>
      <c r="O617" t="n">
        <v>1</v>
      </c>
      <c r="P617" t="n">
        <v>0</v>
      </c>
      <c r="Q617" t="n">
        <v>1</v>
      </c>
      <c r="R617" s="2" t="inlineStr">
        <is>
          <t>Granticka</t>
        </is>
      </c>
      <c r="S617">
        <f>HYPERLINK("https://klasma.github.io/Logging_STORUMAN/artfynd/A 42843-2021.xlsx", "A 42843-2021")</f>
        <v/>
      </c>
      <c r="T617">
        <f>HYPERLINK("https://klasma.github.io/Logging_STORUMAN/kartor/A 42843-2021.png", "A 42843-2021")</f>
        <v/>
      </c>
      <c r="V617">
        <f>HYPERLINK("https://klasma.github.io/Logging_STORUMAN/klagomål/A 42843-2021.docx", "A 42843-2021")</f>
        <v/>
      </c>
      <c r="W617">
        <f>HYPERLINK("https://klasma.github.io/Logging_STORUMAN/klagomålsmail/A 42843-2021.docx", "A 42843-2021")</f>
        <v/>
      </c>
      <c r="X617">
        <f>HYPERLINK("https://klasma.github.io/Logging_STORUMAN/tillsyn/A 42843-2021.docx", "A 42843-2021")</f>
        <v/>
      </c>
      <c r="Y617">
        <f>HYPERLINK("https://klasma.github.io/Logging_STORUMAN/tillsynsmail/A 42843-2021.docx", "A 42843-2021")</f>
        <v/>
      </c>
    </row>
    <row r="618" ht="15" customHeight="1">
      <c r="A618" t="inlineStr">
        <is>
          <t>A 43050-2021</t>
        </is>
      </c>
      <c r="B618" s="1" t="n">
        <v>44431</v>
      </c>
      <c r="C618" s="1" t="n">
        <v>45204</v>
      </c>
      <c r="D618" t="inlineStr">
        <is>
          <t>VÄSTERBOTTENS LÄN</t>
        </is>
      </c>
      <c r="E618" t="inlineStr">
        <is>
          <t>NORDMALING</t>
        </is>
      </c>
      <c r="G618" t="n">
        <v>3</v>
      </c>
      <c r="H618" t="n">
        <v>0</v>
      </c>
      <c r="I618" t="n">
        <v>0</v>
      </c>
      <c r="J618" t="n">
        <v>1</v>
      </c>
      <c r="K618" t="n">
        <v>0</v>
      </c>
      <c r="L618" t="n">
        <v>0</v>
      </c>
      <c r="M618" t="n">
        <v>0</v>
      </c>
      <c r="N618" t="n">
        <v>0</v>
      </c>
      <c r="O618" t="n">
        <v>1</v>
      </c>
      <c r="P618" t="n">
        <v>0</v>
      </c>
      <c r="Q618" t="n">
        <v>1</v>
      </c>
      <c r="R618" s="2" t="inlineStr">
        <is>
          <t>Gränsticka</t>
        </is>
      </c>
      <c r="S618">
        <f>HYPERLINK("https://klasma.github.io/Logging_NORDMALING/artfynd/A 43050-2021.xlsx", "A 43050-2021")</f>
        <v/>
      </c>
      <c r="T618">
        <f>HYPERLINK("https://klasma.github.io/Logging_NORDMALING/kartor/A 43050-2021.png", "A 43050-2021")</f>
        <v/>
      </c>
      <c r="V618">
        <f>HYPERLINK("https://klasma.github.io/Logging_NORDMALING/klagomål/A 43050-2021.docx", "A 43050-2021")</f>
        <v/>
      </c>
      <c r="W618">
        <f>HYPERLINK("https://klasma.github.io/Logging_NORDMALING/klagomålsmail/A 43050-2021.docx", "A 43050-2021")</f>
        <v/>
      </c>
      <c r="X618">
        <f>HYPERLINK("https://klasma.github.io/Logging_NORDMALING/tillsyn/A 43050-2021.docx", "A 43050-2021")</f>
        <v/>
      </c>
      <c r="Y618">
        <f>HYPERLINK("https://klasma.github.io/Logging_NORDMALING/tillsynsmail/A 43050-2021.docx", "A 43050-2021")</f>
        <v/>
      </c>
    </row>
    <row r="619" ht="15" customHeight="1">
      <c r="A619" t="inlineStr">
        <is>
          <t>A 45267-2021</t>
        </is>
      </c>
      <c r="B619" s="1" t="n">
        <v>44439</v>
      </c>
      <c r="C619" s="1" t="n">
        <v>45204</v>
      </c>
      <c r="D619" t="inlineStr">
        <is>
          <t>VÄSTERBOTTENS LÄN</t>
        </is>
      </c>
      <c r="E619" t="inlineStr">
        <is>
          <t>VINDELN</t>
        </is>
      </c>
      <c r="G619" t="n">
        <v>1.9</v>
      </c>
      <c r="H619" t="n">
        <v>0</v>
      </c>
      <c r="I619" t="n">
        <v>1</v>
      </c>
      <c r="J619" t="n">
        <v>0</v>
      </c>
      <c r="K619" t="n">
        <v>0</v>
      </c>
      <c r="L619" t="n">
        <v>0</v>
      </c>
      <c r="M619" t="n">
        <v>0</v>
      </c>
      <c r="N619" t="n">
        <v>0</v>
      </c>
      <c r="O619" t="n">
        <v>0</v>
      </c>
      <c r="P619" t="n">
        <v>0</v>
      </c>
      <c r="Q619" t="n">
        <v>1</v>
      </c>
      <c r="R619" s="2" t="inlineStr">
        <is>
          <t>Mörk husmossa</t>
        </is>
      </c>
      <c r="S619">
        <f>HYPERLINK("https://klasma.github.io/Logging_VINDELN/artfynd/A 45267-2021.xlsx", "A 45267-2021")</f>
        <v/>
      </c>
      <c r="T619">
        <f>HYPERLINK("https://klasma.github.io/Logging_VINDELN/kartor/A 45267-2021.png", "A 45267-2021")</f>
        <v/>
      </c>
      <c r="V619">
        <f>HYPERLINK("https://klasma.github.io/Logging_VINDELN/klagomål/A 45267-2021.docx", "A 45267-2021")</f>
        <v/>
      </c>
      <c r="W619">
        <f>HYPERLINK("https://klasma.github.io/Logging_VINDELN/klagomålsmail/A 45267-2021.docx", "A 45267-2021")</f>
        <v/>
      </c>
      <c r="X619">
        <f>HYPERLINK("https://klasma.github.io/Logging_VINDELN/tillsyn/A 45267-2021.docx", "A 45267-2021")</f>
        <v/>
      </c>
      <c r="Y619">
        <f>HYPERLINK("https://klasma.github.io/Logging_VINDELN/tillsynsmail/A 45267-2021.docx", "A 45267-2021")</f>
        <v/>
      </c>
    </row>
    <row r="620" ht="15" customHeight="1">
      <c r="A620" t="inlineStr">
        <is>
          <t>A 45430-2021</t>
        </is>
      </c>
      <c r="B620" s="1" t="n">
        <v>44440</v>
      </c>
      <c r="C620" s="1" t="n">
        <v>45204</v>
      </c>
      <c r="D620" t="inlineStr">
        <is>
          <t>VÄSTERBOTTENS LÄN</t>
        </is>
      </c>
      <c r="E620" t="inlineStr">
        <is>
          <t>UMEÅ</t>
        </is>
      </c>
      <c r="F620" t="inlineStr">
        <is>
          <t>Holmen skog AB</t>
        </is>
      </c>
      <c r="G620" t="n">
        <v>9.9</v>
      </c>
      <c r="H620" t="n">
        <v>0</v>
      </c>
      <c r="I620" t="n">
        <v>0</v>
      </c>
      <c r="J620" t="n">
        <v>1</v>
      </c>
      <c r="K620" t="n">
        <v>0</v>
      </c>
      <c r="L620" t="n">
        <v>0</v>
      </c>
      <c r="M620" t="n">
        <v>0</v>
      </c>
      <c r="N620" t="n">
        <v>0</v>
      </c>
      <c r="O620" t="n">
        <v>1</v>
      </c>
      <c r="P620" t="n">
        <v>0</v>
      </c>
      <c r="Q620" t="n">
        <v>1</v>
      </c>
      <c r="R620" s="2" t="inlineStr">
        <is>
          <t>Granticka</t>
        </is>
      </c>
      <c r="S620">
        <f>HYPERLINK("https://klasma.github.io/Logging_UMEA/artfynd/A 45430-2021.xlsx", "A 45430-2021")</f>
        <v/>
      </c>
      <c r="T620">
        <f>HYPERLINK("https://klasma.github.io/Logging_UMEA/kartor/A 45430-2021.png", "A 45430-2021")</f>
        <v/>
      </c>
      <c r="V620">
        <f>HYPERLINK("https://klasma.github.io/Logging_UMEA/klagomål/A 45430-2021.docx", "A 45430-2021")</f>
        <v/>
      </c>
      <c r="W620">
        <f>HYPERLINK("https://klasma.github.io/Logging_UMEA/klagomålsmail/A 45430-2021.docx", "A 45430-2021")</f>
        <v/>
      </c>
      <c r="X620">
        <f>HYPERLINK("https://klasma.github.io/Logging_UMEA/tillsyn/A 45430-2021.docx", "A 45430-2021")</f>
        <v/>
      </c>
      <c r="Y620">
        <f>HYPERLINK("https://klasma.github.io/Logging_UMEA/tillsynsmail/A 45430-2021.docx", "A 45430-2021")</f>
        <v/>
      </c>
    </row>
    <row r="621" ht="15" customHeight="1">
      <c r="A621" t="inlineStr">
        <is>
          <t>A 45511-2021</t>
        </is>
      </c>
      <c r="B621" s="1" t="n">
        <v>44440</v>
      </c>
      <c r="C621" s="1" t="n">
        <v>45204</v>
      </c>
      <c r="D621" t="inlineStr">
        <is>
          <t>VÄSTERBOTTENS LÄN</t>
        </is>
      </c>
      <c r="E621" t="inlineStr">
        <is>
          <t>SORSELE</t>
        </is>
      </c>
      <c r="G621" t="n">
        <v>2.7</v>
      </c>
      <c r="H621" t="n">
        <v>1</v>
      </c>
      <c r="I621" t="n">
        <v>0</v>
      </c>
      <c r="J621" t="n">
        <v>1</v>
      </c>
      <c r="K621" t="n">
        <v>0</v>
      </c>
      <c r="L621" t="n">
        <v>0</v>
      </c>
      <c r="M621" t="n">
        <v>0</v>
      </c>
      <c r="N621" t="n">
        <v>0</v>
      </c>
      <c r="O621" t="n">
        <v>1</v>
      </c>
      <c r="P621" t="n">
        <v>0</v>
      </c>
      <c r="Q621" t="n">
        <v>1</v>
      </c>
      <c r="R621" s="2" t="inlineStr">
        <is>
          <t>Tretåig hackspett</t>
        </is>
      </c>
      <c r="S621">
        <f>HYPERLINK("https://klasma.github.io/Logging_SORSELE/artfynd/A 45511-2021.xlsx", "A 45511-2021")</f>
        <v/>
      </c>
      <c r="T621">
        <f>HYPERLINK("https://klasma.github.io/Logging_SORSELE/kartor/A 45511-2021.png", "A 45511-2021")</f>
        <v/>
      </c>
      <c r="V621">
        <f>HYPERLINK("https://klasma.github.io/Logging_SORSELE/klagomål/A 45511-2021.docx", "A 45511-2021")</f>
        <v/>
      </c>
      <c r="W621">
        <f>HYPERLINK("https://klasma.github.io/Logging_SORSELE/klagomålsmail/A 45511-2021.docx", "A 45511-2021")</f>
        <v/>
      </c>
      <c r="X621">
        <f>HYPERLINK("https://klasma.github.io/Logging_SORSELE/tillsyn/A 45511-2021.docx", "A 45511-2021")</f>
        <v/>
      </c>
      <c r="Y621">
        <f>HYPERLINK("https://klasma.github.io/Logging_SORSELE/tillsynsmail/A 45511-2021.docx", "A 45511-2021")</f>
        <v/>
      </c>
    </row>
    <row r="622" ht="15" customHeight="1">
      <c r="A622" t="inlineStr">
        <is>
          <t>A 47154-2021</t>
        </is>
      </c>
      <c r="B622" s="1" t="n">
        <v>44446</v>
      </c>
      <c r="C622" s="1" t="n">
        <v>45204</v>
      </c>
      <c r="D622" t="inlineStr">
        <is>
          <t>VÄSTERBOTTENS LÄN</t>
        </is>
      </c>
      <c r="E622" t="inlineStr">
        <is>
          <t>VILHELMINA</t>
        </is>
      </c>
      <c r="F622" t="inlineStr">
        <is>
          <t>SCA</t>
        </is>
      </c>
      <c r="G622" t="n">
        <v>38.5</v>
      </c>
      <c r="H622" t="n">
        <v>0</v>
      </c>
      <c r="I622" t="n">
        <v>1</v>
      </c>
      <c r="J622" t="n">
        <v>0</v>
      </c>
      <c r="K622" t="n">
        <v>0</v>
      </c>
      <c r="L622" t="n">
        <v>0</v>
      </c>
      <c r="M622" t="n">
        <v>0</v>
      </c>
      <c r="N622" t="n">
        <v>0</v>
      </c>
      <c r="O622" t="n">
        <v>0</v>
      </c>
      <c r="P622" t="n">
        <v>0</v>
      </c>
      <c r="Q622" t="n">
        <v>1</v>
      </c>
      <c r="R622" s="2" t="inlineStr">
        <is>
          <t>Ögonpyrola</t>
        </is>
      </c>
      <c r="S622">
        <f>HYPERLINK("https://klasma.github.io/Logging_VILHELMINA/artfynd/A 47154-2021.xlsx", "A 47154-2021")</f>
        <v/>
      </c>
      <c r="T622">
        <f>HYPERLINK("https://klasma.github.io/Logging_VILHELMINA/kartor/A 47154-2021.png", "A 47154-2021")</f>
        <v/>
      </c>
      <c r="V622">
        <f>HYPERLINK("https://klasma.github.io/Logging_VILHELMINA/klagomål/A 47154-2021.docx", "A 47154-2021")</f>
        <v/>
      </c>
      <c r="W622">
        <f>HYPERLINK("https://klasma.github.io/Logging_VILHELMINA/klagomålsmail/A 47154-2021.docx", "A 47154-2021")</f>
        <v/>
      </c>
      <c r="X622">
        <f>HYPERLINK("https://klasma.github.io/Logging_VILHELMINA/tillsyn/A 47154-2021.docx", "A 47154-2021")</f>
        <v/>
      </c>
      <c r="Y622">
        <f>HYPERLINK("https://klasma.github.io/Logging_VILHELMINA/tillsynsmail/A 47154-2021.docx", "A 47154-2021")</f>
        <v/>
      </c>
    </row>
    <row r="623" ht="15" customHeight="1">
      <c r="A623" t="inlineStr">
        <is>
          <t>A 47038-2021</t>
        </is>
      </c>
      <c r="B623" s="1" t="n">
        <v>44446</v>
      </c>
      <c r="C623" s="1" t="n">
        <v>45204</v>
      </c>
      <c r="D623" t="inlineStr">
        <is>
          <t>VÄSTERBOTTENS LÄN</t>
        </is>
      </c>
      <c r="E623" t="inlineStr">
        <is>
          <t>UMEÅ</t>
        </is>
      </c>
      <c r="G623" t="n">
        <v>22.3</v>
      </c>
      <c r="H623" t="n">
        <v>0</v>
      </c>
      <c r="I623" t="n">
        <v>0</v>
      </c>
      <c r="J623" t="n">
        <v>1</v>
      </c>
      <c r="K623" t="n">
        <v>0</v>
      </c>
      <c r="L623" t="n">
        <v>0</v>
      </c>
      <c r="M623" t="n">
        <v>0</v>
      </c>
      <c r="N623" t="n">
        <v>0</v>
      </c>
      <c r="O623" t="n">
        <v>1</v>
      </c>
      <c r="P623" t="n">
        <v>0</v>
      </c>
      <c r="Q623" t="n">
        <v>1</v>
      </c>
      <c r="R623" s="2" t="inlineStr">
        <is>
          <t>Ullticka</t>
        </is>
      </c>
      <c r="S623">
        <f>HYPERLINK("https://klasma.github.io/Logging_UMEA/artfynd/A 47038-2021.xlsx", "A 47038-2021")</f>
        <v/>
      </c>
      <c r="T623">
        <f>HYPERLINK("https://klasma.github.io/Logging_UMEA/kartor/A 47038-2021.png", "A 47038-2021")</f>
        <v/>
      </c>
      <c r="V623">
        <f>HYPERLINK("https://klasma.github.io/Logging_UMEA/klagomål/A 47038-2021.docx", "A 47038-2021")</f>
        <v/>
      </c>
      <c r="W623">
        <f>HYPERLINK("https://klasma.github.io/Logging_UMEA/klagomålsmail/A 47038-2021.docx", "A 47038-2021")</f>
        <v/>
      </c>
      <c r="X623">
        <f>HYPERLINK("https://klasma.github.io/Logging_UMEA/tillsyn/A 47038-2021.docx", "A 47038-2021")</f>
        <v/>
      </c>
      <c r="Y623">
        <f>HYPERLINK("https://klasma.github.io/Logging_UMEA/tillsynsmail/A 47038-2021.docx", "A 47038-2021")</f>
        <v/>
      </c>
    </row>
    <row r="624" ht="15" customHeight="1">
      <c r="A624" t="inlineStr">
        <is>
          <t>A 48337-2021</t>
        </is>
      </c>
      <c r="B624" s="1" t="n">
        <v>44451</v>
      </c>
      <c r="C624" s="1" t="n">
        <v>45204</v>
      </c>
      <c r="D624" t="inlineStr">
        <is>
          <t>VÄSTERBOTTENS LÄN</t>
        </is>
      </c>
      <c r="E624" t="inlineStr">
        <is>
          <t>STORUMAN</t>
        </is>
      </c>
      <c r="F624" t="inlineStr">
        <is>
          <t>Sveaskog</t>
        </is>
      </c>
      <c r="G624" t="n">
        <v>2.9</v>
      </c>
      <c r="H624" t="n">
        <v>0</v>
      </c>
      <c r="I624" t="n">
        <v>0</v>
      </c>
      <c r="J624" t="n">
        <v>1</v>
      </c>
      <c r="K624" t="n">
        <v>0</v>
      </c>
      <c r="L624" t="n">
        <v>0</v>
      </c>
      <c r="M624" t="n">
        <v>0</v>
      </c>
      <c r="N624" t="n">
        <v>0</v>
      </c>
      <c r="O624" t="n">
        <v>1</v>
      </c>
      <c r="P624" t="n">
        <v>0</v>
      </c>
      <c r="Q624" t="n">
        <v>1</v>
      </c>
      <c r="R624" s="2" t="inlineStr">
        <is>
          <t>Lunglav</t>
        </is>
      </c>
      <c r="S624">
        <f>HYPERLINK("https://klasma.github.io/Logging_STORUMAN/artfynd/A 48337-2021.xlsx", "A 48337-2021")</f>
        <v/>
      </c>
      <c r="T624">
        <f>HYPERLINK("https://klasma.github.io/Logging_STORUMAN/kartor/A 48337-2021.png", "A 48337-2021")</f>
        <v/>
      </c>
      <c r="V624">
        <f>HYPERLINK("https://klasma.github.io/Logging_STORUMAN/klagomål/A 48337-2021.docx", "A 48337-2021")</f>
        <v/>
      </c>
      <c r="W624">
        <f>HYPERLINK("https://klasma.github.io/Logging_STORUMAN/klagomålsmail/A 48337-2021.docx", "A 48337-2021")</f>
        <v/>
      </c>
      <c r="X624">
        <f>HYPERLINK("https://klasma.github.io/Logging_STORUMAN/tillsyn/A 48337-2021.docx", "A 48337-2021")</f>
        <v/>
      </c>
      <c r="Y624">
        <f>HYPERLINK("https://klasma.github.io/Logging_STORUMAN/tillsynsmail/A 48337-2021.docx", "A 48337-2021")</f>
        <v/>
      </c>
    </row>
    <row r="625" ht="15" customHeight="1">
      <c r="A625" t="inlineStr">
        <is>
          <t>A 48339-2021</t>
        </is>
      </c>
      <c r="B625" s="1" t="n">
        <v>44451</v>
      </c>
      <c r="C625" s="1" t="n">
        <v>45204</v>
      </c>
      <c r="D625" t="inlineStr">
        <is>
          <t>VÄSTERBOTTENS LÄN</t>
        </is>
      </c>
      <c r="E625" t="inlineStr">
        <is>
          <t>STORUMAN</t>
        </is>
      </c>
      <c r="F625" t="inlineStr">
        <is>
          <t>Sveaskog</t>
        </is>
      </c>
      <c r="G625" t="n">
        <v>4</v>
      </c>
      <c r="H625" t="n">
        <v>0</v>
      </c>
      <c r="I625" t="n">
        <v>0</v>
      </c>
      <c r="J625" t="n">
        <v>1</v>
      </c>
      <c r="K625" t="n">
        <v>0</v>
      </c>
      <c r="L625" t="n">
        <v>0</v>
      </c>
      <c r="M625" t="n">
        <v>0</v>
      </c>
      <c r="N625" t="n">
        <v>0</v>
      </c>
      <c r="O625" t="n">
        <v>1</v>
      </c>
      <c r="P625" t="n">
        <v>0</v>
      </c>
      <c r="Q625" t="n">
        <v>1</v>
      </c>
      <c r="R625" s="2" t="inlineStr">
        <is>
          <t>Skrovellav</t>
        </is>
      </c>
      <c r="S625">
        <f>HYPERLINK("https://klasma.github.io/Logging_STORUMAN/artfynd/A 48339-2021.xlsx", "A 48339-2021")</f>
        <v/>
      </c>
      <c r="T625">
        <f>HYPERLINK("https://klasma.github.io/Logging_STORUMAN/kartor/A 48339-2021.png", "A 48339-2021")</f>
        <v/>
      </c>
      <c r="V625">
        <f>HYPERLINK("https://klasma.github.io/Logging_STORUMAN/klagomål/A 48339-2021.docx", "A 48339-2021")</f>
        <v/>
      </c>
      <c r="W625">
        <f>HYPERLINK("https://klasma.github.io/Logging_STORUMAN/klagomålsmail/A 48339-2021.docx", "A 48339-2021")</f>
        <v/>
      </c>
      <c r="X625">
        <f>HYPERLINK("https://klasma.github.io/Logging_STORUMAN/tillsyn/A 48339-2021.docx", "A 48339-2021")</f>
        <v/>
      </c>
      <c r="Y625">
        <f>HYPERLINK("https://klasma.github.io/Logging_STORUMAN/tillsynsmail/A 48339-2021.docx", "A 48339-2021")</f>
        <v/>
      </c>
    </row>
    <row r="626" ht="15" customHeight="1">
      <c r="A626" t="inlineStr">
        <is>
          <t>A 49370-2021</t>
        </is>
      </c>
      <c r="B626" s="1" t="n">
        <v>44454</v>
      </c>
      <c r="C626" s="1" t="n">
        <v>45204</v>
      </c>
      <c r="D626" t="inlineStr">
        <is>
          <t>VÄSTERBOTTENS LÄN</t>
        </is>
      </c>
      <c r="E626" t="inlineStr">
        <is>
          <t>MALÅ</t>
        </is>
      </c>
      <c r="F626" t="inlineStr">
        <is>
          <t>Sveaskog</t>
        </is>
      </c>
      <c r="G626" t="n">
        <v>26.5</v>
      </c>
      <c r="H626" t="n">
        <v>1</v>
      </c>
      <c r="I626" t="n">
        <v>0</v>
      </c>
      <c r="J626" t="n">
        <v>0</v>
      </c>
      <c r="K626" t="n">
        <v>1</v>
      </c>
      <c r="L626" t="n">
        <v>0</v>
      </c>
      <c r="M626" t="n">
        <v>0</v>
      </c>
      <c r="N626" t="n">
        <v>0</v>
      </c>
      <c r="O626" t="n">
        <v>1</v>
      </c>
      <c r="P626" t="n">
        <v>1</v>
      </c>
      <c r="Q626" t="n">
        <v>1</v>
      </c>
      <c r="R626" s="2" t="inlineStr">
        <is>
          <t>Norna</t>
        </is>
      </c>
      <c r="S626">
        <f>HYPERLINK("https://klasma.github.io/Logging_MALA/artfynd/A 49370-2021.xlsx", "A 49370-2021")</f>
        <v/>
      </c>
      <c r="T626">
        <f>HYPERLINK("https://klasma.github.io/Logging_MALA/kartor/A 49370-2021.png", "A 49370-2021")</f>
        <v/>
      </c>
      <c r="V626">
        <f>HYPERLINK("https://klasma.github.io/Logging_MALA/klagomål/A 49370-2021.docx", "A 49370-2021")</f>
        <v/>
      </c>
      <c r="W626">
        <f>HYPERLINK("https://klasma.github.io/Logging_MALA/klagomålsmail/A 49370-2021.docx", "A 49370-2021")</f>
        <v/>
      </c>
      <c r="X626">
        <f>HYPERLINK("https://klasma.github.io/Logging_MALA/tillsyn/A 49370-2021.docx", "A 49370-2021")</f>
        <v/>
      </c>
      <c r="Y626">
        <f>HYPERLINK("https://klasma.github.io/Logging_MALA/tillsynsmail/A 49370-2021.docx", "A 49370-2021")</f>
        <v/>
      </c>
    </row>
    <row r="627" ht="15" customHeight="1">
      <c r="A627" t="inlineStr">
        <is>
          <t>A 49774-2021</t>
        </is>
      </c>
      <c r="B627" s="1" t="n">
        <v>44455</v>
      </c>
      <c r="C627" s="1" t="n">
        <v>45204</v>
      </c>
      <c r="D627" t="inlineStr">
        <is>
          <t>VÄSTERBOTTENS LÄN</t>
        </is>
      </c>
      <c r="E627" t="inlineStr">
        <is>
          <t>UMEÅ</t>
        </is>
      </c>
      <c r="G627" t="n">
        <v>1.7</v>
      </c>
      <c r="H627" t="n">
        <v>0</v>
      </c>
      <c r="I627" t="n">
        <v>0</v>
      </c>
      <c r="J627" t="n">
        <v>1</v>
      </c>
      <c r="K627" t="n">
        <v>0</v>
      </c>
      <c r="L627" t="n">
        <v>0</v>
      </c>
      <c r="M627" t="n">
        <v>0</v>
      </c>
      <c r="N627" t="n">
        <v>0</v>
      </c>
      <c r="O627" t="n">
        <v>1</v>
      </c>
      <c r="P627" t="n">
        <v>0</v>
      </c>
      <c r="Q627" t="n">
        <v>1</v>
      </c>
      <c r="R627" s="2" t="inlineStr">
        <is>
          <t>Granticka</t>
        </is>
      </c>
      <c r="S627">
        <f>HYPERLINK("https://klasma.github.io/Logging_UMEA/artfynd/A 49774-2021.xlsx", "A 49774-2021")</f>
        <v/>
      </c>
      <c r="T627">
        <f>HYPERLINK("https://klasma.github.io/Logging_UMEA/kartor/A 49774-2021.png", "A 49774-2021")</f>
        <v/>
      </c>
      <c r="V627">
        <f>HYPERLINK("https://klasma.github.io/Logging_UMEA/klagomål/A 49774-2021.docx", "A 49774-2021")</f>
        <v/>
      </c>
      <c r="W627">
        <f>HYPERLINK("https://klasma.github.io/Logging_UMEA/klagomålsmail/A 49774-2021.docx", "A 49774-2021")</f>
        <v/>
      </c>
      <c r="X627">
        <f>HYPERLINK("https://klasma.github.io/Logging_UMEA/tillsyn/A 49774-2021.docx", "A 49774-2021")</f>
        <v/>
      </c>
      <c r="Y627">
        <f>HYPERLINK("https://klasma.github.io/Logging_UMEA/tillsynsmail/A 49774-2021.docx", "A 49774-2021")</f>
        <v/>
      </c>
    </row>
    <row r="628" ht="15" customHeight="1">
      <c r="A628" t="inlineStr">
        <is>
          <t>A 51640-2021</t>
        </is>
      </c>
      <c r="B628" s="1" t="n">
        <v>44462</v>
      </c>
      <c r="C628" s="1" t="n">
        <v>45204</v>
      </c>
      <c r="D628" t="inlineStr">
        <is>
          <t>VÄSTERBOTTENS LÄN</t>
        </is>
      </c>
      <c r="E628" t="inlineStr">
        <is>
          <t>NORSJÖ</t>
        </is>
      </c>
      <c r="F628" t="inlineStr">
        <is>
          <t>Sveaskog</t>
        </is>
      </c>
      <c r="G628" t="n">
        <v>7.5</v>
      </c>
      <c r="H628" t="n">
        <v>0</v>
      </c>
      <c r="I628" t="n">
        <v>1</v>
      </c>
      <c r="J628" t="n">
        <v>0</v>
      </c>
      <c r="K628" t="n">
        <v>0</v>
      </c>
      <c r="L628" t="n">
        <v>0</v>
      </c>
      <c r="M628" t="n">
        <v>0</v>
      </c>
      <c r="N628" t="n">
        <v>0</v>
      </c>
      <c r="O628" t="n">
        <v>0</v>
      </c>
      <c r="P628" t="n">
        <v>0</v>
      </c>
      <c r="Q628" t="n">
        <v>1</v>
      </c>
      <c r="R628" s="2" t="inlineStr">
        <is>
          <t>Dropptaggsvamp</t>
        </is>
      </c>
      <c r="S628">
        <f>HYPERLINK("https://klasma.github.io/Logging_NORSJO/artfynd/A 51640-2021.xlsx", "A 51640-2021")</f>
        <v/>
      </c>
      <c r="T628">
        <f>HYPERLINK("https://klasma.github.io/Logging_NORSJO/kartor/A 51640-2021.png", "A 51640-2021")</f>
        <v/>
      </c>
      <c r="V628">
        <f>HYPERLINK("https://klasma.github.io/Logging_NORSJO/klagomål/A 51640-2021.docx", "A 51640-2021")</f>
        <v/>
      </c>
      <c r="W628">
        <f>HYPERLINK("https://klasma.github.io/Logging_NORSJO/klagomålsmail/A 51640-2021.docx", "A 51640-2021")</f>
        <v/>
      </c>
      <c r="X628">
        <f>HYPERLINK("https://klasma.github.io/Logging_NORSJO/tillsyn/A 51640-2021.docx", "A 51640-2021")</f>
        <v/>
      </c>
      <c r="Y628">
        <f>HYPERLINK("https://klasma.github.io/Logging_NORSJO/tillsynsmail/A 51640-2021.docx", "A 51640-2021")</f>
        <v/>
      </c>
    </row>
    <row r="629" ht="15" customHeight="1">
      <c r="A629" t="inlineStr">
        <is>
          <t>A 52037-2021</t>
        </is>
      </c>
      <c r="B629" s="1" t="n">
        <v>44463</v>
      </c>
      <c r="C629" s="1" t="n">
        <v>45204</v>
      </c>
      <c r="D629" t="inlineStr">
        <is>
          <t>VÄSTERBOTTENS LÄN</t>
        </is>
      </c>
      <c r="E629" t="inlineStr">
        <is>
          <t>MALÅ</t>
        </is>
      </c>
      <c r="F629" t="inlineStr">
        <is>
          <t>Sveaskog</t>
        </is>
      </c>
      <c r="G629" t="n">
        <v>13.8</v>
      </c>
      <c r="H629" t="n">
        <v>0</v>
      </c>
      <c r="I629" t="n">
        <v>0</v>
      </c>
      <c r="J629" t="n">
        <v>1</v>
      </c>
      <c r="K629" t="n">
        <v>0</v>
      </c>
      <c r="L629" t="n">
        <v>0</v>
      </c>
      <c r="M629" t="n">
        <v>0</v>
      </c>
      <c r="N629" t="n">
        <v>0</v>
      </c>
      <c r="O629" t="n">
        <v>1</v>
      </c>
      <c r="P629" t="n">
        <v>0</v>
      </c>
      <c r="Q629" t="n">
        <v>1</v>
      </c>
      <c r="R629" s="2" t="inlineStr">
        <is>
          <t>Ullticka</t>
        </is>
      </c>
      <c r="S629">
        <f>HYPERLINK("https://klasma.github.io/Logging_MALA/artfynd/A 52037-2021.xlsx", "A 52037-2021")</f>
        <v/>
      </c>
      <c r="T629">
        <f>HYPERLINK("https://klasma.github.io/Logging_MALA/kartor/A 52037-2021.png", "A 52037-2021")</f>
        <v/>
      </c>
      <c r="V629">
        <f>HYPERLINK("https://klasma.github.io/Logging_MALA/klagomål/A 52037-2021.docx", "A 52037-2021")</f>
        <v/>
      </c>
      <c r="W629">
        <f>HYPERLINK("https://klasma.github.io/Logging_MALA/klagomålsmail/A 52037-2021.docx", "A 52037-2021")</f>
        <v/>
      </c>
      <c r="X629">
        <f>HYPERLINK("https://klasma.github.io/Logging_MALA/tillsyn/A 52037-2021.docx", "A 52037-2021")</f>
        <v/>
      </c>
      <c r="Y629">
        <f>HYPERLINK("https://klasma.github.io/Logging_MALA/tillsynsmail/A 52037-2021.docx", "A 52037-2021")</f>
        <v/>
      </c>
    </row>
    <row r="630" ht="15" customHeight="1">
      <c r="A630" t="inlineStr">
        <is>
          <t>A 54142-2021</t>
        </is>
      </c>
      <c r="B630" s="1" t="n">
        <v>44470</v>
      </c>
      <c r="C630" s="1" t="n">
        <v>45204</v>
      </c>
      <c r="D630" t="inlineStr">
        <is>
          <t>VÄSTERBOTTENS LÄN</t>
        </is>
      </c>
      <c r="E630" t="inlineStr">
        <is>
          <t>LYCKSELE</t>
        </is>
      </c>
      <c r="F630" t="inlineStr">
        <is>
          <t>Sveaskog</t>
        </is>
      </c>
      <c r="G630" t="n">
        <v>15.5</v>
      </c>
      <c r="H630" t="n">
        <v>0</v>
      </c>
      <c r="I630" t="n">
        <v>0</v>
      </c>
      <c r="J630" t="n">
        <v>1</v>
      </c>
      <c r="K630" t="n">
        <v>0</v>
      </c>
      <c r="L630" t="n">
        <v>0</v>
      </c>
      <c r="M630" t="n">
        <v>0</v>
      </c>
      <c r="N630" t="n">
        <v>0</v>
      </c>
      <c r="O630" t="n">
        <v>1</v>
      </c>
      <c r="P630" t="n">
        <v>0</v>
      </c>
      <c r="Q630" t="n">
        <v>1</v>
      </c>
      <c r="R630" s="2" t="inlineStr">
        <is>
          <t>Garnlav</t>
        </is>
      </c>
      <c r="S630">
        <f>HYPERLINK("https://klasma.github.io/Logging_LYCKSELE/artfynd/A 54142-2021.xlsx", "A 54142-2021")</f>
        <v/>
      </c>
      <c r="T630">
        <f>HYPERLINK("https://klasma.github.io/Logging_LYCKSELE/kartor/A 54142-2021.png", "A 54142-2021")</f>
        <v/>
      </c>
      <c r="U630">
        <f>HYPERLINK("https://klasma.github.io/Logging_LYCKSELE/knärot/A 54142-2021.png", "A 54142-2021")</f>
        <v/>
      </c>
      <c r="V630">
        <f>HYPERLINK("https://klasma.github.io/Logging_LYCKSELE/klagomål/A 54142-2021.docx", "A 54142-2021")</f>
        <v/>
      </c>
      <c r="W630">
        <f>HYPERLINK("https://klasma.github.io/Logging_LYCKSELE/klagomålsmail/A 54142-2021.docx", "A 54142-2021")</f>
        <v/>
      </c>
      <c r="X630">
        <f>HYPERLINK("https://klasma.github.io/Logging_LYCKSELE/tillsyn/A 54142-2021.docx", "A 54142-2021")</f>
        <v/>
      </c>
      <c r="Y630">
        <f>HYPERLINK("https://klasma.github.io/Logging_LYCKSELE/tillsynsmail/A 54142-2021.docx", "A 54142-2021")</f>
        <v/>
      </c>
    </row>
    <row r="631" ht="15" customHeight="1">
      <c r="A631" t="inlineStr">
        <is>
          <t>A 55745-2021</t>
        </is>
      </c>
      <c r="B631" s="1" t="n">
        <v>44476</v>
      </c>
      <c r="C631" s="1" t="n">
        <v>45204</v>
      </c>
      <c r="D631" t="inlineStr">
        <is>
          <t>VÄSTERBOTTENS LÄN</t>
        </is>
      </c>
      <c r="E631" t="inlineStr">
        <is>
          <t>NORSJÖ</t>
        </is>
      </c>
      <c r="F631" t="inlineStr">
        <is>
          <t>Sveaskog</t>
        </is>
      </c>
      <c r="G631" t="n">
        <v>21.5</v>
      </c>
      <c r="H631" t="n">
        <v>0</v>
      </c>
      <c r="I631" t="n">
        <v>0</v>
      </c>
      <c r="J631" t="n">
        <v>1</v>
      </c>
      <c r="K631" t="n">
        <v>0</v>
      </c>
      <c r="L631" t="n">
        <v>0</v>
      </c>
      <c r="M631" t="n">
        <v>0</v>
      </c>
      <c r="N631" t="n">
        <v>0</v>
      </c>
      <c r="O631" t="n">
        <v>1</v>
      </c>
      <c r="P631" t="n">
        <v>0</v>
      </c>
      <c r="Q631" t="n">
        <v>1</v>
      </c>
      <c r="R631" s="2" t="inlineStr">
        <is>
          <t>Lunglav</t>
        </is>
      </c>
      <c r="S631">
        <f>HYPERLINK("https://klasma.github.io/Logging_NORSJO/artfynd/A 55745-2021.xlsx", "A 55745-2021")</f>
        <v/>
      </c>
      <c r="T631">
        <f>HYPERLINK("https://klasma.github.io/Logging_NORSJO/kartor/A 55745-2021.png", "A 55745-2021")</f>
        <v/>
      </c>
      <c r="V631">
        <f>HYPERLINK("https://klasma.github.io/Logging_NORSJO/klagomål/A 55745-2021.docx", "A 55745-2021")</f>
        <v/>
      </c>
      <c r="W631">
        <f>HYPERLINK("https://klasma.github.io/Logging_NORSJO/klagomålsmail/A 55745-2021.docx", "A 55745-2021")</f>
        <v/>
      </c>
      <c r="X631">
        <f>HYPERLINK("https://klasma.github.io/Logging_NORSJO/tillsyn/A 55745-2021.docx", "A 55745-2021")</f>
        <v/>
      </c>
      <c r="Y631">
        <f>HYPERLINK("https://klasma.github.io/Logging_NORSJO/tillsynsmail/A 55745-2021.docx", "A 55745-2021")</f>
        <v/>
      </c>
    </row>
    <row r="632" ht="15" customHeight="1">
      <c r="A632" t="inlineStr">
        <is>
          <t>A 55739-2021</t>
        </is>
      </c>
      <c r="B632" s="1" t="n">
        <v>44476</v>
      </c>
      <c r="C632" s="1" t="n">
        <v>45204</v>
      </c>
      <c r="D632" t="inlineStr">
        <is>
          <t>VÄSTERBOTTENS LÄN</t>
        </is>
      </c>
      <c r="E632" t="inlineStr">
        <is>
          <t>VILHELMINA</t>
        </is>
      </c>
      <c r="G632" t="n">
        <v>5.5</v>
      </c>
      <c r="H632" t="n">
        <v>0</v>
      </c>
      <c r="I632" t="n">
        <v>0</v>
      </c>
      <c r="J632" t="n">
        <v>1</v>
      </c>
      <c r="K632" t="n">
        <v>0</v>
      </c>
      <c r="L632" t="n">
        <v>0</v>
      </c>
      <c r="M632" t="n">
        <v>0</v>
      </c>
      <c r="N632" t="n">
        <v>0</v>
      </c>
      <c r="O632" t="n">
        <v>1</v>
      </c>
      <c r="P632" t="n">
        <v>0</v>
      </c>
      <c r="Q632" t="n">
        <v>1</v>
      </c>
      <c r="R632" s="2" t="inlineStr">
        <is>
          <t>Garnlav</t>
        </is>
      </c>
      <c r="S632">
        <f>HYPERLINK("https://klasma.github.io/Logging_VILHELMINA/artfynd/A 55739-2021.xlsx", "A 55739-2021")</f>
        <v/>
      </c>
      <c r="T632">
        <f>HYPERLINK("https://klasma.github.io/Logging_VILHELMINA/kartor/A 55739-2021.png", "A 55739-2021")</f>
        <v/>
      </c>
      <c r="V632">
        <f>HYPERLINK("https://klasma.github.io/Logging_VILHELMINA/klagomål/A 55739-2021.docx", "A 55739-2021")</f>
        <v/>
      </c>
      <c r="W632">
        <f>HYPERLINK("https://klasma.github.io/Logging_VILHELMINA/klagomålsmail/A 55739-2021.docx", "A 55739-2021")</f>
        <v/>
      </c>
      <c r="X632">
        <f>HYPERLINK("https://klasma.github.io/Logging_VILHELMINA/tillsyn/A 55739-2021.docx", "A 55739-2021")</f>
        <v/>
      </c>
      <c r="Y632">
        <f>HYPERLINK("https://klasma.github.io/Logging_VILHELMINA/tillsynsmail/A 55739-2021.docx", "A 55739-2021")</f>
        <v/>
      </c>
    </row>
    <row r="633" ht="15" customHeight="1">
      <c r="A633" t="inlineStr">
        <is>
          <t>A 57738-2021</t>
        </is>
      </c>
      <c r="B633" s="1" t="n">
        <v>44484</v>
      </c>
      <c r="C633" s="1" t="n">
        <v>45204</v>
      </c>
      <c r="D633" t="inlineStr">
        <is>
          <t>VÄSTERBOTTENS LÄN</t>
        </is>
      </c>
      <c r="E633" t="inlineStr">
        <is>
          <t>SKELLEFTEÅ</t>
        </is>
      </c>
      <c r="G633" t="n">
        <v>11.4</v>
      </c>
      <c r="H633" t="n">
        <v>0</v>
      </c>
      <c r="I633" t="n">
        <v>0</v>
      </c>
      <c r="J633" t="n">
        <v>1</v>
      </c>
      <c r="K633" t="n">
        <v>0</v>
      </c>
      <c r="L633" t="n">
        <v>0</v>
      </c>
      <c r="M633" t="n">
        <v>0</v>
      </c>
      <c r="N633" t="n">
        <v>0</v>
      </c>
      <c r="O633" t="n">
        <v>1</v>
      </c>
      <c r="P633" t="n">
        <v>0</v>
      </c>
      <c r="Q633" t="n">
        <v>1</v>
      </c>
      <c r="R633" s="2" t="inlineStr">
        <is>
          <t>Doftskinn</t>
        </is>
      </c>
      <c r="S633">
        <f>HYPERLINK("https://klasma.github.io/Logging_SKELLEFTEA/artfynd/A 57738-2021.xlsx", "A 57738-2021")</f>
        <v/>
      </c>
      <c r="T633">
        <f>HYPERLINK("https://klasma.github.io/Logging_SKELLEFTEA/kartor/A 57738-2021.png", "A 57738-2021")</f>
        <v/>
      </c>
      <c r="V633">
        <f>HYPERLINK("https://klasma.github.io/Logging_SKELLEFTEA/klagomål/A 57738-2021.docx", "A 57738-2021")</f>
        <v/>
      </c>
      <c r="W633">
        <f>HYPERLINK("https://klasma.github.io/Logging_SKELLEFTEA/klagomålsmail/A 57738-2021.docx", "A 57738-2021")</f>
        <v/>
      </c>
      <c r="X633">
        <f>HYPERLINK("https://klasma.github.io/Logging_SKELLEFTEA/tillsyn/A 57738-2021.docx", "A 57738-2021")</f>
        <v/>
      </c>
      <c r="Y633">
        <f>HYPERLINK("https://klasma.github.io/Logging_SKELLEFTEA/tillsynsmail/A 57738-2021.docx", "A 57738-2021")</f>
        <v/>
      </c>
    </row>
    <row r="634" ht="15" customHeight="1">
      <c r="A634" t="inlineStr">
        <is>
          <t>A 57865-2021</t>
        </is>
      </c>
      <c r="B634" s="1" t="n">
        <v>44484</v>
      </c>
      <c r="C634" s="1" t="n">
        <v>45204</v>
      </c>
      <c r="D634" t="inlineStr">
        <is>
          <t>VÄSTERBOTTENS LÄN</t>
        </is>
      </c>
      <c r="E634" t="inlineStr">
        <is>
          <t>BJURHOLM</t>
        </is>
      </c>
      <c r="F634" t="inlineStr">
        <is>
          <t>SCA</t>
        </is>
      </c>
      <c r="G634" t="n">
        <v>2.6</v>
      </c>
      <c r="H634" t="n">
        <v>0</v>
      </c>
      <c r="I634" t="n">
        <v>1</v>
      </c>
      <c r="J634" t="n">
        <v>0</v>
      </c>
      <c r="K634" t="n">
        <v>0</v>
      </c>
      <c r="L634" t="n">
        <v>0</v>
      </c>
      <c r="M634" t="n">
        <v>0</v>
      </c>
      <c r="N634" t="n">
        <v>0</v>
      </c>
      <c r="O634" t="n">
        <v>0</v>
      </c>
      <c r="P634" t="n">
        <v>0</v>
      </c>
      <c r="Q634" t="n">
        <v>1</v>
      </c>
      <c r="R634" s="2" t="inlineStr">
        <is>
          <t>Stor aspticka</t>
        </is>
      </c>
      <c r="S634">
        <f>HYPERLINK("https://klasma.github.io/Logging_BJURHOLM/artfynd/A 57865-2021.xlsx", "A 57865-2021")</f>
        <v/>
      </c>
      <c r="T634">
        <f>HYPERLINK("https://klasma.github.io/Logging_BJURHOLM/kartor/A 57865-2021.png", "A 57865-2021")</f>
        <v/>
      </c>
      <c r="V634">
        <f>HYPERLINK("https://klasma.github.io/Logging_BJURHOLM/klagomål/A 57865-2021.docx", "A 57865-2021")</f>
        <v/>
      </c>
      <c r="W634">
        <f>HYPERLINK("https://klasma.github.io/Logging_BJURHOLM/klagomålsmail/A 57865-2021.docx", "A 57865-2021")</f>
        <v/>
      </c>
      <c r="X634">
        <f>HYPERLINK("https://klasma.github.io/Logging_BJURHOLM/tillsyn/A 57865-2021.docx", "A 57865-2021")</f>
        <v/>
      </c>
      <c r="Y634">
        <f>HYPERLINK("https://klasma.github.io/Logging_BJURHOLM/tillsynsmail/A 57865-2021.docx", "A 57865-2021")</f>
        <v/>
      </c>
    </row>
    <row r="635" ht="15" customHeight="1">
      <c r="A635" t="inlineStr">
        <is>
          <t>A 58766-2021</t>
        </is>
      </c>
      <c r="B635" s="1" t="n">
        <v>44489</v>
      </c>
      <c r="C635" s="1" t="n">
        <v>45204</v>
      </c>
      <c r="D635" t="inlineStr">
        <is>
          <t>VÄSTERBOTTENS LÄN</t>
        </is>
      </c>
      <c r="E635" t="inlineStr">
        <is>
          <t>SKELLEFTEÅ</t>
        </is>
      </c>
      <c r="G635" t="n">
        <v>5.5</v>
      </c>
      <c r="H635" t="n">
        <v>0</v>
      </c>
      <c r="I635" t="n">
        <v>0</v>
      </c>
      <c r="J635" t="n">
        <v>1</v>
      </c>
      <c r="K635" t="n">
        <v>0</v>
      </c>
      <c r="L635" t="n">
        <v>0</v>
      </c>
      <c r="M635" t="n">
        <v>0</v>
      </c>
      <c r="N635" t="n">
        <v>0</v>
      </c>
      <c r="O635" t="n">
        <v>1</v>
      </c>
      <c r="P635" t="n">
        <v>0</v>
      </c>
      <c r="Q635" t="n">
        <v>1</v>
      </c>
      <c r="R635" s="2" t="inlineStr">
        <is>
          <t>Stjärntagging</t>
        </is>
      </c>
      <c r="S635">
        <f>HYPERLINK("https://klasma.github.io/Logging_SKELLEFTEA/artfynd/A 58766-2021.xlsx", "A 58766-2021")</f>
        <v/>
      </c>
      <c r="T635">
        <f>HYPERLINK("https://klasma.github.io/Logging_SKELLEFTEA/kartor/A 58766-2021.png", "A 58766-2021")</f>
        <v/>
      </c>
      <c r="V635">
        <f>HYPERLINK("https://klasma.github.io/Logging_SKELLEFTEA/klagomål/A 58766-2021.docx", "A 58766-2021")</f>
        <v/>
      </c>
      <c r="W635">
        <f>HYPERLINK("https://klasma.github.io/Logging_SKELLEFTEA/klagomålsmail/A 58766-2021.docx", "A 58766-2021")</f>
        <v/>
      </c>
      <c r="X635">
        <f>HYPERLINK("https://klasma.github.io/Logging_SKELLEFTEA/tillsyn/A 58766-2021.docx", "A 58766-2021")</f>
        <v/>
      </c>
      <c r="Y635">
        <f>HYPERLINK("https://klasma.github.io/Logging_SKELLEFTEA/tillsynsmail/A 58766-2021.docx", "A 58766-2021")</f>
        <v/>
      </c>
    </row>
    <row r="636" ht="15" customHeight="1">
      <c r="A636" t="inlineStr">
        <is>
          <t>A 59780-2021</t>
        </is>
      </c>
      <c r="B636" s="1" t="n">
        <v>44494</v>
      </c>
      <c r="C636" s="1" t="n">
        <v>45204</v>
      </c>
      <c r="D636" t="inlineStr">
        <is>
          <t>VÄSTERBOTTENS LÄN</t>
        </is>
      </c>
      <c r="E636" t="inlineStr">
        <is>
          <t>LYCKSELE</t>
        </is>
      </c>
      <c r="F636" t="inlineStr">
        <is>
          <t>Sveaskog</t>
        </is>
      </c>
      <c r="G636" t="n">
        <v>5</v>
      </c>
      <c r="H636" t="n">
        <v>0</v>
      </c>
      <c r="I636" t="n">
        <v>0</v>
      </c>
      <c r="J636" t="n">
        <v>1</v>
      </c>
      <c r="K636" t="n">
        <v>0</v>
      </c>
      <c r="L636" t="n">
        <v>0</v>
      </c>
      <c r="M636" t="n">
        <v>0</v>
      </c>
      <c r="N636" t="n">
        <v>0</v>
      </c>
      <c r="O636" t="n">
        <v>1</v>
      </c>
      <c r="P636" t="n">
        <v>0</v>
      </c>
      <c r="Q636" t="n">
        <v>1</v>
      </c>
      <c r="R636" s="2" t="inlineStr">
        <is>
          <t>Lunglav</t>
        </is>
      </c>
      <c r="S636">
        <f>HYPERLINK("https://klasma.github.io/Logging_LYCKSELE/artfynd/A 59780-2021.xlsx", "A 59780-2021")</f>
        <v/>
      </c>
      <c r="T636">
        <f>HYPERLINK("https://klasma.github.io/Logging_LYCKSELE/kartor/A 59780-2021.png", "A 59780-2021")</f>
        <v/>
      </c>
      <c r="V636">
        <f>HYPERLINK("https://klasma.github.io/Logging_LYCKSELE/klagomål/A 59780-2021.docx", "A 59780-2021")</f>
        <v/>
      </c>
      <c r="W636">
        <f>HYPERLINK("https://klasma.github.io/Logging_LYCKSELE/klagomålsmail/A 59780-2021.docx", "A 59780-2021")</f>
        <v/>
      </c>
      <c r="X636">
        <f>HYPERLINK("https://klasma.github.io/Logging_LYCKSELE/tillsyn/A 59780-2021.docx", "A 59780-2021")</f>
        <v/>
      </c>
      <c r="Y636">
        <f>HYPERLINK("https://klasma.github.io/Logging_LYCKSELE/tillsynsmail/A 59780-2021.docx", "A 59780-2021")</f>
        <v/>
      </c>
    </row>
    <row r="637" ht="15" customHeight="1">
      <c r="A637" t="inlineStr">
        <is>
          <t>A 60369-2021</t>
        </is>
      </c>
      <c r="B637" s="1" t="n">
        <v>44494</v>
      </c>
      <c r="C637" s="1" t="n">
        <v>45204</v>
      </c>
      <c r="D637" t="inlineStr">
        <is>
          <t>VÄSTERBOTTENS LÄN</t>
        </is>
      </c>
      <c r="E637" t="inlineStr">
        <is>
          <t>VILHELMINA</t>
        </is>
      </c>
      <c r="G637" t="n">
        <v>0.6</v>
      </c>
      <c r="H637" t="n">
        <v>0</v>
      </c>
      <c r="I637" t="n">
        <v>1</v>
      </c>
      <c r="J637" t="n">
        <v>0</v>
      </c>
      <c r="K637" t="n">
        <v>0</v>
      </c>
      <c r="L637" t="n">
        <v>0</v>
      </c>
      <c r="M637" t="n">
        <v>0</v>
      </c>
      <c r="N637" t="n">
        <v>0</v>
      </c>
      <c r="O637" t="n">
        <v>0</v>
      </c>
      <c r="P637" t="n">
        <v>0</v>
      </c>
      <c r="Q637" t="n">
        <v>1</v>
      </c>
      <c r="R637" s="2" t="inlineStr">
        <is>
          <t>Stuplav</t>
        </is>
      </c>
      <c r="S637">
        <f>HYPERLINK("https://klasma.github.io/Logging_VILHELMINA/artfynd/A 60369-2021.xlsx", "A 60369-2021")</f>
        <v/>
      </c>
      <c r="T637">
        <f>HYPERLINK("https://klasma.github.io/Logging_VILHELMINA/kartor/A 60369-2021.png", "A 60369-2021")</f>
        <v/>
      </c>
      <c r="V637">
        <f>HYPERLINK("https://klasma.github.io/Logging_VILHELMINA/klagomål/A 60369-2021.docx", "A 60369-2021")</f>
        <v/>
      </c>
      <c r="W637">
        <f>HYPERLINK("https://klasma.github.io/Logging_VILHELMINA/klagomålsmail/A 60369-2021.docx", "A 60369-2021")</f>
        <v/>
      </c>
      <c r="X637">
        <f>HYPERLINK("https://klasma.github.io/Logging_VILHELMINA/tillsyn/A 60369-2021.docx", "A 60369-2021")</f>
        <v/>
      </c>
      <c r="Y637">
        <f>HYPERLINK("https://klasma.github.io/Logging_VILHELMINA/tillsynsmail/A 60369-2021.docx", "A 60369-2021")</f>
        <v/>
      </c>
    </row>
    <row r="638" ht="15" customHeight="1">
      <c r="A638" t="inlineStr">
        <is>
          <t>A 60309-2021</t>
        </is>
      </c>
      <c r="B638" s="1" t="n">
        <v>44495</v>
      </c>
      <c r="C638" s="1" t="n">
        <v>45204</v>
      </c>
      <c r="D638" t="inlineStr">
        <is>
          <t>VÄSTERBOTTENS LÄN</t>
        </is>
      </c>
      <c r="E638" t="inlineStr">
        <is>
          <t>NORDMALING</t>
        </is>
      </c>
      <c r="F638" t="inlineStr">
        <is>
          <t>SCA</t>
        </is>
      </c>
      <c r="G638" t="n">
        <v>1.5</v>
      </c>
      <c r="H638" t="n">
        <v>0</v>
      </c>
      <c r="I638" t="n">
        <v>0</v>
      </c>
      <c r="J638" t="n">
        <v>1</v>
      </c>
      <c r="K638" t="n">
        <v>0</v>
      </c>
      <c r="L638" t="n">
        <v>0</v>
      </c>
      <c r="M638" t="n">
        <v>0</v>
      </c>
      <c r="N638" t="n">
        <v>0</v>
      </c>
      <c r="O638" t="n">
        <v>1</v>
      </c>
      <c r="P638" t="n">
        <v>0</v>
      </c>
      <c r="Q638" t="n">
        <v>1</v>
      </c>
      <c r="R638" s="2" t="inlineStr">
        <is>
          <t>Gränsticka</t>
        </is>
      </c>
      <c r="S638">
        <f>HYPERLINK("https://klasma.github.io/Logging_NORDMALING/artfynd/A 60309-2021.xlsx", "A 60309-2021")</f>
        <v/>
      </c>
      <c r="T638">
        <f>HYPERLINK("https://klasma.github.io/Logging_NORDMALING/kartor/A 60309-2021.png", "A 60309-2021")</f>
        <v/>
      </c>
      <c r="V638">
        <f>HYPERLINK("https://klasma.github.io/Logging_NORDMALING/klagomål/A 60309-2021.docx", "A 60309-2021")</f>
        <v/>
      </c>
      <c r="W638">
        <f>HYPERLINK("https://klasma.github.io/Logging_NORDMALING/klagomålsmail/A 60309-2021.docx", "A 60309-2021")</f>
        <v/>
      </c>
      <c r="X638">
        <f>HYPERLINK("https://klasma.github.io/Logging_NORDMALING/tillsyn/A 60309-2021.docx", "A 60309-2021")</f>
        <v/>
      </c>
      <c r="Y638">
        <f>HYPERLINK("https://klasma.github.io/Logging_NORDMALING/tillsynsmail/A 60309-2021.docx", "A 60309-2021")</f>
        <v/>
      </c>
    </row>
    <row r="639" ht="15" customHeight="1">
      <c r="A639" t="inlineStr">
        <is>
          <t>A 60310-2021</t>
        </is>
      </c>
      <c r="B639" s="1" t="n">
        <v>44495</v>
      </c>
      <c r="C639" s="1" t="n">
        <v>45204</v>
      </c>
      <c r="D639" t="inlineStr">
        <is>
          <t>VÄSTERBOTTENS LÄN</t>
        </is>
      </c>
      <c r="E639" t="inlineStr">
        <is>
          <t>NORDMALING</t>
        </is>
      </c>
      <c r="F639" t="inlineStr">
        <is>
          <t>SCA</t>
        </is>
      </c>
      <c r="G639" t="n">
        <v>1.2</v>
      </c>
      <c r="H639" t="n">
        <v>0</v>
      </c>
      <c r="I639" t="n">
        <v>1</v>
      </c>
      <c r="J639" t="n">
        <v>0</v>
      </c>
      <c r="K639" t="n">
        <v>0</v>
      </c>
      <c r="L639" t="n">
        <v>0</v>
      </c>
      <c r="M639" t="n">
        <v>0</v>
      </c>
      <c r="N639" t="n">
        <v>0</v>
      </c>
      <c r="O639" t="n">
        <v>0</v>
      </c>
      <c r="P639" t="n">
        <v>0</v>
      </c>
      <c r="Q639" t="n">
        <v>1</v>
      </c>
      <c r="R639" s="2" t="inlineStr">
        <is>
          <t>Stor aspticka</t>
        </is>
      </c>
      <c r="S639">
        <f>HYPERLINK("https://klasma.github.io/Logging_NORDMALING/artfynd/A 60310-2021.xlsx", "A 60310-2021")</f>
        <v/>
      </c>
      <c r="T639">
        <f>HYPERLINK("https://klasma.github.io/Logging_NORDMALING/kartor/A 60310-2021.png", "A 60310-2021")</f>
        <v/>
      </c>
      <c r="V639">
        <f>HYPERLINK("https://klasma.github.io/Logging_NORDMALING/klagomål/A 60310-2021.docx", "A 60310-2021")</f>
        <v/>
      </c>
      <c r="W639">
        <f>HYPERLINK("https://klasma.github.io/Logging_NORDMALING/klagomålsmail/A 60310-2021.docx", "A 60310-2021")</f>
        <v/>
      </c>
      <c r="X639">
        <f>HYPERLINK("https://klasma.github.io/Logging_NORDMALING/tillsyn/A 60310-2021.docx", "A 60310-2021")</f>
        <v/>
      </c>
      <c r="Y639">
        <f>HYPERLINK("https://klasma.github.io/Logging_NORDMALING/tillsynsmail/A 60310-2021.docx", "A 60310-2021")</f>
        <v/>
      </c>
    </row>
    <row r="640" ht="15" customHeight="1">
      <c r="A640" t="inlineStr">
        <is>
          <t>A 60651-2021</t>
        </is>
      </c>
      <c r="B640" s="1" t="n">
        <v>44496</v>
      </c>
      <c r="C640" s="1" t="n">
        <v>45204</v>
      </c>
      <c r="D640" t="inlineStr">
        <is>
          <t>VÄSTERBOTTENS LÄN</t>
        </is>
      </c>
      <c r="E640" t="inlineStr">
        <is>
          <t>VINDELN</t>
        </is>
      </c>
      <c r="F640" t="inlineStr">
        <is>
          <t>Sveaskog</t>
        </is>
      </c>
      <c r="G640" t="n">
        <v>3.7</v>
      </c>
      <c r="H640" t="n">
        <v>0</v>
      </c>
      <c r="I640" t="n">
        <v>0</v>
      </c>
      <c r="J640" t="n">
        <v>1</v>
      </c>
      <c r="K640" t="n">
        <v>0</v>
      </c>
      <c r="L640" t="n">
        <v>0</v>
      </c>
      <c r="M640" t="n">
        <v>0</v>
      </c>
      <c r="N640" t="n">
        <v>0</v>
      </c>
      <c r="O640" t="n">
        <v>1</v>
      </c>
      <c r="P640" t="n">
        <v>0</v>
      </c>
      <c r="Q640" t="n">
        <v>1</v>
      </c>
      <c r="R640" s="2" t="inlineStr">
        <is>
          <t>Lunglav</t>
        </is>
      </c>
      <c r="S640">
        <f>HYPERLINK("https://klasma.github.io/Logging_VINDELN/artfynd/A 60651-2021.xlsx", "A 60651-2021")</f>
        <v/>
      </c>
      <c r="T640">
        <f>HYPERLINK("https://klasma.github.io/Logging_VINDELN/kartor/A 60651-2021.png", "A 60651-2021")</f>
        <v/>
      </c>
      <c r="V640">
        <f>HYPERLINK("https://klasma.github.io/Logging_VINDELN/klagomål/A 60651-2021.docx", "A 60651-2021")</f>
        <v/>
      </c>
      <c r="W640">
        <f>HYPERLINK("https://klasma.github.io/Logging_VINDELN/klagomålsmail/A 60651-2021.docx", "A 60651-2021")</f>
        <v/>
      </c>
      <c r="X640">
        <f>HYPERLINK("https://klasma.github.io/Logging_VINDELN/tillsyn/A 60651-2021.docx", "A 60651-2021")</f>
        <v/>
      </c>
      <c r="Y640">
        <f>HYPERLINK("https://klasma.github.io/Logging_VINDELN/tillsynsmail/A 60651-2021.docx", "A 60651-2021")</f>
        <v/>
      </c>
    </row>
    <row r="641" ht="15" customHeight="1">
      <c r="A641" t="inlineStr">
        <is>
          <t>A 60833-2021</t>
        </is>
      </c>
      <c r="B641" s="1" t="n">
        <v>44497</v>
      </c>
      <c r="C641" s="1" t="n">
        <v>45204</v>
      </c>
      <c r="D641" t="inlineStr">
        <is>
          <t>VÄSTERBOTTENS LÄN</t>
        </is>
      </c>
      <c r="E641" t="inlineStr">
        <is>
          <t>ROBERTSFORS</t>
        </is>
      </c>
      <c r="G641" t="n">
        <v>1.9</v>
      </c>
      <c r="H641" t="n">
        <v>0</v>
      </c>
      <c r="I641" t="n">
        <v>1</v>
      </c>
      <c r="J641" t="n">
        <v>0</v>
      </c>
      <c r="K641" t="n">
        <v>0</v>
      </c>
      <c r="L641" t="n">
        <v>0</v>
      </c>
      <c r="M641" t="n">
        <v>0</v>
      </c>
      <c r="N641" t="n">
        <v>0</v>
      </c>
      <c r="O641" t="n">
        <v>0</v>
      </c>
      <c r="P641" t="n">
        <v>0</v>
      </c>
      <c r="Q641" t="n">
        <v>1</v>
      </c>
      <c r="R641" s="2" t="inlineStr">
        <is>
          <t>Stuplav</t>
        </is>
      </c>
      <c r="S641">
        <f>HYPERLINK("https://klasma.github.io/Logging_ROBERTSFORS/artfynd/A 60833-2021.xlsx", "A 60833-2021")</f>
        <v/>
      </c>
      <c r="T641">
        <f>HYPERLINK("https://klasma.github.io/Logging_ROBERTSFORS/kartor/A 60833-2021.png", "A 60833-2021")</f>
        <v/>
      </c>
      <c r="V641">
        <f>HYPERLINK("https://klasma.github.io/Logging_ROBERTSFORS/klagomål/A 60833-2021.docx", "A 60833-2021")</f>
        <v/>
      </c>
      <c r="W641">
        <f>HYPERLINK("https://klasma.github.io/Logging_ROBERTSFORS/klagomålsmail/A 60833-2021.docx", "A 60833-2021")</f>
        <v/>
      </c>
      <c r="X641">
        <f>HYPERLINK("https://klasma.github.io/Logging_ROBERTSFORS/tillsyn/A 60833-2021.docx", "A 60833-2021")</f>
        <v/>
      </c>
      <c r="Y641">
        <f>HYPERLINK("https://klasma.github.io/Logging_ROBERTSFORS/tillsynsmail/A 60833-2021.docx", "A 60833-2021")</f>
        <v/>
      </c>
    </row>
    <row r="642" ht="15" customHeight="1">
      <c r="A642" t="inlineStr">
        <is>
          <t>A 61850-2021</t>
        </is>
      </c>
      <c r="B642" s="1" t="n">
        <v>44501</v>
      </c>
      <c r="C642" s="1" t="n">
        <v>45204</v>
      </c>
      <c r="D642" t="inlineStr">
        <is>
          <t>VÄSTERBOTTENS LÄN</t>
        </is>
      </c>
      <c r="E642" t="inlineStr">
        <is>
          <t>ÅSELE</t>
        </is>
      </c>
      <c r="F642" t="inlineStr">
        <is>
          <t>SCA</t>
        </is>
      </c>
      <c r="G642" t="n">
        <v>12.9</v>
      </c>
      <c r="H642" t="n">
        <v>0</v>
      </c>
      <c r="I642" t="n">
        <v>1</v>
      </c>
      <c r="J642" t="n">
        <v>0</v>
      </c>
      <c r="K642" t="n">
        <v>0</v>
      </c>
      <c r="L642" t="n">
        <v>0</v>
      </c>
      <c r="M642" t="n">
        <v>0</v>
      </c>
      <c r="N642" t="n">
        <v>0</v>
      </c>
      <c r="O642" t="n">
        <v>0</v>
      </c>
      <c r="P642" t="n">
        <v>0</v>
      </c>
      <c r="Q642" t="n">
        <v>1</v>
      </c>
      <c r="R642" s="2" t="inlineStr">
        <is>
          <t>Skinnlav</t>
        </is>
      </c>
      <c r="S642">
        <f>HYPERLINK("https://klasma.github.io/Logging_ASELE/artfynd/A 61850-2021.xlsx", "A 61850-2021")</f>
        <v/>
      </c>
      <c r="T642">
        <f>HYPERLINK("https://klasma.github.io/Logging_ASELE/kartor/A 61850-2021.png", "A 61850-2021")</f>
        <v/>
      </c>
      <c r="V642">
        <f>HYPERLINK("https://klasma.github.io/Logging_ASELE/klagomål/A 61850-2021.docx", "A 61850-2021")</f>
        <v/>
      </c>
      <c r="W642">
        <f>HYPERLINK("https://klasma.github.io/Logging_ASELE/klagomålsmail/A 61850-2021.docx", "A 61850-2021")</f>
        <v/>
      </c>
      <c r="X642">
        <f>HYPERLINK("https://klasma.github.io/Logging_ASELE/tillsyn/A 61850-2021.docx", "A 61850-2021")</f>
        <v/>
      </c>
      <c r="Y642">
        <f>HYPERLINK("https://klasma.github.io/Logging_ASELE/tillsynsmail/A 61850-2021.docx", "A 61850-2021")</f>
        <v/>
      </c>
    </row>
    <row r="643" ht="15" customHeight="1">
      <c r="A643" t="inlineStr">
        <is>
          <t>A 61658-2021</t>
        </is>
      </c>
      <c r="B643" s="1" t="n">
        <v>44501</v>
      </c>
      <c r="C643" s="1" t="n">
        <v>45204</v>
      </c>
      <c r="D643" t="inlineStr">
        <is>
          <t>VÄSTERBOTTENS LÄN</t>
        </is>
      </c>
      <c r="E643" t="inlineStr">
        <is>
          <t>SKELLEFTEÅ</t>
        </is>
      </c>
      <c r="F643" t="inlineStr">
        <is>
          <t>Sveaskog</t>
        </is>
      </c>
      <c r="G643" t="n">
        <v>16.3</v>
      </c>
      <c r="H643" t="n">
        <v>1</v>
      </c>
      <c r="I643" t="n">
        <v>0</v>
      </c>
      <c r="J643" t="n">
        <v>0</v>
      </c>
      <c r="K643" t="n">
        <v>0</v>
      </c>
      <c r="L643" t="n">
        <v>0</v>
      </c>
      <c r="M643" t="n">
        <v>0</v>
      </c>
      <c r="N643" t="n">
        <v>0</v>
      </c>
      <c r="O643" t="n">
        <v>0</v>
      </c>
      <c r="P643" t="n">
        <v>0</v>
      </c>
      <c r="Q643" t="n">
        <v>1</v>
      </c>
      <c r="R643" s="2" t="inlineStr">
        <is>
          <t>Revlummer</t>
        </is>
      </c>
      <c r="S643">
        <f>HYPERLINK("https://klasma.github.io/Logging_SKELLEFTEA/artfynd/A 61658-2021.xlsx", "A 61658-2021")</f>
        <v/>
      </c>
      <c r="T643">
        <f>HYPERLINK("https://klasma.github.io/Logging_SKELLEFTEA/kartor/A 61658-2021.png", "A 61658-2021")</f>
        <v/>
      </c>
      <c r="V643">
        <f>HYPERLINK("https://klasma.github.io/Logging_SKELLEFTEA/klagomål/A 61658-2021.docx", "A 61658-2021")</f>
        <v/>
      </c>
      <c r="W643">
        <f>HYPERLINK("https://klasma.github.io/Logging_SKELLEFTEA/klagomålsmail/A 61658-2021.docx", "A 61658-2021")</f>
        <v/>
      </c>
      <c r="X643">
        <f>HYPERLINK("https://klasma.github.io/Logging_SKELLEFTEA/tillsyn/A 61658-2021.docx", "A 61658-2021")</f>
        <v/>
      </c>
      <c r="Y643">
        <f>HYPERLINK("https://klasma.github.io/Logging_SKELLEFTEA/tillsynsmail/A 61658-2021.docx", "A 61658-2021")</f>
        <v/>
      </c>
    </row>
    <row r="644" ht="15" customHeight="1">
      <c r="A644" t="inlineStr">
        <is>
          <t>A 62436-2021</t>
        </is>
      </c>
      <c r="B644" s="1" t="n">
        <v>44503</v>
      </c>
      <c r="C644" s="1" t="n">
        <v>45204</v>
      </c>
      <c r="D644" t="inlineStr">
        <is>
          <t>VÄSTERBOTTENS LÄN</t>
        </is>
      </c>
      <c r="E644" t="inlineStr">
        <is>
          <t>SKELLEFTEÅ</t>
        </is>
      </c>
      <c r="F644" t="inlineStr">
        <is>
          <t>Holmen skog AB</t>
        </is>
      </c>
      <c r="G644" t="n">
        <v>19.5</v>
      </c>
      <c r="H644" t="n">
        <v>0</v>
      </c>
      <c r="I644" t="n">
        <v>0</v>
      </c>
      <c r="J644" t="n">
        <v>1</v>
      </c>
      <c r="K644" t="n">
        <v>0</v>
      </c>
      <c r="L644" t="n">
        <v>0</v>
      </c>
      <c r="M644" t="n">
        <v>0</v>
      </c>
      <c r="N644" t="n">
        <v>0</v>
      </c>
      <c r="O644" t="n">
        <v>1</v>
      </c>
      <c r="P644" t="n">
        <v>0</v>
      </c>
      <c r="Q644" t="n">
        <v>1</v>
      </c>
      <c r="R644" s="2" t="inlineStr">
        <is>
          <t>Lunglav</t>
        </is>
      </c>
      <c r="S644">
        <f>HYPERLINK("https://klasma.github.io/Logging_SKELLEFTEA/artfynd/A 62436-2021.xlsx", "A 62436-2021")</f>
        <v/>
      </c>
      <c r="T644">
        <f>HYPERLINK("https://klasma.github.io/Logging_SKELLEFTEA/kartor/A 62436-2021.png", "A 62436-2021")</f>
        <v/>
      </c>
      <c r="V644">
        <f>HYPERLINK("https://klasma.github.io/Logging_SKELLEFTEA/klagomål/A 62436-2021.docx", "A 62436-2021")</f>
        <v/>
      </c>
      <c r="W644">
        <f>HYPERLINK("https://klasma.github.io/Logging_SKELLEFTEA/klagomålsmail/A 62436-2021.docx", "A 62436-2021")</f>
        <v/>
      </c>
      <c r="X644">
        <f>HYPERLINK("https://klasma.github.io/Logging_SKELLEFTEA/tillsyn/A 62436-2021.docx", "A 62436-2021")</f>
        <v/>
      </c>
      <c r="Y644">
        <f>HYPERLINK("https://klasma.github.io/Logging_SKELLEFTEA/tillsynsmail/A 62436-2021.docx", "A 62436-2021")</f>
        <v/>
      </c>
    </row>
    <row r="645" ht="15" customHeight="1">
      <c r="A645" t="inlineStr">
        <is>
          <t>A 66924-2021</t>
        </is>
      </c>
      <c r="B645" s="1" t="n">
        <v>44522</v>
      </c>
      <c r="C645" s="1" t="n">
        <v>45204</v>
      </c>
      <c r="D645" t="inlineStr">
        <is>
          <t>VÄSTERBOTTENS LÄN</t>
        </is>
      </c>
      <c r="E645" t="inlineStr">
        <is>
          <t>VILHELMINA</t>
        </is>
      </c>
      <c r="F645" t="inlineStr">
        <is>
          <t>Allmännings- och besparingsskogar</t>
        </is>
      </c>
      <c r="G645" t="n">
        <v>335.4</v>
      </c>
      <c r="H645" t="n">
        <v>1</v>
      </c>
      <c r="I645" t="n">
        <v>0</v>
      </c>
      <c r="J645" t="n">
        <v>1</v>
      </c>
      <c r="K645" t="n">
        <v>0</v>
      </c>
      <c r="L645" t="n">
        <v>0</v>
      </c>
      <c r="M645" t="n">
        <v>0</v>
      </c>
      <c r="N645" t="n">
        <v>0</v>
      </c>
      <c r="O645" t="n">
        <v>1</v>
      </c>
      <c r="P645" t="n">
        <v>0</v>
      </c>
      <c r="Q645" t="n">
        <v>1</v>
      </c>
      <c r="R645" s="2" t="inlineStr">
        <is>
          <t>Utter</t>
        </is>
      </c>
      <c r="S645">
        <f>HYPERLINK("https://klasma.github.io/Logging_VILHELMINA/artfynd/A 66924-2021.xlsx", "A 66924-2021")</f>
        <v/>
      </c>
      <c r="T645">
        <f>HYPERLINK("https://klasma.github.io/Logging_VILHELMINA/kartor/A 66924-2021.png", "A 66924-2021")</f>
        <v/>
      </c>
      <c r="V645">
        <f>HYPERLINK("https://klasma.github.io/Logging_VILHELMINA/klagomål/A 66924-2021.docx", "A 66924-2021")</f>
        <v/>
      </c>
      <c r="W645">
        <f>HYPERLINK("https://klasma.github.io/Logging_VILHELMINA/klagomålsmail/A 66924-2021.docx", "A 66924-2021")</f>
        <v/>
      </c>
      <c r="X645">
        <f>HYPERLINK("https://klasma.github.io/Logging_VILHELMINA/tillsyn/A 66924-2021.docx", "A 66924-2021")</f>
        <v/>
      </c>
      <c r="Y645">
        <f>HYPERLINK("https://klasma.github.io/Logging_VILHELMINA/tillsynsmail/A 66924-2021.docx", "A 66924-2021")</f>
        <v/>
      </c>
    </row>
    <row r="646" ht="15" customHeight="1">
      <c r="A646" t="inlineStr">
        <is>
          <t>A 68783-2021</t>
        </is>
      </c>
      <c r="B646" s="1" t="n">
        <v>44529</v>
      </c>
      <c r="C646" s="1" t="n">
        <v>45204</v>
      </c>
      <c r="D646" t="inlineStr">
        <is>
          <t>VÄSTERBOTTENS LÄN</t>
        </is>
      </c>
      <c r="E646" t="inlineStr">
        <is>
          <t>VILHELMINA</t>
        </is>
      </c>
      <c r="F646" t="inlineStr">
        <is>
          <t>SCA</t>
        </is>
      </c>
      <c r="G646" t="n">
        <v>7.3</v>
      </c>
      <c r="H646" t="n">
        <v>1</v>
      </c>
      <c r="I646" t="n">
        <v>0</v>
      </c>
      <c r="J646" t="n">
        <v>1</v>
      </c>
      <c r="K646" t="n">
        <v>0</v>
      </c>
      <c r="L646" t="n">
        <v>0</v>
      </c>
      <c r="M646" t="n">
        <v>0</v>
      </c>
      <c r="N646" t="n">
        <v>0</v>
      </c>
      <c r="O646" t="n">
        <v>1</v>
      </c>
      <c r="P646" t="n">
        <v>0</v>
      </c>
      <c r="Q646" t="n">
        <v>1</v>
      </c>
      <c r="R646" s="2" t="inlineStr">
        <is>
          <t>Tretåig hackspett</t>
        </is>
      </c>
      <c r="S646">
        <f>HYPERLINK("https://klasma.github.io/Logging_VILHELMINA/artfynd/A 68783-2021.xlsx", "A 68783-2021")</f>
        <v/>
      </c>
      <c r="T646">
        <f>HYPERLINK("https://klasma.github.io/Logging_VILHELMINA/kartor/A 68783-2021.png", "A 68783-2021")</f>
        <v/>
      </c>
      <c r="V646">
        <f>HYPERLINK("https://klasma.github.io/Logging_VILHELMINA/klagomål/A 68783-2021.docx", "A 68783-2021")</f>
        <v/>
      </c>
      <c r="W646">
        <f>HYPERLINK("https://klasma.github.io/Logging_VILHELMINA/klagomålsmail/A 68783-2021.docx", "A 68783-2021")</f>
        <v/>
      </c>
      <c r="X646">
        <f>HYPERLINK("https://klasma.github.io/Logging_VILHELMINA/tillsyn/A 68783-2021.docx", "A 68783-2021")</f>
        <v/>
      </c>
      <c r="Y646">
        <f>HYPERLINK("https://klasma.github.io/Logging_VILHELMINA/tillsynsmail/A 68783-2021.docx", "A 68783-2021")</f>
        <v/>
      </c>
    </row>
    <row r="647" ht="15" customHeight="1">
      <c r="A647" t="inlineStr">
        <is>
          <t>A 69545-2021</t>
        </is>
      </c>
      <c r="B647" s="1" t="n">
        <v>44531</v>
      </c>
      <c r="C647" s="1" t="n">
        <v>45204</v>
      </c>
      <c r="D647" t="inlineStr">
        <is>
          <t>VÄSTERBOTTENS LÄN</t>
        </is>
      </c>
      <c r="E647" t="inlineStr">
        <is>
          <t>VILHELMINA</t>
        </is>
      </c>
      <c r="F647" t="inlineStr">
        <is>
          <t>SCA</t>
        </is>
      </c>
      <c r="G647" t="n">
        <v>3.8</v>
      </c>
      <c r="H647" t="n">
        <v>0</v>
      </c>
      <c r="I647" t="n">
        <v>1</v>
      </c>
      <c r="J647" t="n">
        <v>0</v>
      </c>
      <c r="K647" t="n">
        <v>0</v>
      </c>
      <c r="L647" t="n">
        <v>0</v>
      </c>
      <c r="M647" t="n">
        <v>0</v>
      </c>
      <c r="N647" t="n">
        <v>0</v>
      </c>
      <c r="O647" t="n">
        <v>0</v>
      </c>
      <c r="P647" t="n">
        <v>0</v>
      </c>
      <c r="Q647" t="n">
        <v>1</v>
      </c>
      <c r="R647" s="2" t="inlineStr">
        <is>
          <t>Norrlandslav</t>
        </is>
      </c>
      <c r="S647">
        <f>HYPERLINK("https://klasma.github.io/Logging_VILHELMINA/artfynd/A 69545-2021.xlsx", "A 69545-2021")</f>
        <v/>
      </c>
      <c r="T647">
        <f>HYPERLINK("https://klasma.github.io/Logging_VILHELMINA/kartor/A 69545-2021.png", "A 69545-2021")</f>
        <v/>
      </c>
      <c r="V647">
        <f>HYPERLINK("https://klasma.github.io/Logging_VILHELMINA/klagomål/A 69545-2021.docx", "A 69545-2021")</f>
        <v/>
      </c>
      <c r="W647">
        <f>HYPERLINK("https://klasma.github.io/Logging_VILHELMINA/klagomålsmail/A 69545-2021.docx", "A 69545-2021")</f>
        <v/>
      </c>
      <c r="X647">
        <f>HYPERLINK("https://klasma.github.io/Logging_VILHELMINA/tillsyn/A 69545-2021.docx", "A 69545-2021")</f>
        <v/>
      </c>
      <c r="Y647">
        <f>HYPERLINK("https://klasma.github.io/Logging_VILHELMINA/tillsynsmail/A 69545-2021.docx", "A 69545-2021")</f>
        <v/>
      </c>
    </row>
    <row r="648" ht="15" customHeight="1">
      <c r="A648" t="inlineStr">
        <is>
          <t>A 69915-2021</t>
        </is>
      </c>
      <c r="B648" s="1" t="n">
        <v>44532</v>
      </c>
      <c r="C648" s="1" t="n">
        <v>45204</v>
      </c>
      <c r="D648" t="inlineStr">
        <is>
          <t>VÄSTERBOTTENS LÄN</t>
        </is>
      </c>
      <c r="E648" t="inlineStr">
        <is>
          <t>VILHELMINA</t>
        </is>
      </c>
      <c r="F648" t="inlineStr">
        <is>
          <t>SCA</t>
        </is>
      </c>
      <c r="G648" t="n">
        <v>3</v>
      </c>
      <c r="H648" t="n">
        <v>1</v>
      </c>
      <c r="I648" t="n">
        <v>0</v>
      </c>
      <c r="J648" t="n">
        <v>1</v>
      </c>
      <c r="K648" t="n">
        <v>0</v>
      </c>
      <c r="L648" t="n">
        <v>0</v>
      </c>
      <c r="M648" t="n">
        <v>0</v>
      </c>
      <c r="N648" t="n">
        <v>0</v>
      </c>
      <c r="O648" t="n">
        <v>1</v>
      </c>
      <c r="P648" t="n">
        <v>0</v>
      </c>
      <c r="Q648" t="n">
        <v>1</v>
      </c>
      <c r="R648" s="2" t="inlineStr">
        <is>
          <t>Tretåig hackspett</t>
        </is>
      </c>
      <c r="S648">
        <f>HYPERLINK("https://klasma.github.io/Logging_VILHELMINA/artfynd/A 69915-2021.xlsx", "A 69915-2021")</f>
        <v/>
      </c>
      <c r="T648">
        <f>HYPERLINK("https://klasma.github.io/Logging_VILHELMINA/kartor/A 69915-2021.png", "A 69915-2021")</f>
        <v/>
      </c>
      <c r="V648">
        <f>HYPERLINK("https://klasma.github.io/Logging_VILHELMINA/klagomål/A 69915-2021.docx", "A 69915-2021")</f>
        <v/>
      </c>
      <c r="W648">
        <f>HYPERLINK("https://klasma.github.io/Logging_VILHELMINA/klagomålsmail/A 69915-2021.docx", "A 69915-2021")</f>
        <v/>
      </c>
      <c r="X648">
        <f>HYPERLINK("https://klasma.github.io/Logging_VILHELMINA/tillsyn/A 69915-2021.docx", "A 69915-2021")</f>
        <v/>
      </c>
      <c r="Y648">
        <f>HYPERLINK("https://klasma.github.io/Logging_VILHELMINA/tillsynsmail/A 69915-2021.docx", "A 69915-2021")</f>
        <v/>
      </c>
    </row>
    <row r="649" ht="15" customHeight="1">
      <c r="A649" t="inlineStr">
        <is>
          <t>A 72939-2021</t>
        </is>
      </c>
      <c r="B649" s="1" t="n">
        <v>44547</v>
      </c>
      <c r="C649" s="1" t="n">
        <v>45204</v>
      </c>
      <c r="D649" t="inlineStr">
        <is>
          <t>VÄSTERBOTTENS LÄN</t>
        </is>
      </c>
      <c r="E649" t="inlineStr">
        <is>
          <t>SKELLEFTEÅ</t>
        </is>
      </c>
      <c r="G649" t="n">
        <v>14.8</v>
      </c>
      <c r="H649" t="n">
        <v>0</v>
      </c>
      <c r="I649" t="n">
        <v>1</v>
      </c>
      <c r="J649" t="n">
        <v>0</v>
      </c>
      <c r="K649" t="n">
        <v>0</v>
      </c>
      <c r="L649" t="n">
        <v>0</v>
      </c>
      <c r="M649" t="n">
        <v>0</v>
      </c>
      <c r="N649" t="n">
        <v>0</v>
      </c>
      <c r="O649" t="n">
        <v>0</v>
      </c>
      <c r="P649" t="n">
        <v>0</v>
      </c>
      <c r="Q649" t="n">
        <v>1</v>
      </c>
      <c r="R649" s="2" t="inlineStr">
        <is>
          <t>Dropptaggsvamp</t>
        </is>
      </c>
      <c r="S649">
        <f>HYPERLINK("https://klasma.github.io/Logging_SKELLEFTEA/artfynd/A 72939-2021.xlsx", "A 72939-2021")</f>
        <v/>
      </c>
      <c r="T649">
        <f>HYPERLINK("https://klasma.github.io/Logging_SKELLEFTEA/kartor/A 72939-2021.png", "A 72939-2021")</f>
        <v/>
      </c>
      <c r="V649">
        <f>HYPERLINK("https://klasma.github.io/Logging_SKELLEFTEA/klagomål/A 72939-2021.docx", "A 72939-2021")</f>
        <v/>
      </c>
      <c r="W649">
        <f>HYPERLINK("https://klasma.github.io/Logging_SKELLEFTEA/klagomålsmail/A 72939-2021.docx", "A 72939-2021")</f>
        <v/>
      </c>
      <c r="X649">
        <f>HYPERLINK("https://klasma.github.io/Logging_SKELLEFTEA/tillsyn/A 72939-2021.docx", "A 72939-2021")</f>
        <v/>
      </c>
      <c r="Y649">
        <f>HYPERLINK("https://klasma.github.io/Logging_SKELLEFTEA/tillsynsmail/A 72939-2021.docx", "A 72939-2021")</f>
        <v/>
      </c>
    </row>
    <row r="650" ht="15" customHeight="1">
      <c r="A650" t="inlineStr">
        <is>
          <t>A 74395-2021</t>
        </is>
      </c>
      <c r="B650" s="1" t="n">
        <v>44560</v>
      </c>
      <c r="C650" s="1" t="n">
        <v>45204</v>
      </c>
      <c r="D650" t="inlineStr">
        <is>
          <t>VÄSTERBOTTENS LÄN</t>
        </is>
      </c>
      <c r="E650" t="inlineStr">
        <is>
          <t>VILHELMINA</t>
        </is>
      </c>
      <c r="G650" t="n">
        <v>37.6</v>
      </c>
      <c r="H650" t="n">
        <v>1</v>
      </c>
      <c r="I650" t="n">
        <v>0</v>
      </c>
      <c r="J650" t="n">
        <v>1</v>
      </c>
      <c r="K650" t="n">
        <v>0</v>
      </c>
      <c r="L650" t="n">
        <v>0</v>
      </c>
      <c r="M650" t="n">
        <v>0</v>
      </c>
      <c r="N650" t="n">
        <v>0</v>
      </c>
      <c r="O650" t="n">
        <v>1</v>
      </c>
      <c r="P650" t="n">
        <v>0</v>
      </c>
      <c r="Q650" t="n">
        <v>1</v>
      </c>
      <c r="R650" s="2" t="inlineStr">
        <is>
          <t>Tretåig hackspett</t>
        </is>
      </c>
      <c r="S650">
        <f>HYPERLINK("https://klasma.github.io/Logging_VILHELMINA/artfynd/A 74395-2021.xlsx", "A 74395-2021")</f>
        <v/>
      </c>
      <c r="T650">
        <f>HYPERLINK("https://klasma.github.io/Logging_VILHELMINA/kartor/A 74395-2021.png", "A 74395-2021")</f>
        <v/>
      </c>
      <c r="V650">
        <f>HYPERLINK("https://klasma.github.io/Logging_VILHELMINA/klagomål/A 74395-2021.docx", "A 74395-2021")</f>
        <v/>
      </c>
      <c r="W650">
        <f>HYPERLINK("https://klasma.github.io/Logging_VILHELMINA/klagomålsmail/A 74395-2021.docx", "A 74395-2021")</f>
        <v/>
      </c>
      <c r="X650">
        <f>HYPERLINK("https://klasma.github.io/Logging_VILHELMINA/tillsyn/A 74395-2021.docx", "A 74395-2021")</f>
        <v/>
      </c>
      <c r="Y650">
        <f>HYPERLINK("https://klasma.github.io/Logging_VILHELMINA/tillsynsmail/A 74395-2021.docx", "A 74395-2021")</f>
        <v/>
      </c>
    </row>
    <row r="651" ht="15" customHeight="1">
      <c r="A651" t="inlineStr">
        <is>
          <t>A 9073-2022</t>
        </is>
      </c>
      <c r="B651" s="1" t="n">
        <v>44615</v>
      </c>
      <c r="C651" s="1" t="n">
        <v>45204</v>
      </c>
      <c r="D651" t="inlineStr">
        <is>
          <t>VÄSTERBOTTENS LÄN</t>
        </is>
      </c>
      <c r="E651" t="inlineStr">
        <is>
          <t>LYCKSELE</t>
        </is>
      </c>
      <c r="G651" t="n">
        <v>3</v>
      </c>
      <c r="H651" t="n">
        <v>1</v>
      </c>
      <c r="I651" t="n">
        <v>0</v>
      </c>
      <c r="J651" t="n">
        <v>1</v>
      </c>
      <c r="K651" t="n">
        <v>0</v>
      </c>
      <c r="L651" t="n">
        <v>0</v>
      </c>
      <c r="M651" t="n">
        <v>0</v>
      </c>
      <c r="N651" t="n">
        <v>0</v>
      </c>
      <c r="O651" t="n">
        <v>1</v>
      </c>
      <c r="P651" t="n">
        <v>0</v>
      </c>
      <c r="Q651" t="n">
        <v>1</v>
      </c>
      <c r="R651" s="2" t="inlineStr">
        <is>
          <t>Utter</t>
        </is>
      </c>
      <c r="S651">
        <f>HYPERLINK("https://klasma.github.io/Logging_LYCKSELE/artfynd/A 9073-2022.xlsx", "A 9073-2022")</f>
        <v/>
      </c>
      <c r="T651">
        <f>HYPERLINK("https://klasma.github.io/Logging_LYCKSELE/kartor/A 9073-2022.png", "A 9073-2022")</f>
        <v/>
      </c>
      <c r="V651">
        <f>HYPERLINK("https://klasma.github.io/Logging_LYCKSELE/klagomål/A 9073-2022.docx", "A 9073-2022")</f>
        <v/>
      </c>
      <c r="W651">
        <f>HYPERLINK("https://klasma.github.io/Logging_LYCKSELE/klagomålsmail/A 9073-2022.docx", "A 9073-2022")</f>
        <v/>
      </c>
      <c r="X651">
        <f>HYPERLINK("https://klasma.github.io/Logging_LYCKSELE/tillsyn/A 9073-2022.docx", "A 9073-2022")</f>
        <v/>
      </c>
      <c r="Y651">
        <f>HYPERLINK("https://klasma.github.io/Logging_LYCKSELE/tillsynsmail/A 9073-2022.docx", "A 9073-2022")</f>
        <v/>
      </c>
    </row>
    <row r="652" ht="15" customHeight="1">
      <c r="A652" t="inlineStr">
        <is>
          <t>A 11502-2022</t>
        </is>
      </c>
      <c r="B652" s="1" t="n">
        <v>44631</v>
      </c>
      <c r="C652" s="1" t="n">
        <v>45204</v>
      </c>
      <c r="D652" t="inlineStr">
        <is>
          <t>VÄSTERBOTTENS LÄN</t>
        </is>
      </c>
      <c r="E652" t="inlineStr">
        <is>
          <t>UMEÅ</t>
        </is>
      </c>
      <c r="F652" t="inlineStr">
        <is>
          <t>Kommuner</t>
        </is>
      </c>
      <c r="G652" t="n">
        <v>1.8</v>
      </c>
      <c r="H652" t="n">
        <v>0</v>
      </c>
      <c r="I652" t="n">
        <v>0</v>
      </c>
      <c r="J652" t="n">
        <v>1</v>
      </c>
      <c r="K652" t="n">
        <v>0</v>
      </c>
      <c r="L652" t="n">
        <v>0</v>
      </c>
      <c r="M652" t="n">
        <v>0</v>
      </c>
      <c r="N652" t="n">
        <v>0</v>
      </c>
      <c r="O652" t="n">
        <v>1</v>
      </c>
      <c r="P652" t="n">
        <v>0</v>
      </c>
      <c r="Q652" t="n">
        <v>1</v>
      </c>
      <c r="R652" s="2" t="inlineStr">
        <is>
          <t>Violettgrå tagellav</t>
        </is>
      </c>
      <c r="S652">
        <f>HYPERLINK("https://klasma.github.io/Logging_UMEA/artfynd/A 11502-2022.xlsx", "A 11502-2022")</f>
        <v/>
      </c>
      <c r="T652">
        <f>HYPERLINK("https://klasma.github.io/Logging_UMEA/kartor/A 11502-2022.png", "A 11502-2022")</f>
        <v/>
      </c>
      <c r="V652">
        <f>HYPERLINK("https://klasma.github.io/Logging_UMEA/klagomål/A 11502-2022.docx", "A 11502-2022")</f>
        <v/>
      </c>
      <c r="W652">
        <f>HYPERLINK("https://klasma.github.io/Logging_UMEA/klagomålsmail/A 11502-2022.docx", "A 11502-2022")</f>
        <v/>
      </c>
      <c r="X652">
        <f>HYPERLINK("https://klasma.github.io/Logging_UMEA/tillsyn/A 11502-2022.docx", "A 11502-2022")</f>
        <v/>
      </c>
      <c r="Y652">
        <f>HYPERLINK("https://klasma.github.io/Logging_UMEA/tillsynsmail/A 11502-2022.docx", "A 11502-2022")</f>
        <v/>
      </c>
    </row>
    <row r="653" ht="15" customHeight="1">
      <c r="A653" t="inlineStr">
        <is>
          <t>A 14277-2022</t>
        </is>
      </c>
      <c r="B653" s="1" t="n">
        <v>44651</v>
      </c>
      <c r="C653" s="1" t="n">
        <v>45204</v>
      </c>
      <c r="D653" t="inlineStr">
        <is>
          <t>VÄSTERBOTTENS LÄN</t>
        </is>
      </c>
      <c r="E653" t="inlineStr">
        <is>
          <t>SKELLEFTEÅ</t>
        </is>
      </c>
      <c r="G653" t="n">
        <v>7.4</v>
      </c>
      <c r="H653" t="n">
        <v>1</v>
      </c>
      <c r="I653" t="n">
        <v>0</v>
      </c>
      <c r="J653" t="n">
        <v>0</v>
      </c>
      <c r="K653" t="n">
        <v>0</v>
      </c>
      <c r="L653" t="n">
        <v>0</v>
      </c>
      <c r="M653" t="n">
        <v>0</v>
      </c>
      <c r="N653" t="n">
        <v>0</v>
      </c>
      <c r="O653" t="n">
        <v>0</v>
      </c>
      <c r="P653" t="n">
        <v>0</v>
      </c>
      <c r="Q653" t="n">
        <v>1</v>
      </c>
      <c r="R653" s="2" t="inlineStr">
        <is>
          <t>Fläcknycklar</t>
        </is>
      </c>
      <c r="S653">
        <f>HYPERLINK("https://klasma.github.io/Logging_SKELLEFTEA/artfynd/A 14277-2022.xlsx", "A 14277-2022")</f>
        <v/>
      </c>
      <c r="T653">
        <f>HYPERLINK("https://klasma.github.io/Logging_SKELLEFTEA/kartor/A 14277-2022.png", "A 14277-2022")</f>
        <v/>
      </c>
      <c r="V653">
        <f>HYPERLINK("https://klasma.github.io/Logging_SKELLEFTEA/klagomål/A 14277-2022.docx", "A 14277-2022")</f>
        <v/>
      </c>
      <c r="W653">
        <f>HYPERLINK("https://klasma.github.io/Logging_SKELLEFTEA/klagomålsmail/A 14277-2022.docx", "A 14277-2022")</f>
        <v/>
      </c>
      <c r="X653">
        <f>HYPERLINK("https://klasma.github.io/Logging_SKELLEFTEA/tillsyn/A 14277-2022.docx", "A 14277-2022")</f>
        <v/>
      </c>
      <c r="Y653">
        <f>HYPERLINK("https://klasma.github.io/Logging_SKELLEFTEA/tillsynsmail/A 14277-2022.docx", "A 14277-2022")</f>
        <v/>
      </c>
    </row>
    <row r="654" ht="15" customHeight="1">
      <c r="A654" t="inlineStr">
        <is>
          <t>A 16145-2022</t>
        </is>
      </c>
      <c r="B654" s="1" t="n">
        <v>44665</v>
      </c>
      <c r="C654" s="1" t="n">
        <v>45204</v>
      </c>
      <c r="D654" t="inlineStr">
        <is>
          <t>VÄSTERBOTTENS LÄN</t>
        </is>
      </c>
      <c r="E654" t="inlineStr">
        <is>
          <t>BJURHOLM</t>
        </is>
      </c>
      <c r="F654" t="inlineStr">
        <is>
          <t>SCA</t>
        </is>
      </c>
      <c r="G654" t="n">
        <v>5.9</v>
      </c>
      <c r="H654" t="n">
        <v>0</v>
      </c>
      <c r="I654" t="n">
        <v>1</v>
      </c>
      <c r="J654" t="n">
        <v>0</v>
      </c>
      <c r="K654" t="n">
        <v>0</v>
      </c>
      <c r="L654" t="n">
        <v>0</v>
      </c>
      <c r="M654" t="n">
        <v>0</v>
      </c>
      <c r="N654" t="n">
        <v>0</v>
      </c>
      <c r="O654" t="n">
        <v>0</v>
      </c>
      <c r="P654" t="n">
        <v>0</v>
      </c>
      <c r="Q654" t="n">
        <v>1</v>
      </c>
      <c r="R654" s="2" t="inlineStr">
        <is>
          <t>Stor aspticka</t>
        </is>
      </c>
      <c r="S654">
        <f>HYPERLINK("https://klasma.github.io/Logging_BJURHOLM/artfynd/A 16145-2022.xlsx", "A 16145-2022")</f>
        <v/>
      </c>
      <c r="T654">
        <f>HYPERLINK("https://klasma.github.io/Logging_BJURHOLM/kartor/A 16145-2022.png", "A 16145-2022")</f>
        <v/>
      </c>
      <c r="V654">
        <f>HYPERLINK("https://klasma.github.io/Logging_BJURHOLM/klagomål/A 16145-2022.docx", "A 16145-2022")</f>
        <v/>
      </c>
      <c r="W654">
        <f>HYPERLINK("https://klasma.github.io/Logging_BJURHOLM/klagomålsmail/A 16145-2022.docx", "A 16145-2022")</f>
        <v/>
      </c>
      <c r="X654">
        <f>HYPERLINK("https://klasma.github.io/Logging_BJURHOLM/tillsyn/A 16145-2022.docx", "A 16145-2022")</f>
        <v/>
      </c>
      <c r="Y654">
        <f>HYPERLINK("https://klasma.github.io/Logging_BJURHOLM/tillsynsmail/A 16145-2022.docx", "A 16145-2022")</f>
        <v/>
      </c>
    </row>
    <row r="655" ht="15" customHeight="1">
      <c r="A655" t="inlineStr">
        <is>
          <t>A 16839-2022</t>
        </is>
      </c>
      <c r="B655" s="1" t="n">
        <v>44673</v>
      </c>
      <c r="C655" s="1" t="n">
        <v>45204</v>
      </c>
      <c r="D655" t="inlineStr">
        <is>
          <t>VÄSTERBOTTENS LÄN</t>
        </is>
      </c>
      <c r="E655" t="inlineStr">
        <is>
          <t>UMEÅ</t>
        </is>
      </c>
      <c r="G655" t="n">
        <v>3</v>
      </c>
      <c r="H655" t="n">
        <v>1</v>
      </c>
      <c r="I655" t="n">
        <v>0</v>
      </c>
      <c r="J655" t="n">
        <v>1</v>
      </c>
      <c r="K655" t="n">
        <v>0</v>
      </c>
      <c r="L655" t="n">
        <v>0</v>
      </c>
      <c r="M655" t="n">
        <v>0</v>
      </c>
      <c r="N655" t="n">
        <v>0</v>
      </c>
      <c r="O655" t="n">
        <v>1</v>
      </c>
      <c r="P655" t="n">
        <v>0</v>
      </c>
      <c r="Q655" t="n">
        <v>1</v>
      </c>
      <c r="R655" s="2" t="inlineStr">
        <is>
          <t>Kråka</t>
        </is>
      </c>
      <c r="S655">
        <f>HYPERLINK("https://klasma.github.io/Logging_UMEA/artfynd/A 16839-2022.xlsx", "A 16839-2022")</f>
        <v/>
      </c>
      <c r="T655">
        <f>HYPERLINK("https://klasma.github.io/Logging_UMEA/kartor/A 16839-2022.png", "A 16839-2022")</f>
        <v/>
      </c>
      <c r="V655">
        <f>HYPERLINK("https://klasma.github.io/Logging_UMEA/klagomål/A 16839-2022.docx", "A 16839-2022")</f>
        <v/>
      </c>
      <c r="W655">
        <f>HYPERLINK("https://klasma.github.io/Logging_UMEA/klagomålsmail/A 16839-2022.docx", "A 16839-2022")</f>
        <v/>
      </c>
      <c r="X655">
        <f>HYPERLINK("https://klasma.github.io/Logging_UMEA/tillsyn/A 16839-2022.docx", "A 16839-2022")</f>
        <v/>
      </c>
      <c r="Y655">
        <f>HYPERLINK("https://klasma.github.io/Logging_UMEA/tillsynsmail/A 16839-2022.docx", "A 16839-2022")</f>
        <v/>
      </c>
    </row>
    <row r="656" ht="15" customHeight="1">
      <c r="A656" t="inlineStr">
        <is>
          <t>A 17336-2022</t>
        </is>
      </c>
      <c r="B656" s="1" t="n">
        <v>44678</v>
      </c>
      <c r="C656" s="1" t="n">
        <v>45204</v>
      </c>
      <c r="D656" t="inlineStr">
        <is>
          <t>VÄSTERBOTTENS LÄN</t>
        </is>
      </c>
      <c r="E656" t="inlineStr">
        <is>
          <t>SKELLEFTEÅ</t>
        </is>
      </c>
      <c r="G656" t="n">
        <v>0.5</v>
      </c>
      <c r="H656" t="n">
        <v>0</v>
      </c>
      <c r="I656" t="n">
        <v>0</v>
      </c>
      <c r="J656" t="n">
        <v>1</v>
      </c>
      <c r="K656" t="n">
        <v>0</v>
      </c>
      <c r="L656" t="n">
        <v>0</v>
      </c>
      <c r="M656" t="n">
        <v>0</v>
      </c>
      <c r="N656" t="n">
        <v>0</v>
      </c>
      <c r="O656" t="n">
        <v>1</v>
      </c>
      <c r="P656" t="n">
        <v>0</v>
      </c>
      <c r="Q656" t="n">
        <v>1</v>
      </c>
      <c r="R656" s="2" t="inlineStr">
        <is>
          <t>Doftskinn</t>
        </is>
      </c>
      <c r="S656">
        <f>HYPERLINK("https://klasma.github.io/Logging_SKELLEFTEA/artfynd/A 17336-2022.xlsx", "A 17336-2022")</f>
        <v/>
      </c>
      <c r="T656">
        <f>HYPERLINK("https://klasma.github.io/Logging_SKELLEFTEA/kartor/A 17336-2022.png", "A 17336-2022")</f>
        <v/>
      </c>
      <c r="V656">
        <f>HYPERLINK("https://klasma.github.io/Logging_SKELLEFTEA/klagomål/A 17336-2022.docx", "A 17336-2022")</f>
        <v/>
      </c>
      <c r="W656">
        <f>HYPERLINK("https://klasma.github.io/Logging_SKELLEFTEA/klagomålsmail/A 17336-2022.docx", "A 17336-2022")</f>
        <v/>
      </c>
      <c r="X656">
        <f>HYPERLINK("https://klasma.github.io/Logging_SKELLEFTEA/tillsyn/A 17336-2022.docx", "A 17336-2022")</f>
        <v/>
      </c>
      <c r="Y656">
        <f>HYPERLINK("https://klasma.github.io/Logging_SKELLEFTEA/tillsynsmail/A 17336-2022.docx", "A 17336-2022")</f>
        <v/>
      </c>
    </row>
    <row r="657" ht="15" customHeight="1">
      <c r="A657" t="inlineStr">
        <is>
          <t>A 20434-2022</t>
        </is>
      </c>
      <c r="B657" s="1" t="n">
        <v>44699</v>
      </c>
      <c r="C657" s="1" t="n">
        <v>45204</v>
      </c>
      <c r="D657" t="inlineStr">
        <is>
          <t>VÄSTERBOTTENS LÄN</t>
        </is>
      </c>
      <c r="E657" t="inlineStr">
        <is>
          <t>STORUMAN</t>
        </is>
      </c>
      <c r="G657" t="n">
        <v>5.6</v>
      </c>
      <c r="H657" t="n">
        <v>1</v>
      </c>
      <c r="I657" t="n">
        <v>0</v>
      </c>
      <c r="J657" t="n">
        <v>0</v>
      </c>
      <c r="K657" t="n">
        <v>1</v>
      </c>
      <c r="L657" t="n">
        <v>0</v>
      </c>
      <c r="M657" t="n">
        <v>0</v>
      </c>
      <c r="N657" t="n">
        <v>0</v>
      </c>
      <c r="O657" t="n">
        <v>1</v>
      </c>
      <c r="P657" t="n">
        <v>1</v>
      </c>
      <c r="Q657" t="n">
        <v>1</v>
      </c>
      <c r="R657" s="2" t="inlineStr">
        <is>
          <t>Knärot</t>
        </is>
      </c>
      <c r="S657">
        <f>HYPERLINK("https://klasma.github.io/Logging_STORUMAN/artfynd/A 20434-2022.xlsx", "A 20434-2022")</f>
        <v/>
      </c>
      <c r="T657">
        <f>HYPERLINK("https://klasma.github.io/Logging_STORUMAN/kartor/A 20434-2022.png", "A 20434-2022")</f>
        <v/>
      </c>
      <c r="U657">
        <f>HYPERLINK("https://klasma.github.io/Logging_STORUMAN/knärot/A 20434-2022.png", "A 20434-2022")</f>
        <v/>
      </c>
      <c r="V657">
        <f>HYPERLINK("https://klasma.github.io/Logging_STORUMAN/klagomål/A 20434-2022.docx", "A 20434-2022")</f>
        <v/>
      </c>
      <c r="W657">
        <f>HYPERLINK("https://klasma.github.io/Logging_STORUMAN/klagomålsmail/A 20434-2022.docx", "A 20434-2022")</f>
        <v/>
      </c>
      <c r="X657">
        <f>HYPERLINK("https://klasma.github.io/Logging_STORUMAN/tillsyn/A 20434-2022.docx", "A 20434-2022")</f>
        <v/>
      </c>
      <c r="Y657">
        <f>HYPERLINK("https://klasma.github.io/Logging_STORUMAN/tillsynsmail/A 20434-2022.docx", "A 20434-2022")</f>
        <v/>
      </c>
    </row>
    <row r="658" ht="15" customHeight="1">
      <c r="A658" t="inlineStr">
        <is>
          <t>A 23035-2022</t>
        </is>
      </c>
      <c r="B658" s="1" t="n">
        <v>44715</v>
      </c>
      <c r="C658" s="1" t="n">
        <v>45204</v>
      </c>
      <c r="D658" t="inlineStr">
        <is>
          <t>VÄSTERBOTTENS LÄN</t>
        </is>
      </c>
      <c r="E658" t="inlineStr">
        <is>
          <t>UMEÅ</t>
        </is>
      </c>
      <c r="G658" t="n">
        <v>1.2</v>
      </c>
      <c r="H658" t="n">
        <v>0</v>
      </c>
      <c r="I658" t="n">
        <v>0</v>
      </c>
      <c r="J658" t="n">
        <v>1</v>
      </c>
      <c r="K658" t="n">
        <v>0</v>
      </c>
      <c r="L658" t="n">
        <v>0</v>
      </c>
      <c r="M658" t="n">
        <v>0</v>
      </c>
      <c r="N658" t="n">
        <v>0</v>
      </c>
      <c r="O658" t="n">
        <v>1</v>
      </c>
      <c r="P658" t="n">
        <v>0</v>
      </c>
      <c r="Q658" t="n">
        <v>1</v>
      </c>
      <c r="R658" s="2" t="inlineStr">
        <is>
          <t>Granticka</t>
        </is>
      </c>
      <c r="S658">
        <f>HYPERLINK("https://klasma.github.io/Logging_UMEA/artfynd/A 23035-2022.xlsx", "A 23035-2022")</f>
        <v/>
      </c>
      <c r="T658">
        <f>HYPERLINK("https://klasma.github.io/Logging_UMEA/kartor/A 23035-2022.png", "A 23035-2022")</f>
        <v/>
      </c>
      <c r="V658">
        <f>HYPERLINK("https://klasma.github.io/Logging_UMEA/klagomål/A 23035-2022.docx", "A 23035-2022")</f>
        <v/>
      </c>
      <c r="W658">
        <f>HYPERLINK("https://klasma.github.io/Logging_UMEA/klagomålsmail/A 23035-2022.docx", "A 23035-2022")</f>
        <v/>
      </c>
      <c r="X658">
        <f>HYPERLINK("https://klasma.github.io/Logging_UMEA/tillsyn/A 23035-2022.docx", "A 23035-2022")</f>
        <v/>
      </c>
      <c r="Y658">
        <f>HYPERLINK("https://klasma.github.io/Logging_UMEA/tillsynsmail/A 23035-2022.docx", "A 23035-2022")</f>
        <v/>
      </c>
    </row>
    <row r="659" ht="15" customHeight="1">
      <c r="A659" t="inlineStr">
        <is>
          <t>A 23232-2022</t>
        </is>
      </c>
      <c r="B659" s="1" t="n">
        <v>44719</v>
      </c>
      <c r="C659" s="1" t="n">
        <v>45204</v>
      </c>
      <c r="D659" t="inlineStr">
        <is>
          <t>VÄSTERBOTTENS LÄN</t>
        </is>
      </c>
      <c r="E659" t="inlineStr">
        <is>
          <t>SORSELE</t>
        </is>
      </c>
      <c r="G659" t="n">
        <v>11.7</v>
      </c>
      <c r="H659" t="n">
        <v>1</v>
      </c>
      <c r="I659" t="n">
        <v>0</v>
      </c>
      <c r="J659" t="n">
        <v>1</v>
      </c>
      <c r="K659" t="n">
        <v>0</v>
      </c>
      <c r="L659" t="n">
        <v>0</v>
      </c>
      <c r="M659" t="n">
        <v>0</v>
      </c>
      <c r="N659" t="n">
        <v>0</v>
      </c>
      <c r="O659" t="n">
        <v>1</v>
      </c>
      <c r="P659" t="n">
        <v>0</v>
      </c>
      <c r="Q659" t="n">
        <v>1</v>
      </c>
      <c r="R659" s="2" t="inlineStr">
        <is>
          <t>Tretåig hackspett</t>
        </is>
      </c>
      <c r="S659">
        <f>HYPERLINK("https://klasma.github.io/Logging_SORSELE/artfynd/A 23232-2022.xlsx", "A 23232-2022")</f>
        <v/>
      </c>
      <c r="T659">
        <f>HYPERLINK("https://klasma.github.io/Logging_SORSELE/kartor/A 23232-2022.png", "A 23232-2022")</f>
        <v/>
      </c>
      <c r="V659">
        <f>HYPERLINK("https://klasma.github.io/Logging_SORSELE/klagomål/A 23232-2022.docx", "A 23232-2022")</f>
        <v/>
      </c>
      <c r="W659">
        <f>HYPERLINK("https://klasma.github.io/Logging_SORSELE/klagomålsmail/A 23232-2022.docx", "A 23232-2022")</f>
        <v/>
      </c>
      <c r="X659">
        <f>HYPERLINK("https://klasma.github.io/Logging_SORSELE/tillsyn/A 23232-2022.docx", "A 23232-2022")</f>
        <v/>
      </c>
      <c r="Y659">
        <f>HYPERLINK("https://klasma.github.io/Logging_SORSELE/tillsynsmail/A 23232-2022.docx", "A 23232-2022")</f>
        <v/>
      </c>
    </row>
    <row r="660" ht="15" customHeight="1">
      <c r="A660" t="inlineStr">
        <is>
          <t>A 23308-2022</t>
        </is>
      </c>
      <c r="B660" s="1" t="n">
        <v>44720</v>
      </c>
      <c r="C660" s="1" t="n">
        <v>45204</v>
      </c>
      <c r="D660" t="inlineStr">
        <is>
          <t>VÄSTERBOTTENS LÄN</t>
        </is>
      </c>
      <c r="E660" t="inlineStr">
        <is>
          <t>LYCKSELE</t>
        </is>
      </c>
      <c r="G660" t="n">
        <v>2.4</v>
      </c>
      <c r="H660" t="n">
        <v>0</v>
      </c>
      <c r="I660" t="n">
        <v>1</v>
      </c>
      <c r="J660" t="n">
        <v>0</v>
      </c>
      <c r="K660" t="n">
        <v>0</v>
      </c>
      <c r="L660" t="n">
        <v>0</v>
      </c>
      <c r="M660" t="n">
        <v>0</v>
      </c>
      <c r="N660" t="n">
        <v>0</v>
      </c>
      <c r="O660" t="n">
        <v>0</v>
      </c>
      <c r="P660" t="n">
        <v>0</v>
      </c>
      <c r="Q660" t="n">
        <v>1</v>
      </c>
      <c r="R660" s="2" t="inlineStr">
        <is>
          <t>Dropptaggsvamp</t>
        </is>
      </c>
      <c r="S660">
        <f>HYPERLINK("https://klasma.github.io/Logging_LYCKSELE/artfynd/A 23308-2022.xlsx", "A 23308-2022")</f>
        <v/>
      </c>
      <c r="T660">
        <f>HYPERLINK("https://klasma.github.io/Logging_LYCKSELE/kartor/A 23308-2022.png", "A 23308-2022")</f>
        <v/>
      </c>
      <c r="V660">
        <f>HYPERLINK("https://klasma.github.io/Logging_LYCKSELE/klagomål/A 23308-2022.docx", "A 23308-2022")</f>
        <v/>
      </c>
      <c r="W660">
        <f>HYPERLINK("https://klasma.github.io/Logging_LYCKSELE/klagomålsmail/A 23308-2022.docx", "A 23308-2022")</f>
        <v/>
      </c>
      <c r="X660">
        <f>HYPERLINK("https://klasma.github.io/Logging_LYCKSELE/tillsyn/A 23308-2022.docx", "A 23308-2022")</f>
        <v/>
      </c>
      <c r="Y660">
        <f>HYPERLINK("https://klasma.github.io/Logging_LYCKSELE/tillsynsmail/A 23308-2022.docx", "A 23308-2022")</f>
        <v/>
      </c>
    </row>
    <row r="661" ht="15" customHeight="1">
      <c r="A661" t="inlineStr">
        <is>
          <t>A 23496-2022</t>
        </is>
      </c>
      <c r="B661" s="1" t="n">
        <v>44721</v>
      </c>
      <c r="C661" s="1" t="n">
        <v>45204</v>
      </c>
      <c r="D661" t="inlineStr">
        <is>
          <t>VÄSTERBOTTENS LÄN</t>
        </is>
      </c>
      <c r="E661" t="inlineStr">
        <is>
          <t>NORDMALING</t>
        </is>
      </c>
      <c r="G661" t="n">
        <v>0.7</v>
      </c>
      <c r="H661" t="n">
        <v>1</v>
      </c>
      <c r="I661" t="n">
        <v>0</v>
      </c>
      <c r="J661" t="n">
        <v>1</v>
      </c>
      <c r="K661" t="n">
        <v>0</v>
      </c>
      <c r="L661" t="n">
        <v>0</v>
      </c>
      <c r="M661" t="n">
        <v>0</v>
      </c>
      <c r="N661" t="n">
        <v>0</v>
      </c>
      <c r="O661" t="n">
        <v>1</v>
      </c>
      <c r="P661" t="n">
        <v>0</v>
      </c>
      <c r="Q661" t="n">
        <v>1</v>
      </c>
      <c r="R661" s="2" t="inlineStr">
        <is>
          <t>Järpe</t>
        </is>
      </c>
      <c r="S661">
        <f>HYPERLINK("https://klasma.github.io/Logging_NORDMALING/artfynd/A 23496-2022.xlsx", "A 23496-2022")</f>
        <v/>
      </c>
      <c r="T661">
        <f>HYPERLINK("https://klasma.github.io/Logging_NORDMALING/kartor/A 23496-2022.png", "A 23496-2022")</f>
        <v/>
      </c>
      <c r="V661">
        <f>HYPERLINK("https://klasma.github.io/Logging_NORDMALING/klagomål/A 23496-2022.docx", "A 23496-2022")</f>
        <v/>
      </c>
      <c r="W661">
        <f>HYPERLINK("https://klasma.github.io/Logging_NORDMALING/klagomålsmail/A 23496-2022.docx", "A 23496-2022")</f>
        <v/>
      </c>
      <c r="X661">
        <f>HYPERLINK("https://klasma.github.io/Logging_NORDMALING/tillsyn/A 23496-2022.docx", "A 23496-2022")</f>
        <v/>
      </c>
      <c r="Y661">
        <f>HYPERLINK("https://klasma.github.io/Logging_NORDMALING/tillsynsmail/A 23496-2022.docx", "A 23496-2022")</f>
        <v/>
      </c>
    </row>
    <row r="662" ht="15" customHeight="1">
      <c r="A662" t="inlineStr">
        <is>
          <t>A 24807-2022</t>
        </is>
      </c>
      <c r="B662" s="1" t="n">
        <v>44727</v>
      </c>
      <c r="C662" s="1" t="n">
        <v>45204</v>
      </c>
      <c r="D662" t="inlineStr">
        <is>
          <t>VÄSTERBOTTENS LÄN</t>
        </is>
      </c>
      <c r="E662" t="inlineStr">
        <is>
          <t>ROBERTSFORS</t>
        </is>
      </c>
      <c r="G662" t="n">
        <v>4.1</v>
      </c>
      <c r="H662" t="n">
        <v>0</v>
      </c>
      <c r="I662" t="n">
        <v>0</v>
      </c>
      <c r="J662" t="n">
        <v>1</v>
      </c>
      <c r="K662" t="n">
        <v>0</v>
      </c>
      <c r="L662" t="n">
        <v>0</v>
      </c>
      <c r="M662" t="n">
        <v>0</v>
      </c>
      <c r="N662" t="n">
        <v>0</v>
      </c>
      <c r="O662" t="n">
        <v>1</v>
      </c>
      <c r="P662" t="n">
        <v>0</v>
      </c>
      <c r="Q662" t="n">
        <v>1</v>
      </c>
      <c r="R662" s="2" t="inlineStr">
        <is>
          <t>Granticka</t>
        </is>
      </c>
      <c r="S662">
        <f>HYPERLINK("https://klasma.github.io/Logging_ROBERTSFORS/artfynd/A 24807-2022.xlsx", "A 24807-2022")</f>
        <v/>
      </c>
      <c r="T662">
        <f>HYPERLINK("https://klasma.github.io/Logging_ROBERTSFORS/kartor/A 24807-2022.png", "A 24807-2022")</f>
        <v/>
      </c>
      <c r="V662">
        <f>HYPERLINK("https://klasma.github.io/Logging_ROBERTSFORS/klagomål/A 24807-2022.docx", "A 24807-2022")</f>
        <v/>
      </c>
      <c r="W662">
        <f>HYPERLINK("https://klasma.github.io/Logging_ROBERTSFORS/klagomålsmail/A 24807-2022.docx", "A 24807-2022")</f>
        <v/>
      </c>
      <c r="X662">
        <f>HYPERLINK("https://klasma.github.io/Logging_ROBERTSFORS/tillsyn/A 24807-2022.docx", "A 24807-2022")</f>
        <v/>
      </c>
      <c r="Y662">
        <f>HYPERLINK("https://klasma.github.io/Logging_ROBERTSFORS/tillsynsmail/A 24807-2022.docx", "A 24807-2022")</f>
        <v/>
      </c>
    </row>
    <row r="663" ht="15" customHeight="1">
      <c r="A663" t="inlineStr">
        <is>
          <t>A 24885-2022</t>
        </is>
      </c>
      <c r="B663" s="1" t="n">
        <v>44728</v>
      </c>
      <c r="C663" s="1" t="n">
        <v>45204</v>
      </c>
      <c r="D663" t="inlineStr">
        <is>
          <t>VÄSTERBOTTENS LÄN</t>
        </is>
      </c>
      <c r="E663" t="inlineStr">
        <is>
          <t>SKELLEFTEÅ</t>
        </is>
      </c>
      <c r="F663" t="inlineStr">
        <is>
          <t>Holmen skog AB</t>
        </is>
      </c>
      <c r="G663" t="n">
        <v>2.7</v>
      </c>
      <c r="H663" t="n">
        <v>0</v>
      </c>
      <c r="I663" t="n">
        <v>0</v>
      </c>
      <c r="J663" t="n">
        <v>1</v>
      </c>
      <c r="K663" t="n">
        <v>0</v>
      </c>
      <c r="L663" t="n">
        <v>0</v>
      </c>
      <c r="M663" t="n">
        <v>0</v>
      </c>
      <c r="N663" t="n">
        <v>0</v>
      </c>
      <c r="O663" t="n">
        <v>1</v>
      </c>
      <c r="P663" t="n">
        <v>0</v>
      </c>
      <c r="Q663" t="n">
        <v>1</v>
      </c>
      <c r="R663" s="2" t="inlineStr">
        <is>
          <t>Lunglav</t>
        </is>
      </c>
      <c r="S663">
        <f>HYPERLINK("https://klasma.github.io/Logging_SKELLEFTEA/artfynd/A 24885-2022.xlsx", "A 24885-2022")</f>
        <v/>
      </c>
      <c r="T663">
        <f>HYPERLINK("https://klasma.github.io/Logging_SKELLEFTEA/kartor/A 24885-2022.png", "A 24885-2022")</f>
        <v/>
      </c>
      <c r="V663">
        <f>HYPERLINK("https://klasma.github.io/Logging_SKELLEFTEA/klagomål/A 24885-2022.docx", "A 24885-2022")</f>
        <v/>
      </c>
      <c r="W663">
        <f>HYPERLINK("https://klasma.github.io/Logging_SKELLEFTEA/klagomålsmail/A 24885-2022.docx", "A 24885-2022")</f>
        <v/>
      </c>
      <c r="X663">
        <f>HYPERLINK("https://klasma.github.io/Logging_SKELLEFTEA/tillsyn/A 24885-2022.docx", "A 24885-2022")</f>
        <v/>
      </c>
      <c r="Y663">
        <f>HYPERLINK("https://klasma.github.io/Logging_SKELLEFTEA/tillsynsmail/A 24885-2022.docx", "A 24885-2022")</f>
        <v/>
      </c>
    </row>
    <row r="664" ht="15" customHeight="1">
      <c r="A664" t="inlineStr">
        <is>
          <t>A 27583-2022</t>
        </is>
      </c>
      <c r="B664" s="1" t="n">
        <v>44742</v>
      </c>
      <c r="C664" s="1" t="n">
        <v>45204</v>
      </c>
      <c r="D664" t="inlineStr">
        <is>
          <t>VÄSTERBOTTENS LÄN</t>
        </is>
      </c>
      <c r="E664" t="inlineStr">
        <is>
          <t>VINDELN</t>
        </is>
      </c>
      <c r="F664" t="inlineStr">
        <is>
          <t>SCA</t>
        </is>
      </c>
      <c r="G664" t="n">
        <v>2.1</v>
      </c>
      <c r="H664" t="n">
        <v>0</v>
      </c>
      <c r="I664" t="n">
        <v>0</v>
      </c>
      <c r="J664" t="n">
        <v>1</v>
      </c>
      <c r="K664" t="n">
        <v>0</v>
      </c>
      <c r="L664" t="n">
        <v>0</v>
      </c>
      <c r="M664" t="n">
        <v>0</v>
      </c>
      <c r="N664" t="n">
        <v>0</v>
      </c>
      <c r="O664" t="n">
        <v>1</v>
      </c>
      <c r="P664" t="n">
        <v>0</v>
      </c>
      <c r="Q664" t="n">
        <v>1</v>
      </c>
      <c r="R664" s="2" t="inlineStr">
        <is>
          <t>Ullticka</t>
        </is>
      </c>
      <c r="S664">
        <f>HYPERLINK("https://klasma.github.io/Logging_VINDELN/artfynd/A 27583-2022.xlsx", "A 27583-2022")</f>
        <v/>
      </c>
      <c r="T664">
        <f>HYPERLINK("https://klasma.github.io/Logging_VINDELN/kartor/A 27583-2022.png", "A 27583-2022")</f>
        <v/>
      </c>
      <c r="V664">
        <f>HYPERLINK("https://klasma.github.io/Logging_VINDELN/klagomål/A 27583-2022.docx", "A 27583-2022")</f>
        <v/>
      </c>
      <c r="W664">
        <f>HYPERLINK("https://klasma.github.io/Logging_VINDELN/klagomålsmail/A 27583-2022.docx", "A 27583-2022")</f>
        <v/>
      </c>
      <c r="X664">
        <f>HYPERLINK("https://klasma.github.io/Logging_VINDELN/tillsyn/A 27583-2022.docx", "A 27583-2022")</f>
        <v/>
      </c>
      <c r="Y664">
        <f>HYPERLINK("https://klasma.github.io/Logging_VINDELN/tillsynsmail/A 27583-2022.docx", "A 27583-2022")</f>
        <v/>
      </c>
    </row>
    <row r="665" ht="15" customHeight="1">
      <c r="A665" t="inlineStr">
        <is>
          <t>A 30809-2022</t>
        </is>
      </c>
      <c r="B665" s="1" t="n">
        <v>44764</v>
      </c>
      <c r="C665" s="1" t="n">
        <v>45204</v>
      </c>
      <c r="D665" t="inlineStr">
        <is>
          <t>VÄSTERBOTTENS LÄN</t>
        </is>
      </c>
      <c r="E665" t="inlineStr">
        <is>
          <t>ÅSELE</t>
        </is>
      </c>
      <c r="F665" t="inlineStr">
        <is>
          <t>SCA</t>
        </is>
      </c>
      <c r="G665" t="n">
        <v>10.6</v>
      </c>
      <c r="H665" t="n">
        <v>1</v>
      </c>
      <c r="I665" t="n">
        <v>0</v>
      </c>
      <c r="J665" t="n">
        <v>1</v>
      </c>
      <c r="K665" t="n">
        <v>0</v>
      </c>
      <c r="L665" t="n">
        <v>0</v>
      </c>
      <c r="M665" t="n">
        <v>0</v>
      </c>
      <c r="N665" t="n">
        <v>0</v>
      </c>
      <c r="O665" t="n">
        <v>1</v>
      </c>
      <c r="P665" t="n">
        <v>0</v>
      </c>
      <c r="Q665" t="n">
        <v>1</v>
      </c>
      <c r="R665" s="2" t="inlineStr">
        <is>
          <t>Buskskvätta</t>
        </is>
      </c>
      <c r="S665">
        <f>HYPERLINK("https://klasma.github.io/Logging_ASELE/artfynd/A 30809-2022.xlsx", "A 30809-2022")</f>
        <v/>
      </c>
      <c r="T665">
        <f>HYPERLINK("https://klasma.github.io/Logging_ASELE/kartor/A 30809-2022.png", "A 30809-2022")</f>
        <v/>
      </c>
      <c r="V665">
        <f>HYPERLINK("https://klasma.github.io/Logging_ASELE/klagomål/A 30809-2022.docx", "A 30809-2022")</f>
        <v/>
      </c>
      <c r="W665">
        <f>HYPERLINK("https://klasma.github.io/Logging_ASELE/klagomålsmail/A 30809-2022.docx", "A 30809-2022")</f>
        <v/>
      </c>
      <c r="X665">
        <f>HYPERLINK("https://klasma.github.io/Logging_ASELE/tillsyn/A 30809-2022.docx", "A 30809-2022")</f>
        <v/>
      </c>
      <c r="Y665">
        <f>HYPERLINK("https://klasma.github.io/Logging_ASELE/tillsynsmail/A 30809-2022.docx", "A 30809-2022")</f>
        <v/>
      </c>
    </row>
    <row r="666" ht="15" customHeight="1">
      <c r="A666" t="inlineStr">
        <is>
          <t>A 32638-2022</t>
        </is>
      </c>
      <c r="B666" s="1" t="n">
        <v>44783</v>
      </c>
      <c r="C666" s="1" t="n">
        <v>45204</v>
      </c>
      <c r="D666" t="inlineStr">
        <is>
          <t>VÄSTERBOTTENS LÄN</t>
        </is>
      </c>
      <c r="E666" t="inlineStr">
        <is>
          <t>LYCKSELE</t>
        </is>
      </c>
      <c r="F666" t="inlineStr">
        <is>
          <t>Holmen skog AB</t>
        </is>
      </c>
      <c r="G666" t="n">
        <v>4.2</v>
      </c>
      <c r="H666" t="n">
        <v>0</v>
      </c>
      <c r="I666" t="n">
        <v>1</v>
      </c>
      <c r="J666" t="n">
        <v>0</v>
      </c>
      <c r="K666" t="n">
        <v>0</v>
      </c>
      <c r="L666" t="n">
        <v>0</v>
      </c>
      <c r="M666" t="n">
        <v>0</v>
      </c>
      <c r="N666" t="n">
        <v>0</v>
      </c>
      <c r="O666" t="n">
        <v>0</v>
      </c>
      <c r="P666" t="n">
        <v>0</v>
      </c>
      <c r="Q666" t="n">
        <v>1</v>
      </c>
      <c r="R666" s="2" t="inlineStr">
        <is>
          <t>Dropptaggsvamp</t>
        </is>
      </c>
      <c r="S666">
        <f>HYPERLINK("https://klasma.github.io/Logging_LYCKSELE/artfynd/A 32638-2022.xlsx", "A 32638-2022")</f>
        <v/>
      </c>
      <c r="T666">
        <f>HYPERLINK("https://klasma.github.io/Logging_LYCKSELE/kartor/A 32638-2022.png", "A 32638-2022")</f>
        <v/>
      </c>
      <c r="V666">
        <f>HYPERLINK("https://klasma.github.io/Logging_LYCKSELE/klagomål/A 32638-2022.docx", "A 32638-2022")</f>
        <v/>
      </c>
      <c r="W666">
        <f>HYPERLINK("https://klasma.github.io/Logging_LYCKSELE/klagomålsmail/A 32638-2022.docx", "A 32638-2022")</f>
        <v/>
      </c>
      <c r="X666">
        <f>HYPERLINK("https://klasma.github.io/Logging_LYCKSELE/tillsyn/A 32638-2022.docx", "A 32638-2022")</f>
        <v/>
      </c>
      <c r="Y666">
        <f>HYPERLINK("https://klasma.github.io/Logging_LYCKSELE/tillsynsmail/A 32638-2022.docx", "A 32638-2022")</f>
        <v/>
      </c>
    </row>
    <row r="667" ht="15" customHeight="1">
      <c r="A667" t="inlineStr">
        <is>
          <t>A 34810-2022</t>
        </is>
      </c>
      <c r="B667" s="1" t="n">
        <v>44795</v>
      </c>
      <c r="C667" s="1" t="n">
        <v>45204</v>
      </c>
      <c r="D667" t="inlineStr">
        <is>
          <t>VÄSTERBOTTENS LÄN</t>
        </is>
      </c>
      <c r="E667" t="inlineStr">
        <is>
          <t>LYCKSELE</t>
        </is>
      </c>
      <c r="F667" t="inlineStr">
        <is>
          <t>SCA</t>
        </is>
      </c>
      <c r="G667" t="n">
        <v>2.3</v>
      </c>
      <c r="H667" t="n">
        <v>0</v>
      </c>
      <c r="I667" t="n">
        <v>0</v>
      </c>
      <c r="J667" t="n">
        <v>1</v>
      </c>
      <c r="K667" t="n">
        <v>0</v>
      </c>
      <c r="L667" t="n">
        <v>0</v>
      </c>
      <c r="M667" t="n">
        <v>0</v>
      </c>
      <c r="N667" t="n">
        <v>0</v>
      </c>
      <c r="O667" t="n">
        <v>1</v>
      </c>
      <c r="P667" t="n">
        <v>0</v>
      </c>
      <c r="Q667" t="n">
        <v>1</v>
      </c>
      <c r="R667" s="2" t="inlineStr">
        <is>
          <t>Lunglav</t>
        </is>
      </c>
      <c r="S667">
        <f>HYPERLINK("https://klasma.github.io/Logging_LYCKSELE/artfynd/A 34810-2022.xlsx", "A 34810-2022")</f>
        <v/>
      </c>
      <c r="T667">
        <f>HYPERLINK("https://klasma.github.io/Logging_LYCKSELE/kartor/A 34810-2022.png", "A 34810-2022")</f>
        <v/>
      </c>
      <c r="V667">
        <f>HYPERLINK("https://klasma.github.io/Logging_LYCKSELE/klagomål/A 34810-2022.docx", "A 34810-2022")</f>
        <v/>
      </c>
      <c r="W667">
        <f>HYPERLINK("https://klasma.github.io/Logging_LYCKSELE/klagomålsmail/A 34810-2022.docx", "A 34810-2022")</f>
        <v/>
      </c>
      <c r="X667">
        <f>HYPERLINK("https://klasma.github.io/Logging_LYCKSELE/tillsyn/A 34810-2022.docx", "A 34810-2022")</f>
        <v/>
      </c>
      <c r="Y667">
        <f>HYPERLINK("https://klasma.github.io/Logging_LYCKSELE/tillsynsmail/A 34810-2022.docx", "A 34810-2022")</f>
        <v/>
      </c>
    </row>
    <row r="668" ht="15" customHeight="1">
      <c r="A668" t="inlineStr">
        <is>
          <t>A 34809-2022</t>
        </is>
      </c>
      <c r="B668" s="1" t="n">
        <v>44795</v>
      </c>
      <c r="C668" s="1" t="n">
        <v>45204</v>
      </c>
      <c r="D668" t="inlineStr">
        <is>
          <t>VÄSTERBOTTENS LÄN</t>
        </is>
      </c>
      <c r="E668" t="inlineStr">
        <is>
          <t>LYCKSELE</t>
        </is>
      </c>
      <c r="F668" t="inlineStr">
        <is>
          <t>SCA</t>
        </is>
      </c>
      <c r="G668" t="n">
        <v>1</v>
      </c>
      <c r="H668" t="n">
        <v>0</v>
      </c>
      <c r="I668" t="n">
        <v>0</v>
      </c>
      <c r="J668" t="n">
        <v>1</v>
      </c>
      <c r="K668" t="n">
        <v>0</v>
      </c>
      <c r="L668" t="n">
        <v>0</v>
      </c>
      <c r="M668" t="n">
        <v>0</v>
      </c>
      <c r="N668" t="n">
        <v>0</v>
      </c>
      <c r="O668" t="n">
        <v>1</v>
      </c>
      <c r="P668" t="n">
        <v>0</v>
      </c>
      <c r="Q668" t="n">
        <v>1</v>
      </c>
      <c r="R668" s="2" t="inlineStr">
        <is>
          <t>Gammelgransskål</t>
        </is>
      </c>
      <c r="S668">
        <f>HYPERLINK("https://klasma.github.io/Logging_LYCKSELE/artfynd/A 34809-2022.xlsx", "A 34809-2022")</f>
        <v/>
      </c>
      <c r="T668">
        <f>HYPERLINK("https://klasma.github.io/Logging_LYCKSELE/kartor/A 34809-2022.png", "A 34809-2022")</f>
        <v/>
      </c>
      <c r="V668">
        <f>HYPERLINK("https://klasma.github.io/Logging_LYCKSELE/klagomål/A 34809-2022.docx", "A 34809-2022")</f>
        <v/>
      </c>
      <c r="W668">
        <f>HYPERLINK("https://klasma.github.io/Logging_LYCKSELE/klagomålsmail/A 34809-2022.docx", "A 34809-2022")</f>
        <v/>
      </c>
      <c r="X668">
        <f>HYPERLINK("https://klasma.github.io/Logging_LYCKSELE/tillsyn/A 34809-2022.docx", "A 34809-2022")</f>
        <v/>
      </c>
      <c r="Y668">
        <f>HYPERLINK("https://klasma.github.io/Logging_LYCKSELE/tillsynsmail/A 34809-2022.docx", "A 34809-2022")</f>
        <v/>
      </c>
    </row>
    <row r="669" ht="15" customHeight="1">
      <c r="A669" t="inlineStr">
        <is>
          <t>A 36531-2022</t>
        </is>
      </c>
      <c r="B669" s="1" t="n">
        <v>44804</v>
      </c>
      <c r="C669" s="1" t="n">
        <v>45204</v>
      </c>
      <c r="D669" t="inlineStr">
        <is>
          <t>VÄSTERBOTTENS LÄN</t>
        </is>
      </c>
      <c r="E669" t="inlineStr">
        <is>
          <t>SKELLEFTEÅ</t>
        </is>
      </c>
      <c r="F669" t="inlineStr">
        <is>
          <t>Kommuner</t>
        </is>
      </c>
      <c r="G669" t="n">
        <v>3.1</v>
      </c>
      <c r="H669" t="n">
        <v>0</v>
      </c>
      <c r="I669" t="n">
        <v>1</v>
      </c>
      <c r="J669" t="n">
        <v>0</v>
      </c>
      <c r="K669" t="n">
        <v>0</v>
      </c>
      <c r="L669" t="n">
        <v>0</v>
      </c>
      <c r="M669" t="n">
        <v>0</v>
      </c>
      <c r="N669" t="n">
        <v>0</v>
      </c>
      <c r="O669" t="n">
        <v>0</v>
      </c>
      <c r="P669" t="n">
        <v>0</v>
      </c>
      <c r="Q669" t="n">
        <v>1</v>
      </c>
      <c r="R669" s="2" t="inlineStr">
        <is>
          <t>Dropptaggsvamp</t>
        </is>
      </c>
      <c r="S669">
        <f>HYPERLINK("https://klasma.github.io/Logging_SKELLEFTEA/artfynd/A 36531-2022.xlsx", "A 36531-2022")</f>
        <v/>
      </c>
      <c r="T669">
        <f>HYPERLINK("https://klasma.github.io/Logging_SKELLEFTEA/kartor/A 36531-2022.png", "A 36531-2022")</f>
        <v/>
      </c>
      <c r="V669">
        <f>HYPERLINK("https://klasma.github.io/Logging_SKELLEFTEA/klagomål/A 36531-2022.docx", "A 36531-2022")</f>
        <v/>
      </c>
      <c r="W669">
        <f>HYPERLINK("https://klasma.github.io/Logging_SKELLEFTEA/klagomålsmail/A 36531-2022.docx", "A 36531-2022")</f>
        <v/>
      </c>
      <c r="X669">
        <f>HYPERLINK("https://klasma.github.io/Logging_SKELLEFTEA/tillsyn/A 36531-2022.docx", "A 36531-2022")</f>
        <v/>
      </c>
      <c r="Y669">
        <f>HYPERLINK("https://klasma.github.io/Logging_SKELLEFTEA/tillsynsmail/A 36531-2022.docx", "A 36531-2022")</f>
        <v/>
      </c>
    </row>
    <row r="670" ht="15" customHeight="1">
      <c r="A670" t="inlineStr">
        <is>
          <t>A 38421-2022</t>
        </is>
      </c>
      <c r="B670" s="1" t="n">
        <v>44812</v>
      </c>
      <c r="C670" s="1" t="n">
        <v>45204</v>
      </c>
      <c r="D670" t="inlineStr">
        <is>
          <t>VÄSTERBOTTENS LÄN</t>
        </is>
      </c>
      <c r="E670" t="inlineStr">
        <is>
          <t>VILHELMINA</t>
        </is>
      </c>
      <c r="F670" t="inlineStr">
        <is>
          <t>SCA</t>
        </is>
      </c>
      <c r="G670" t="n">
        <v>3.2</v>
      </c>
      <c r="H670" t="n">
        <v>0</v>
      </c>
      <c r="I670" t="n">
        <v>0</v>
      </c>
      <c r="J670" t="n">
        <v>1</v>
      </c>
      <c r="K670" t="n">
        <v>0</v>
      </c>
      <c r="L670" t="n">
        <v>0</v>
      </c>
      <c r="M670" t="n">
        <v>0</v>
      </c>
      <c r="N670" t="n">
        <v>0</v>
      </c>
      <c r="O670" t="n">
        <v>1</v>
      </c>
      <c r="P670" t="n">
        <v>0</v>
      </c>
      <c r="Q670" t="n">
        <v>1</v>
      </c>
      <c r="R670" s="2" t="inlineStr">
        <is>
          <t>Ullticka</t>
        </is>
      </c>
      <c r="S670">
        <f>HYPERLINK("https://klasma.github.io/Logging_VILHELMINA/artfynd/A 38421-2022.xlsx", "A 38421-2022")</f>
        <v/>
      </c>
      <c r="T670">
        <f>HYPERLINK("https://klasma.github.io/Logging_VILHELMINA/kartor/A 38421-2022.png", "A 38421-2022")</f>
        <v/>
      </c>
      <c r="V670">
        <f>HYPERLINK("https://klasma.github.io/Logging_VILHELMINA/klagomål/A 38421-2022.docx", "A 38421-2022")</f>
        <v/>
      </c>
      <c r="W670">
        <f>HYPERLINK("https://klasma.github.io/Logging_VILHELMINA/klagomålsmail/A 38421-2022.docx", "A 38421-2022")</f>
        <v/>
      </c>
      <c r="X670">
        <f>HYPERLINK("https://klasma.github.io/Logging_VILHELMINA/tillsyn/A 38421-2022.docx", "A 38421-2022")</f>
        <v/>
      </c>
      <c r="Y670">
        <f>HYPERLINK("https://klasma.github.io/Logging_VILHELMINA/tillsynsmail/A 38421-2022.docx", "A 38421-2022")</f>
        <v/>
      </c>
    </row>
    <row r="671" ht="15" customHeight="1">
      <c r="A671" t="inlineStr">
        <is>
          <t>A 39237-2022</t>
        </is>
      </c>
      <c r="B671" s="1" t="n">
        <v>44817</v>
      </c>
      <c r="C671" s="1" t="n">
        <v>45204</v>
      </c>
      <c r="D671" t="inlineStr">
        <is>
          <t>VÄSTERBOTTENS LÄN</t>
        </is>
      </c>
      <c r="E671" t="inlineStr">
        <is>
          <t>STORUMAN</t>
        </is>
      </c>
      <c r="F671" t="inlineStr">
        <is>
          <t>Sveaskog</t>
        </is>
      </c>
      <c r="G671" t="n">
        <v>1.1</v>
      </c>
      <c r="H671" t="n">
        <v>0</v>
      </c>
      <c r="I671" t="n">
        <v>1</v>
      </c>
      <c r="J671" t="n">
        <v>0</v>
      </c>
      <c r="K671" t="n">
        <v>0</v>
      </c>
      <c r="L671" t="n">
        <v>0</v>
      </c>
      <c r="M671" t="n">
        <v>0</v>
      </c>
      <c r="N671" t="n">
        <v>0</v>
      </c>
      <c r="O671" t="n">
        <v>0</v>
      </c>
      <c r="P671" t="n">
        <v>0</v>
      </c>
      <c r="Q671" t="n">
        <v>1</v>
      </c>
      <c r="R671" s="2" t="inlineStr">
        <is>
          <t>Skarp dropptaggsvamp</t>
        </is>
      </c>
      <c r="S671">
        <f>HYPERLINK("https://klasma.github.io/Logging_STORUMAN/artfynd/A 39237-2022.xlsx", "A 39237-2022")</f>
        <v/>
      </c>
      <c r="T671">
        <f>HYPERLINK("https://klasma.github.io/Logging_STORUMAN/kartor/A 39237-2022.png", "A 39237-2022")</f>
        <v/>
      </c>
      <c r="V671">
        <f>HYPERLINK("https://klasma.github.io/Logging_STORUMAN/klagomål/A 39237-2022.docx", "A 39237-2022")</f>
        <v/>
      </c>
      <c r="W671">
        <f>HYPERLINK("https://klasma.github.io/Logging_STORUMAN/klagomålsmail/A 39237-2022.docx", "A 39237-2022")</f>
        <v/>
      </c>
      <c r="X671">
        <f>HYPERLINK("https://klasma.github.io/Logging_STORUMAN/tillsyn/A 39237-2022.docx", "A 39237-2022")</f>
        <v/>
      </c>
      <c r="Y671">
        <f>HYPERLINK("https://klasma.github.io/Logging_STORUMAN/tillsynsmail/A 39237-2022.docx", "A 39237-2022")</f>
        <v/>
      </c>
    </row>
    <row r="672" ht="15" customHeight="1">
      <c r="A672" t="inlineStr">
        <is>
          <t>A 39380-2022</t>
        </is>
      </c>
      <c r="B672" s="1" t="n">
        <v>44817</v>
      </c>
      <c r="C672" s="1" t="n">
        <v>45204</v>
      </c>
      <c r="D672" t="inlineStr">
        <is>
          <t>VÄSTERBOTTENS LÄN</t>
        </is>
      </c>
      <c r="E672" t="inlineStr">
        <is>
          <t>ÅSELE</t>
        </is>
      </c>
      <c r="F672" t="inlineStr">
        <is>
          <t>SCA</t>
        </is>
      </c>
      <c r="G672" t="n">
        <v>2.4</v>
      </c>
      <c r="H672" t="n">
        <v>1</v>
      </c>
      <c r="I672" t="n">
        <v>1</v>
      </c>
      <c r="J672" t="n">
        <v>0</v>
      </c>
      <c r="K672" t="n">
        <v>0</v>
      </c>
      <c r="L672" t="n">
        <v>0</v>
      </c>
      <c r="M672" t="n">
        <v>0</v>
      </c>
      <c r="N672" t="n">
        <v>0</v>
      </c>
      <c r="O672" t="n">
        <v>0</v>
      </c>
      <c r="P672" t="n">
        <v>0</v>
      </c>
      <c r="Q672" t="n">
        <v>1</v>
      </c>
      <c r="R672" s="2" t="inlineStr">
        <is>
          <t>Lappranunkel</t>
        </is>
      </c>
      <c r="S672">
        <f>HYPERLINK("https://klasma.github.io/Logging_ASELE/artfynd/A 39380-2022.xlsx", "A 39380-2022")</f>
        <v/>
      </c>
      <c r="T672">
        <f>HYPERLINK("https://klasma.github.io/Logging_ASELE/kartor/A 39380-2022.png", "A 39380-2022")</f>
        <v/>
      </c>
      <c r="V672">
        <f>HYPERLINK("https://klasma.github.io/Logging_ASELE/klagomål/A 39380-2022.docx", "A 39380-2022")</f>
        <v/>
      </c>
      <c r="W672">
        <f>HYPERLINK("https://klasma.github.io/Logging_ASELE/klagomålsmail/A 39380-2022.docx", "A 39380-2022")</f>
        <v/>
      </c>
      <c r="X672">
        <f>HYPERLINK("https://klasma.github.io/Logging_ASELE/tillsyn/A 39380-2022.docx", "A 39380-2022")</f>
        <v/>
      </c>
      <c r="Y672">
        <f>HYPERLINK("https://klasma.github.io/Logging_ASELE/tillsynsmail/A 39380-2022.docx", "A 39380-2022")</f>
        <v/>
      </c>
    </row>
    <row r="673" ht="15" customHeight="1">
      <c r="A673" t="inlineStr">
        <is>
          <t>A 40328-2022</t>
        </is>
      </c>
      <c r="B673" s="1" t="n">
        <v>44823</v>
      </c>
      <c r="C673" s="1" t="n">
        <v>45204</v>
      </c>
      <c r="D673" t="inlineStr">
        <is>
          <t>VÄSTERBOTTENS LÄN</t>
        </is>
      </c>
      <c r="E673" t="inlineStr">
        <is>
          <t>ÅSELE</t>
        </is>
      </c>
      <c r="G673" t="n">
        <v>5</v>
      </c>
      <c r="H673" t="n">
        <v>1</v>
      </c>
      <c r="I673" t="n">
        <v>0</v>
      </c>
      <c r="J673" t="n">
        <v>1</v>
      </c>
      <c r="K673" t="n">
        <v>0</v>
      </c>
      <c r="L673" t="n">
        <v>0</v>
      </c>
      <c r="M673" t="n">
        <v>0</v>
      </c>
      <c r="N673" t="n">
        <v>0</v>
      </c>
      <c r="O673" t="n">
        <v>1</v>
      </c>
      <c r="P673" t="n">
        <v>0</v>
      </c>
      <c r="Q673" t="n">
        <v>1</v>
      </c>
      <c r="R673" s="2" t="inlineStr">
        <is>
          <t>Utter</t>
        </is>
      </c>
      <c r="S673">
        <f>HYPERLINK("https://klasma.github.io/Logging_ASELE/artfynd/A 40328-2022.xlsx", "A 40328-2022")</f>
        <v/>
      </c>
      <c r="T673">
        <f>HYPERLINK("https://klasma.github.io/Logging_ASELE/kartor/A 40328-2022.png", "A 40328-2022")</f>
        <v/>
      </c>
      <c r="V673">
        <f>HYPERLINK("https://klasma.github.io/Logging_ASELE/klagomål/A 40328-2022.docx", "A 40328-2022")</f>
        <v/>
      </c>
      <c r="W673">
        <f>HYPERLINK("https://klasma.github.io/Logging_ASELE/klagomålsmail/A 40328-2022.docx", "A 40328-2022")</f>
        <v/>
      </c>
      <c r="X673">
        <f>HYPERLINK("https://klasma.github.io/Logging_ASELE/tillsyn/A 40328-2022.docx", "A 40328-2022")</f>
        <v/>
      </c>
      <c r="Y673">
        <f>HYPERLINK("https://klasma.github.io/Logging_ASELE/tillsynsmail/A 40328-2022.docx", "A 40328-2022")</f>
        <v/>
      </c>
    </row>
    <row r="674" ht="15" customHeight="1">
      <c r="A674" t="inlineStr">
        <is>
          <t>A 42674-2022</t>
        </is>
      </c>
      <c r="B674" s="1" t="n">
        <v>44831</v>
      </c>
      <c r="C674" s="1" t="n">
        <v>45204</v>
      </c>
      <c r="D674" t="inlineStr">
        <is>
          <t>VÄSTERBOTTENS LÄN</t>
        </is>
      </c>
      <c r="E674" t="inlineStr">
        <is>
          <t>SKELLEFTEÅ</t>
        </is>
      </c>
      <c r="G674" t="n">
        <v>4.4</v>
      </c>
      <c r="H674" t="n">
        <v>0</v>
      </c>
      <c r="I674" t="n">
        <v>0</v>
      </c>
      <c r="J674" t="n">
        <v>1</v>
      </c>
      <c r="K674" t="n">
        <v>0</v>
      </c>
      <c r="L674" t="n">
        <v>0</v>
      </c>
      <c r="M674" t="n">
        <v>0</v>
      </c>
      <c r="N674" t="n">
        <v>0</v>
      </c>
      <c r="O674" t="n">
        <v>1</v>
      </c>
      <c r="P674" t="n">
        <v>0</v>
      </c>
      <c r="Q674" t="n">
        <v>1</v>
      </c>
      <c r="R674" s="2" t="inlineStr">
        <is>
          <t>Granticka</t>
        </is>
      </c>
      <c r="S674">
        <f>HYPERLINK("https://klasma.github.io/Logging_SKELLEFTEA/artfynd/A 42674-2022.xlsx", "A 42674-2022")</f>
        <v/>
      </c>
      <c r="T674">
        <f>HYPERLINK("https://klasma.github.io/Logging_SKELLEFTEA/kartor/A 42674-2022.png", "A 42674-2022")</f>
        <v/>
      </c>
      <c r="V674">
        <f>HYPERLINK("https://klasma.github.io/Logging_SKELLEFTEA/klagomål/A 42674-2022.docx", "A 42674-2022")</f>
        <v/>
      </c>
      <c r="W674">
        <f>HYPERLINK("https://klasma.github.io/Logging_SKELLEFTEA/klagomålsmail/A 42674-2022.docx", "A 42674-2022")</f>
        <v/>
      </c>
      <c r="X674">
        <f>HYPERLINK("https://klasma.github.io/Logging_SKELLEFTEA/tillsyn/A 42674-2022.docx", "A 42674-2022")</f>
        <v/>
      </c>
      <c r="Y674">
        <f>HYPERLINK("https://klasma.github.io/Logging_SKELLEFTEA/tillsynsmail/A 42674-2022.docx", "A 42674-2022")</f>
        <v/>
      </c>
    </row>
    <row r="675" ht="15" customHeight="1">
      <c r="A675" t="inlineStr">
        <is>
          <t>A 43418-2022</t>
        </is>
      </c>
      <c r="B675" s="1" t="n">
        <v>44834</v>
      </c>
      <c r="C675" s="1" t="n">
        <v>45204</v>
      </c>
      <c r="D675" t="inlineStr">
        <is>
          <t>VÄSTERBOTTENS LÄN</t>
        </is>
      </c>
      <c r="E675" t="inlineStr">
        <is>
          <t>LYCKSELE</t>
        </is>
      </c>
      <c r="F675" t="inlineStr">
        <is>
          <t>SCA</t>
        </is>
      </c>
      <c r="G675" t="n">
        <v>8.4</v>
      </c>
      <c r="H675" t="n">
        <v>0</v>
      </c>
      <c r="I675" t="n">
        <v>1</v>
      </c>
      <c r="J675" t="n">
        <v>0</v>
      </c>
      <c r="K675" t="n">
        <v>0</v>
      </c>
      <c r="L675" t="n">
        <v>0</v>
      </c>
      <c r="M675" t="n">
        <v>0</v>
      </c>
      <c r="N675" t="n">
        <v>0</v>
      </c>
      <c r="O675" t="n">
        <v>0</v>
      </c>
      <c r="P675" t="n">
        <v>0</v>
      </c>
      <c r="Q675" t="n">
        <v>1</v>
      </c>
      <c r="R675" s="2" t="inlineStr">
        <is>
          <t>Skarp dropptaggsvamp</t>
        </is>
      </c>
      <c r="S675">
        <f>HYPERLINK("https://klasma.github.io/Logging_LYCKSELE/artfynd/A 43418-2022.xlsx", "A 43418-2022")</f>
        <v/>
      </c>
      <c r="T675">
        <f>HYPERLINK("https://klasma.github.io/Logging_LYCKSELE/kartor/A 43418-2022.png", "A 43418-2022")</f>
        <v/>
      </c>
      <c r="V675">
        <f>HYPERLINK("https://klasma.github.io/Logging_LYCKSELE/klagomål/A 43418-2022.docx", "A 43418-2022")</f>
        <v/>
      </c>
      <c r="W675">
        <f>HYPERLINK("https://klasma.github.io/Logging_LYCKSELE/klagomålsmail/A 43418-2022.docx", "A 43418-2022")</f>
        <v/>
      </c>
      <c r="X675">
        <f>HYPERLINK("https://klasma.github.io/Logging_LYCKSELE/tillsyn/A 43418-2022.docx", "A 43418-2022")</f>
        <v/>
      </c>
      <c r="Y675">
        <f>HYPERLINK("https://klasma.github.io/Logging_LYCKSELE/tillsynsmail/A 43418-2022.docx", "A 43418-2022")</f>
        <v/>
      </c>
    </row>
    <row r="676" ht="15" customHeight="1">
      <c r="A676" t="inlineStr">
        <is>
          <t>A 43969-2022</t>
        </is>
      </c>
      <c r="B676" s="1" t="n">
        <v>44837</v>
      </c>
      <c r="C676" s="1" t="n">
        <v>45204</v>
      </c>
      <c r="D676" t="inlineStr">
        <is>
          <t>VÄSTERBOTTENS LÄN</t>
        </is>
      </c>
      <c r="E676" t="inlineStr">
        <is>
          <t>BJURHOLM</t>
        </is>
      </c>
      <c r="G676" t="n">
        <v>2.3</v>
      </c>
      <c r="H676" t="n">
        <v>1</v>
      </c>
      <c r="I676" t="n">
        <v>1</v>
      </c>
      <c r="J676" t="n">
        <v>0</v>
      </c>
      <c r="K676" t="n">
        <v>0</v>
      </c>
      <c r="L676" t="n">
        <v>0</v>
      </c>
      <c r="M676" t="n">
        <v>0</v>
      </c>
      <c r="N676" t="n">
        <v>0</v>
      </c>
      <c r="O676" t="n">
        <v>0</v>
      </c>
      <c r="P676" t="n">
        <v>0</v>
      </c>
      <c r="Q676" t="n">
        <v>1</v>
      </c>
      <c r="R676" s="2" t="inlineStr">
        <is>
          <t>Lappranunkel</t>
        </is>
      </c>
      <c r="S676">
        <f>HYPERLINK("https://klasma.github.io/Logging_BJURHOLM/artfynd/A 43969-2022.xlsx", "A 43969-2022")</f>
        <v/>
      </c>
      <c r="T676">
        <f>HYPERLINK("https://klasma.github.io/Logging_BJURHOLM/kartor/A 43969-2022.png", "A 43969-2022")</f>
        <v/>
      </c>
      <c r="V676">
        <f>HYPERLINK("https://klasma.github.io/Logging_BJURHOLM/klagomål/A 43969-2022.docx", "A 43969-2022")</f>
        <v/>
      </c>
      <c r="W676">
        <f>HYPERLINK("https://klasma.github.io/Logging_BJURHOLM/klagomålsmail/A 43969-2022.docx", "A 43969-2022")</f>
        <v/>
      </c>
      <c r="X676">
        <f>HYPERLINK("https://klasma.github.io/Logging_BJURHOLM/tillsyn/A 43969-2022.docx", "A 43969-2022")</f>
        <v/>
      </c>
      <c r="Y676">
        <f>HYPERLINK("https://klasma.github.io/Logging_BJURHOLM/tillsynsmail/A 43969-2022.docx", "A 43969-2022")</f>
        <v/>
      </c>
    </row>
    <row r="677" ht="15" customHeight="1">
      <c r="A677" t="inlineStr">
        <is>
          <t>A 43519-2022</t>
        </is>
      </c>
      <c r="B677" s="1" t="n">
        <v>44837</v>
      </c>
      <c r="C677" s="1" t="n">
        <v>45204</v>
      </c>
      <c r="D677" t="inlineStr">
        <is>
          <t>VÄSTERBOTTENS LÄN</t>
        </is>
      </c>
      <c r="E677" t="inlineStr">
        <is>
          <t>UMEÅ</t>
        </is>
      </c>
      <c r="G677" t="n">
        <v>4.2</v>
      </c>
      <c r="H677" t="n">
        <v>0</v>
      </c>
      <c r="I677" t="n">
        <v>0</v>
      </c>
      <c r="J677" t="n">
        <v>1</v>
      </c>
      <c r="K677" t="n">
        <v>0</v>
      </c>
      <c r="L677" t="n">
        <v>0</v>
      </c>
      <c r="M677" t="n">
        <v>0</v>
      </c>
      <c r="N677" t="n">
        <v>0</v>
      </c>
      <c r="O677" t="n">
        <v>1</v>
      </c>
      <c r="P677" t="n">
        <v>0</v>
      </c>
      <c r="Q677" t="n">
        <v>1</v>
      </c>
      <c r="R677" s="2" t="inlineStr">
        <is>
          <t>Skogshare</t>
        </is>
      </c>
      <c r="S677">
        <f>HYPERLINK("https://klasma.github.io/Logging_UMEA/artfynd/A 43519-2022.xlsx", "A 43519-2022")</f>
        <v/>
      </c>
      <c r="T677">
        <f>HYPERLINK("https://klasma.github.io/Logging_UMEA/kartor/A 43519-2022.png", "A 43519-2022")</f>
        <v/>
      </c>
      <c r="V677">
        <f>HYPERLINK("https://klasma.github.io/Logging_UMEA/klagomål/A 43519-2022.docx", "A 43519-2022")</f>
        <v/>
      </c>
      <c r="W677">
        <f>HYPERLINK("https://klasma.github.io/Logging_UMEA/klagomålsmail/A 43519-2022.docx", "A 43519-2022")</f>
        <v/>
      </c>
      <c r="X677">
        <f>HYPERLINK("https://klasma.github.io/Logging_UMEA/tillsyn/A 43519-2022.docx", "A 43519-2022")</f>
        <v/>
      </c>
      <c r="Y677">
        <f>HYPERLINK("https://klasma.github.io/Logging_UMEA/tillsynsmail/A 43519-2022.docx", "A 43519-2022")</f>
        <v/>
      </c>
    </row>
    <row r="678" ht="15" customHeight="1">
      <c r="A678" t="inlineStr">
        <is>
          <t>A 44036-2022</t>
        </is>
      </c>
      <c r="B678" s="1" t="n">
        <v>44838</v>
      </c>
      <c r="C678" s="1" t="n">
        <v>45204</v>
      </c>
      <c r="D678" t="inlineStr">
        <is>
          <t>VÄSTERBOTTENS LÄN</t>
        </is>
      </c>
      <c r="E678" t="inlineStr">
        <is>
          <t>DOROTEA</t>
        </is>
      </c>
      <c r="F678" t="inlineStr">
        <is>
          <t>SCA</t>
        </is>
      </c>
      <c r="G678" t="n">
        <v>6.3</v>
      </c>
      <c r="H678" t="n">
        <v>0</v>
      </c>
      <c r="I678" t="n">
        <v>0</v>
      </c>
      <c r="J678" t="n">
        <v>1</v>
      </c>
      <c r="K678" t="n">
        <v>0</v>
      </c>
      <c r="L678" t="n">
        <v>0</v>
      </c>
      <c r="M678" t="n">
        <v>0</v>
      </c>
      <c r="N678" t="n">
        <v>0</v>
      </c>
      <c r="O678" t="n">
        <v>1</v>
      </c>
      <c r="P678" t="n">
        <v>0</v>
      </c>
      <c r="Q678" t="n">
        <v>1</v>
      </c>
      <c r="R678" s="2" t="inlineStr">
        <is>
          <t>Ullticka</t>
        </is>
      </c>
      <c r="S678">
        <f>HYPERLINK("https://klasma.github.io/Logging_DOROTEA/artfynd/A 44036-2022.xlsx", "A 44036-2022")</f>
        <v/>
      </c>
      <c r="T678">
        <f>HYPERLINK("https://klasma.github.io/Logging_DOROTEA/kartor/A 44036-2022.png", "A 44036-2022")</f>
        <v/>
      </c>
      <c r="V678">
        <f>HYPERLINK("https://klasma.github.io/Logging_DOROTEA/klagomål/A 44036-2022.docx", "A 44036-2022")</f>
        <v/>
      </c>
      <c r="W678">
        <f>HYPERLINK("https://klasma.github.io/Logging_DOROTEA/klagomålsmail/A 44036-2022.docx", "A 44036-2022")</f>
        <v/>
      </c>
      <c r="X678">
        <f>HYPERLINK("https://klasma.github.io/Logging_DOROTEA/tillsyn/A 44036-2022.docx", "A 44036-2022")</f>
        <v/>
      </c>
      <c r="Y678">
        <f>HYPERLINK("https://klasma.github.io/Logging_DOROTEA/tillsynsmail/A 44036-2022.docx", "A 44036-2022")</f>
        <v/>
      </c>
    </row>
    <row r="679" ht="15" customHeight="1">
      <c r="A679" t="inlineStr">
        <is>
          <t>A 44389-2022</t>
        </is>
      </c>
      <c r="B679" s="1" t="n">
        <v>44838</v>
      </c>
      <c r="C679" s="1" t="n">
        <v>45204</v>
      </c>
      <c r="D679" t="inlineStr">
        <is>
          <t>VÄSTERBOTTENS LÄN</t>
        </is>
      </c>
      <c r="E679" t="inlineStr">
        <is>
          <t>DOROTEA</t>
        </is>
      </c>
      <c r="G679" t="n">
        <v>1.8</v>
      </c>
      <c r="H679" t="n">
        <v>0</v>
      </c>
      <c r="I679" t="n">
        <v>0</v>
      </c>
      <c r="J679" t="n">
        <v>1</v>
      </c>
      <c r="K679" t="n">
        <v>0</v>
      </c>
      <c r="L679" t="n">
        <v>0</v>
      </c>
      <c r="M679" t="n">
        <v>0</v>
      </c>
      <c r="N679" t="n">
        <v>0</v>
      </c>
      <c r="O679" t="n">
        <v>1</v>
      </c>
      <c r="P679" t="n">
        <v>0</v>
      </c>
      <c r="Q679" t="n">
        <v>1</v>
      </c>
      <c r="R679" s="2" t="inlineStr">
        <is>
          <t>Granticka</t>
        </is>
      </c>
      <c r="S679">
        <f>HYPERLINK("https://klasma.github.io/Logging_DOROTEA/artfynd/A 44389-2022.xlsx", "A 44389-2022")</f>
        <v/>
      </c>
      <c r="T679">
        <f>HYPERLINK("https://klasma.github.io/Logging_DOROTEA/kartor/A 44389-2022.png", "A 44389-2022")</f>
        <v/>
      </c>
      <c r="V679">
        <f>HYPERLINK("https://klasma.github.io/Logging_DOROTEA/klagomål/A 44389-2022.docx", "A 44389-2022")</f>
        <v/>
      </c>
      <c r="W679">
        <f>HYPERLINK("https://klasma.github.io/Logging_DOROTEA/klagomålsmail/A 44389-2022.docx", "A 44389-2022")</f>
        <v/>
      </c>
      <c r="X679">
        <f>HYPERLINK("https://klasma.github.io/Logging_DOROTEA/tillsyn/A 44389-2022.docx", "A 44389-2022")</f>
        <v/>
      </c>
      <c r="Y679">
        <f>HYPERLINK("https://klasma.github.io/Logging_DOROTEA/tillsynsmail/A 44389-2022.docx", "A 44389-2022")</f>
        <v/>
      </c>
    </row>
    <row r="680" ht="15" customHeight="1">
      <c r="A680" t="inlineStr">
        <is>
          <t>A 44222-2022</t>
        </is>
      </c>
      <c r="B680" s="1" t="n">
        <v>44839</v>
      </c>
      <c r="C680" s="1" t="n">
        <v>45204</v>
      </c>
      <c r="D680" t="inlineStr">
        <is>
          <t>VÄSTERBOTTENS LÄN</t>
        </is>
      </c>
      <c r="E680" t="inlineStr">
        <is>
          <t>ROBERTSFORS</t>
        </is>
      </c>
      <c r="F680" t="inlineStr">
        <is>
          <t>Holmen skog AB</t>
        </is>
      </c>
      <c r="G680" t="n">
        <v>23.5</v>
      </c>
      <c r="H680" t="n">
        <v>0</v>
      </c>
      <c r="I680" t="n">
        <v>0</v>
      </c>
      <c r="J680" t="n">
        <v>1</v>
      </c>
      <c r="K680" t="n">
        <v>0</v>
      </c>
      <c r="L680" t="n">
        <v>0</v>
      </c>
      <c r="M680" t="n">
        <v>0</v>
      </c>
      <c r="N680" t="n">
        <v>0</v>
      </c>
      <c r="O680" t="n">
        <v>1</v>
      </c>
      <c r="P680" t="n">
        <v>0</v>
      </c>
      <c r="Q680" t="n">
        <v>1</v>
      </c>
      <c r="R680" s="2" t="inlineStr">
        <is>
          <t>Kortskaftad ärgspik</t>
        </is>
      </c>
      <c r="S680">
        <f>HYPERLINK("https://klasma.github.io/Logging_ROBERTSFORS/artfynd/A 44222-2022.xlsx", "A 44222-2022")</f>
        <v/>
      </c>
      <c r="T680">
        <f>HYPERLINK("https://klasma.github.io/Logging_ROBERTSFORS/kartor/A 44222-2022.png", "A 44222-2022")</f>
        <v/>
      </c>
      <c r="V680">
        <f>HYPERLINK("https://klasma.github.io/Logging_ROBERTSFORS/klagomål/A 44222-2022.docx", "A 44222-2022")</f>
        <v/>
      </c>
      <c r="W680">
        <f>HYPERLINK("https://klasma.github.io/Logging_ROBERTSFORS/klagomålsmail/A 44222-2022.docx", "A 44222-2022")</f>
        <v/>
      </c>
      <c r="X680">
        <f>HYPERLINK("https://klasma.github.io/Logging_ROBERTSFORS/tillsyn/A 44222-2022.docx", "A 44222-2022")</f>
        <v/>
      </c>
      <c r="Y680">
        <f>HYPERLINK("https://klasma.github.io/Logging_ROBERTSFORS/tillsynsmail/A 44222-2022.docx", "A 44222-2022")</f>
        <v/>
      </c>
    </row>
    <row r="681" ht="15" customHeight="1">
      <c r="A681" t="inlineStr">
        <is>
          <t>A 44990-2022</t>
        </is>
      </c>
      <c r="B681" s="1" t="n">
        <v>44840</v>
      </c>
      <c r="C681" s="1" t="n">
        <v>45204</v>
      </c>
      <c r="D681" t="inlineStr">
        <is>
          <t>VÄSTERBOTTENS LÄN</t>
        </is>
      </c>
      <c r="E681" t="inlineStr">
        <is>
          <t>ROBERTSFORS</t>
        </is>
      </c>
      <c r="G681" t="n">
        <v>2.4</v>
      </c>
      <c r="H681" t="n">
        <v>0</v>
      </c>
      <c r="I681" t="n">
        <v>0</v>
      </c>
      <c r="J681" t="n">
        <v>1</v>
      </c>
      <c r="K681" t="n">
        <v>0</v>
      </c>
      <c r="L681" t="n">
        <v>0</v>
      </c>
      <c r="M681" t="n">
        <v>0</v>
      </c>
      <c r="N681" t="n">
        <v>0</v>
      </c>
      <c r="O681" t="n">
        <v>1</v>
      </c>
      <c r="P681" t="n">
        <v>0</v>
      </c>
      <c r="Q681" t="n">
        <v>1</v>
      </c>
      <c r="R681" s="2" t="inlineStr">
        <is>
          <t>Ullticka</t>
        </is>
      </c>
      <c r="S681">
        <f>HYPERLINK("https://klasma.github.io/Logging_ROBERTSFORS/artfynd/A 44990-2022.xlsx", "A 44990-2022")</f>
        <v/>
      </c>
      <c r="T681">
        <f>HYPERLINK("https://klasma.github.io/Logging_ROBERTSFORS/kartor/A 44990-2022.png", "A 44990-2022")</f>
        <v/>
      </c>
      <c r="V681">
        <f>HYPERLINK("https://klasma.github.io/Logging_ROBERTSFORS/klagomål/A 44990-2022.docx", "A 44990-2022")</f>
        <v/>
      </c>
      <c r="W681">
        <f>HYPERLINK("https://klasma.github.io/Logging_ROBERTSFORS/klagomålsmail/A 44990-2022.docx", "A 44990-2022")</f>
        <v/>
      </c>
      <c r="X681">
        <f>HYPERLINK("https://klasma.github.io/Logging_ROBERTSFORS/tillsyn/A 44990-2022.docx", "A 44990-2022")</f>
        <v/>
      </c>
      <c r="Y681">
        <f>HYPERLINK("https://klasma.github.io/Logging_ROBERTSFORS/tillsynsmail/A 44990-2022.docx", "A 44990-2022")</f>
        <v/>
      </c>
    </row>
    <row r="682" ht="15" customHeight="1">
      <c r="A682" t="inlineStr">
        <is>
          <t>A 46317-2022</t>
        </is>
      </c>
      <c r="B682" s="1" t="n">
        <v>44847</v>
      </c>
      <c r="C682" s="1" t="n">
        <v>45204</v>
      </c>
      <c r="D682" t="inlineStr">
        <is>
          <t>VÄSTERBOTTENS LÄN</t>
        </is>
      </c>
      <c r="E682" t="inlineStr">
        <is>
          <t>MALÅ</t>
        </is>
      </c>
      <c r="G682" t="n">
        <v>76.40000000000001</v>
      </c>
      <c r="H682" t="n">
        <v>0</v>
      </c>
      <c r="I682" t="n">
        <v>0</v>
      </c>
      <c r="J682" t="n">
        <v>1</v>
      </c>
      <c r="K682" t="n">
        <v>0</v>
      </c>
      <c r="L682" t="n">
        <v>0</v>
      </c>
      <c r="M682" t="n">
        <v>0</v>
      </c>
      <c r="N682" t="n">
        <v>0</v>
      </c>
      <c r="O682" t="n">
        <v>1</v>
      </c>
      <c r="P682" t="n">
        <v>0</v>
      </c>
      <c r="Q682" t="n">
        <v>1</v>
      </c>
      <c r="R682" s="2" t="inlineStr">
        <is>
          <t>Rosenticka</t>
        </is>
      </c>
      <c r="S682">
        <f>HYPERLINK("https://klasma.github.io/Logging_MALA/artfynd/A 46317-2022.xlsx", "A 46317-2022")</f>
        <v/>
      </c>
      <c r="T682">
        <f>HYPERLINK("https://klasma.github.io/Logging_MALA/kartor/A 46317-2022.png", "A 46317-2022")</f>
        <v/>
      </c>
      <c r="V682">
        <f>HYPERLINK("https://klasma.github.io/Logging_MALA/klagomål/A 46317-2022.docx", "A 46317-2022")</f>
        <v/>
      </c>
      <c r="W682">
        <f>HYPERLINK("https://klasma.github.io/Logging_MALA/klagomålsmail/A 46317-2022.docx", "A 46317-2022")</f>
        <v/>
      </c>
      <c r="X682">
        <f>HYPERLINK("https://klasma.github.io/Logging_MALA/tillsyn/A 46317-2022.docx", "A 46317-2022")</f>
        <v/>
      </c>
      <c r="Y682">
        <f>HYPERLINK("https://klasma.github.io/Logging_MALA/tillsynsmail/A 46317-2022.docx", "A 46317-2022")</f>
        <v/>
      </c>
    </row>
    <row r="683" ht="15" customHeight="1">
      <c r="A683" t="inlineStr">
        <is>
          <t>A 46990-2022</t>
        </is>
      </c>
      <c r="B683" s="1" t="n">
        <v>44851</v>
      </c>
      <c r="C683" s="1" t="n">
        <v>45204</v>
      </c>
      <c r="D683" t="inlineStr">
        <is>
          <t>VÄSTERBOTTENS LÄN</t>
        </is>
      </c>
      <c r="E683" t="inlineStr">
        <is>
          <t>NORDMALING</t>
        </is>
      </c>
      <c r="F683" t="inlineStr">
        <is>
          <t>SCA</t>
        </is>
      </c>
      <c r="G683" t="n">
        <v>7.7</v>
      </c>
      <c r="H683" t="n">
        <v>0</v>
      </c>
      <c r="I683" t="n">
        <v>0</v>
      </c>
      <c r="J683" t="n">
        <v>1</v>
      </c>
      <c r="K683" t="n">
        <v>0</v>
      </c>
      <c r="L683" t="n">
        <v>0</v>
      </c>
      <c r="M683" t="n">
        <v>0</v>
      </c>
      <c r="N683" t="n">
        <v>0</v>
      </c>
      <c r="O683" t="n">
        <v>1</v>
      </c>
      <c r="P683" t="n">
        <v>0</v>
      </c>
      <c r="Q683" t="n">
        <v>1</v>
      </c>
      <c r="R683" s="2" t="inlineStr">
        <is>
          <t>Lunglav</t>
        </is>
      </c>
      <c r="S683">
        <f>HYPERLINK("https://klasma.github.io/Logging_NORDMALING/artfynd/A 46990-2022.xlsx", "A 46990-2022")</f>
        <v/>
      </c>
      <c r="T683">
        <f>HYPERLINK("https://klasma.github.io/Logging_NORDMALING/kartor/A 46990-2022.png", "A 46990-2022")</f>
        <v/>
      </c>
      <c r="V683">
        <f>HYPERLINK("https://klasma.github.io/Logging_NORDMALING/klagomål/A 46990-2022.docx", "A 46990-2022")</f>
        <v/>
      </c>
      <c r="W683">
        <f>HYPERLINK("https://klasma.github.io/Logging_NORDMALING/klagomålsmail/A 46990-2022.docx", "A 46990-2022")</f>
        <v/>
      </c>
      <c r="X683">
        <f>HYPERLINK("https://klasma.github.io/Logging_NORDMALING/tillsyn/A 46990-2022.docx", "A 46990-2022")</f>
        <v/>
      </c>
      <c r="Y683">
        <f>HYPERLINK("https://klasma.github.io/Logging_NORDMALING/tillsynsmail/A 46990-2022.docx", "A 46990-2022")</f>
        <v/>
      </c>
    </row>
    <row r="684" ht="15" customHeight="1">
      <c r="A684" t="inlineStr">
        <is>
          <t>A 47251-2022</t>
        </is>
      </c>
      <c r="B684" s="1" t="n">
        <v>44852</v>
      </c>
      <c r="C684" s="1" t="n">
        <v>45204</v>
      </c>
      <c r="D684" t="inlineStr">
        <is>
          <t>VÄSTERBOTTENS LÄN</t>
        </is>
      </c>
      <c r="E684" t="inlineStr">
        <is>
          <t>VILHELMINA</t>
        </is>
      </c>
      <c r="F684" t="inlineStr">
        <is>
          <t>SCA</t>
        </is>
      </c>
      <c r="G684" t="n">
        <v>16.4</v>
      </c>
      <c r="H684" t="n">
        <v>0</v>
      </c>
      <c r="I684" t="n">
        <v>0</v>
      </c>
      <c r="J684" t="n">
        <v>1</v>
      </c>
      <c r="K684" t="n">
        <v>0</v>
      </c>
      <c r="L684" t="n">
        <v>0</v>
      </c>
      <c r="M684" t="n">
        <v>0</v>
      </c>
      <c r="N684" t="n">
        <v>0</v>
      </c>
      <c r="O684" t="n">
        <v>1</v>
      </c>
      <c r="P684" t="n">
        <v>0</v>
      </c>
      <c r="Q684" t="n">
        <v>1</v>
      </c>
      <c r="R684" s="2" t="inlineStr">
        <is>
          <t>Rosenticka</t>
        </is>
      </c>
      <c r="S684">
        <f>HYPERLINK("https://klasma.github.io/Logging_VILHELMINA/artfynd/A 47251-2022.xlsx", "A 47251-2022")</f>
        <v/>
      </c>
      <c r="T684">
        <f>HYPERLINK("https://klasma.github.io/Logging_VILHELMINA/kartor/A 47251-2022.png", "A 47251-2022")</f>
        <v/>
      </c>
      <c r="V684">
        <f>HYPERLINK("https://klasma.github.io/Logging_VILHELMINA/klagomål/A 47251-2022.docx", "A 47251-2022")</f>
        <v/>
      </c>
      <c r="W684">
        <f>HYPERLINK("https://klasma.github.io/Logging_VILHELMINA/klagomålsmail/A 47251-2022.docx", "A 47251-2022")</f>
        <v/>
      </c>
      <c r="X684">
        <f>HYPERLINK("https://klasma.github.io/Logging_VILHELMINA/tillsyn/A 47251-2022.docx", "A 47251-2022")</f>
        <v/>
      </c>
      <c r="Y684">
        <f>HYPERLINK("https://klasma.github.io/Logging_VILHELMINA/tillsynsmail/A 47251-2022.docx", "A 47251-2022")</f>
        <v/>
      </c>
    </row>
    <row r="685" ht="15" customHeight="1">
      <c r="A685" t="inlineStr">
        <is>
          <t>A 48089-2022</t>
        </is>
      </c>
      <c r="B685" s="1" t="n">
        <v>44855</v>
      </c>
      <c r="C685" s="1" t="n">
        <v>45204</v>
      </c>
      <c r="D685" t="inlineStr">
        <is>
          <t>VÄSTERBOTTENS LÄN</t>
        </is>
      </c>
      <c r="E685" t="inlineStr">
        <is>
          <t>DOROTEA</t>
        </is>
      </c>
      <c r="F685" t="inlineStr">
        <is>
          <t>SCA</t>
        </is>
      </c>
      <c r="G685" t="n">
        <v>9.199999999999999</v>
      </c>
      <c r="H685" t="n">
        <v>0</v>
      </c>
      <c r="I685" t="n">
        <v>0</v>
      </c>
      <c r="J685" t="n">
        <v>1</v>
      </c>
      <c r="K685" t="n">
        <v>0</v>
      </c>
      <c r="L685" t="n">
        <v>0</v>
      </c>
      <c r="M685" t="n">
        <v>0</v>
      </c>
      <c r="N685" t="n">
        <v>0</v>
      </c>
      <c r="O685" t="n">
        <v>1</v>
      </c>
      <c r="P685" t="n">
        <v>0</v>
      </c>
      <c r="Q685" t="n">
        <v>1</v>
      </c>
      <c r="R685" s="2" t="inlineStr">
        <is>
          <t>Gammelgransskål</t>
        </is>
      </c>
      <c r="S685">
        <f>HYPERLINK("https://klasma.github.io/Logging_DOROTEA/artfynd/A 48089-2022.xlsx", "A 48089-2022")</f>
        <v/>
      </c>
      <c r="T685">
        <f>HYPERLINK("https://klasma.github.io/Logging_DOROTEA/kartor/A 48089-2022.png", "A 48089-2022")</f>
        <v/>
      </c>
      <c r="V685">
        <f>HYPERLINK("https://klasma.github.io/Logging_DOROTEA/klagomål/A 48089-2022.docx", "A 48089-2022")</f>
        <v/>
      </c>
      <c r="W685">
        <f>HYPERLINK("https://klasma.github.io/Logging_DOROTEA/klagomålsmail/A 48089-2022.docx", "A 48089-2022")</f>
        <v/>
      </c>
      <c r="X685">
        <f>HYPERLINK("https://klasma.github.io/Logging_DOROTEA/tillsyn/A 48089-2022.docx", "A 48089-2022")</f>
        <v/>
      </c>
      <c r="Y685">
        <f>HYPERLINK("https://klasma.github.io/Logging_DOROTEA/tillsynsmail/A 48089-2022.docx", "A 48089-2022")</f>
        <v/>
      </c>
    </row>
    <row r="686" ht="15" customHeight="1">
      <c r="A686" t="inlineStr">
        <is>
          <t>A 47963-2022</t>
        </is>
      </c>
      <c r="B686" s="1" t="n">
        <v>44855</v>
      </c>
      <c r="C686" s="1" t="n">
        <v>45204</v>
      </c>
      <c r="D686" t="inlineStr">
        <is>
          <t>VÄSTERBOTTENS LÄN</t>
        </is>
      </c>
      <c r="E686" t="inlineStr">
        <is>
          <t>SKELLEFTEÅ</t>
        </is>
      </c>
      <c r="F686" t="inlineStr">
        <is>
          <t>Holmen skog AB</t>
        </is>
      </c>
      <c r="G686" t="n">
        <v>18.7</v>
      </c>
      <c r="H686" t="n">
        <v>0</v>
      </c>
      <c r="I686" t="n">
        <v>1</v>
      </c>
      <c r="J686" t="n">
        <v>0</v>
      </c>
      <c r="K686" t="n">
        <v>0</v>
      </c>
      <c r="L686" t="n">
        <v>0</v>
      </c>
      <c r="M686" t="n">
        <v>0</v>
      </c>
      <c r="N686" t="n">
        <v>0</v>
      </c>
      <c r="O686" t="n">
        <v>0</v>
      </c>
      <c r="P686" t="n">
        <v>0</v>
      </c>
      <c r="Q686" t="n">
        <v>1</v>
      </c>
      <c r="R686" s="2" t="inlineStr">
        <is>
          <t>Skinnlav</t>
        </is>
      </c>
      <c r="S686">
        <f>HYPERLINK("https://klasma.github.io/Logging_SKELLEFTEA/artfynd/A 47963-2022.xlsx", "A 47963-2022")</f>
        <v/>
      </c>
      <c r="T686">
        <f>HYPERLINK("https://klasma.github.io/Logging_SKELLEFTEA/kartor/A 47963-2022.png", "A 47963-2022")</f>
        <v/>
      </c>
      <c r="V686">
        <f>HYPERLINK("https://klasma.github.io/Logging_SKELLEFTEA/klagomål/A 47963-2022.docx", "A 47963-2022")</f>
        <v/>
      </c>
      <c r="W686">
        <f>HYPERLINK("https://klasma.github.io/Logging_SKELLEFTEA/klagomålsmail/A 47963-2022.docx", "A 47963-2022")</f>
        <v/>
      </c>
      <c r="X686">
        <f>HYPERLINK("https://klasma.github.io/Logging_SKELLEFTEA/tillsyn/A 47963-2022.docx", "A 47963-2022")</f>
        <v/>
      </c>
      <c r="Y686">
        <f>HYPERLINK("https://klasma.github.io/Logging_SKELLEFTEA/tillsynsmail/A 47963-2022.docx", "A 47963-2022")</f>
        <v/>
      </c>
    </row>
    <row r="687" ht="15" customHeight="1">
      <c r="A687" t="inlineStr">
        <is>
          <t>A 48947-2022</t>
        </is>
      </c>
      <c r="B687" s="1" t="n">
        <v>44859</v>
      </c>
      <c r="C687" s="1" t="n">
        <v>45204</v>
      </c>
      <c r="D687" t="inlineStr">
        <is>
          <t>VÄSTERBOTTENS LÄN</t>
        </is>
      </c>
      <c r="E687" t="inlineStr">
        <is>
          <t>NORDMALING</t>
        </is>
      </c>
      <c r="F687" t="inlineStr">
        <is>
          <t>SCA</t>
        </is>
      </c>
      <c r="G687" t="n">
        <v>3.4</v>
      </c>
      <c r="H687" t="n">
        <v>0</v>
      </c>
      <c r="I687" t="n">
        <v>1</v>
      </c>
      <c r="J687" t="n">
        <v>0</v>
      </c>
      <c r="K687" t="n">
        <v>0</v>
      </c>
      <c r="L687" t="n">
        <v>0</v>
      </c>
      <c r="M687" t="n">
        <v>0</v>
      </c>
      <c r="N687" t="n">
        <v>0</v>
      </c>
      <c r="O687" t="n">
        <v>0</v>
      </c>
      <c r="P687" t="n">
        <v>0</v>
      </c>
      <c r="Q687" t="n">
        <v>1</v>
      </c>
      <c r="R687" s="2" t="inlineStr">
        <is>
          <t>Trådticka</t>
        </is>
      </c>
      <c r="S687">
        <f>HYPERLINK("https://klasma.github.io/Logging_NORDMALING/artfynd/A 48947-2022.xlsx", "A 48947-2022")</f>
        <v/>
      </c>
      <c r="T687">
        <f>HYPERLINK("https://klasma.github.io/Logging_NORDMALING/kartor/A 48947-2022.png", "A 48947-2022")</f>
        <v/>
      </c>
      <c r="V687">
        <f>HYPERLINK("https://klasma.github.io/Logging_NORDMALING/klagomål/A 48947-2022.docx", "A 48947-2022")</f>
        <v/>
      </c>
      <c r="W687">
        <f>HYPERLINK("https://klasma.github.io/Logging_NORDMALING/klagomålsmail/A 48947-2022.docx", "A 48947-2022")</f>
        <v/>
      </c>
      <c r="X687">
        <f>HYPERLINK("https://klasma.github.io/Logging_NORDMALING/tillsyn/A 48947-2022.docx", "A 48947-2022")</f>
        <v/>
      </c>
      <c r="Y687">
        <f>HYPERLINK("https://klasma.github.io/Logging_NORDMALING/tillsynsmail/A 48947-2022.docx", "A 48947-2022")</f>
        <v/>
      </c>
    </row>
    <row r="688" ht="15" customHeight="1">
      <c r="A688" t="inlineStr">
        <is>
          <t>A 49064-2022</t>
        </is>
      </c>
      <c r="B688" s="1" t="n">
        <v>44860</v>
      </c>
      <c r="C688" s="1" t="n">
        <v>45204</v>
      </c>
      <c r="D688" t="inlineStr">
        <is>
          <t>VÄSTERBOTTENS LÄN</t>
        </is>
      </c>
      <c r="E688" t="inlineStr">
        <is>
          <t>ÅSELE</t>
        </is>
      </c>
      <c r="F688" t="inlineStr">
        <is>
          <t>Sveaskog</t>
        </is>
      </c>
      <c r="G688" t="n">
        <v>15.4</v>
      </c>
      <c r="H688" t="n">
        <v>0</v>
      </c>
      <c r="I688" t="n">
        <v>1</v>
      </c>
      <c r="J688" t="n">
        <v>0</v>
      </c>
      <c r="K688" t="n">
        <v>0</v>
      </c>
      <c r="L688" t="n">
        <v>0</v>
      </c>
      <c r="M688" t="n">
        <v>0</v>
      </c>
      <c r="N688" t="n">
        <v>0</v>
      </c>
      <c r="O688" t="n">
        <v>0</v>
      </c>
      <c r="P688" t="n">
        <v>0</v>
      </c>
      <c r="Q688" t="n">
        <v>1</v>
      </c>
      <c r="R688" s="2" t="inlineStr">
        <is>
          <t>Dropptaggsvamp</t>
        </is>
      </c>
      <c r="S688">
        <f>HYPERLINK("https://klasma.github.io/Logging_ASELE/artfynd/A 49064-2022.xlsx", "A 49064-2022")</f>
        <v/>
      </c>
      <c r="T688">
        <f>HYPERLINK("https://klasma.github.io/Logging_ASELE/kartor/A 49064-2022.png", "A 49064-2022")</f>
        <v/>
      </c>
      <c r="V688">
        <f>HYPERLINK("https://klasma.github.io/Logging_ASELE/klagomål/A 49064-2022.docx", "A 49064-2022")</f>
        <v/>
      </c>
      <c r="W688">
        <f>HYPERLINK("https://klasma.github.io/Logging_ASELE/klagomålsmail/A 49064-2022.docx", "A 49064-2022")</f>
        <v/>
      </c>
      <c r="X688">
        <f>HYPERLINK("https://klasma.github.io/Logging_ASELE/tillsyn/A 49064-2022.docx", "A 49064-2022")</f>
        <v/>
      </c>
      <c r="Y688">
        <f>HYPERLINK("https://klasma.github.io/Logging_ASELE/tillsynsmail/A 49064-2022.docx", "A 49064-2022")</f>
        <v/>
      </c>
    </row>
    <row r="689" ht="15" customHeight="1">
      <c r="A689" t="inlineStr">
        <is>
          <t>A 49658-2022</t>
        </is>
      </c>
      <c r="B689" s="1" t="n">
        <v>44862</v>
      </c>
      <c r="C689" s="1" t="n">
        <v>45204</v>
      </c>
      <c r="D689" t="inlineStr">
        <is>
          <t>VÄSTERBOTTENS LÄN</t>
        </is>
      </c>
      <c r="E689" t="inlineStr">
        <is>
          <t>UMEÅ</t>
        </is>
      </c>
      <c r="F689" t="inlineStr">
        <is>
          <t>Holmen skog AB</t>
        </is>
      </c>
      <c r="G689" t="n">
        <v>2.2</v>
      </c>
      <c r="H689" t="n">
        <v>1</v>
      </c>
      <c r="I689" t="n">
        <v>0</v>
      </c>
      <c r="J689" t="n">
        <v>0</v>
      </c>
      <c r="K689" t="n">
        <v>0</v>
      </c>
      <c r="L689" t="n">
        <v>0</v>
      </c>
      <c r="M689" t="n">
        <v>0</v>
      </c>
      <c r="N689" t="n">
        <v>0</v>
      </c>
      <c r="O689" t="n">
        <v>0</v>
      </c>
      <c r="P689" t="n">
        <v>0</v>
      </c>
      <c r="Q689" t="n">
        <v>1</v>
      </c>
      <c r="R689" s="2" t="inlineStr">
        <is>
          <t>Vanlig groda</t>
        </is>
      </c>
      <c r="S689">
        <f>HYPERLINK("https://klasma.github.io/Logging_UMEA/artfynd/A 49658-2022.xlsx", "A 49658-2022")</f>
        <v/>
      </c>
      <c r="T689">
        <f>HYPERLINK("https://klasma.github.io/Logging_UMEA/kartor/A 49658-2022.png", "A 49658-2022")</f>
        <v/>
      </c>
      <c r="V689">
        <f>HYPERLINK("https://klasma.github.io/Logging_UMEA/klagomål/A 49658-2022.docx", "A 49658-2022")</f>
        <v/>
      </c>
      <c r="W689">
        <f>HYPERLINK("https://klasma.github.io/Logging_UMEA/klagomålsmail/A 49658-2022.docx", "A 49658-2022")</f>
        <v/>
      </c>
      <c r="X689">
        <f>HYPERLINK("https://klasma.github.io/Logging_UMEA/tillsyn/A 49658-2022.docx", "A 49658-2022")</f>
        <v/>
      </c>
      <c r="Y689">
        <f>HYPERLINK("https://klasma.github.io/Logging_UMEA/tillsynsmail/A 49658-2022.docx", "A 49658-2022")</f>
        <v/>
      </c>
    </row>
    <row r="690" ht="15" customHeight="1">
      <c r="A690" t="inlineStr">
        <is>
          <t>A 49842-2022</t>
        </is>
      </c>
      <c r="B690" s="1" t="n">
        <v>44862</v>
      </c>
      <c r="C690" s="1" t="n">
        <v>45204</v>
      </c>
      <c r="D690" t="inlineStr">
        <is>
          <t>VÄSTERBOTTENS LÄN</t>
        </is>
      </c>
      <c r="E690" t="inlineStr">
        <is>
          <t>SKELLEFTEÅ</t>
        </is>
      </c>
      <c r="G690" t="n">
        <v>7</v>
      </c>
      <c r="H690" t="n">
        <v>0</v>
      </c>
      <c r="I690" t="n">
        <v>0</v>
      </c>
      <c r="J690" t="n">
        <v>1</v>
      </c>
      <c r="K690" t="n">
        <v>0</v>
      </c>
      <c r="L690" t="n">
        <v>0</v>
      </c>
      <c r="M690" t="n">
        <v>0</v>
      </c>
      <c r="N690" t="n">
        <v>0</v>
      </c>
      <c r="O690" t="n">
        <v>1</v>
      </c>
      <c r="P690" t="n">
        <v>0</v>
      </c>
      <c r="Q690" t="n">
        <v>1</v>
      </c>
      <c r="R690" s="2" t="inlineStr">
        <is>
          <t>Blå taggsvamp</t>
        </is>
      </c>
      <c r="S690">
        <f>HYPERLINK("https://klasma.github.io/Logging_SKELLEFTEA/artfynd/A 49842-2022.xlsx", "A 49842-2022")</f>
        <v/>
      </c>
      <c r="T690">
        <f>HYPERLINK("https://klasma.github.io/Logging_SKELLEFTEA/kartor/A 49842-2022.png", "A 49842-2022")</f>
        <v/>
      </c>
      <c r="V690">
        <f>HYPERLINK("https://klasma.github.io/Logging_SKELLEFTEA/klagomål/A 49842-2022.docx", "A 49842-2022")</f>
        <v/>
      </c>
      <c r="W690">
        <f>HYPERLINK("https://klasma.github.io/Logging_SKELLEFTEA/klagomålsmail/A 49842-2022.docx", "A 49842-2022")</f>
        <v/>
      </c>
      <c r="X690">
        <f>HYPERLINK("https://klasma.github.io/Logging_SKELLEFTEA/tillsyn/A 49842-2022.docx", "A 49842-2022")</f>
        <v/>
      </c>
      <c r="Y690">
        <f>HYPERLINK("https://klasma.github.io/Logging_SKELLEFTEA/tillsynsmail/A 49842-2022.docx", "A 49842-2022")</f>
        <v/>
      </c>
    </row>
    <row r="691" ht="15" customHeight="1">
      <c r="A691" t="inlineStr">
        <is>
          <t>A 49588-2022</t>
        </is>
      </c>
      <c r="B691" s="1" t="n">
        <v>44862</v>
      </c>
      <c r="C691" s="1" t="n">
        <v>45204</v>
      </c>
      <c r="D691" t="inlineStr">
        <is>
          <t>VÄSTERBOTTENS LÄN</t>
        </is>
      </c>
      <c r="E691" t="inlineStr">
        <is>
          <t>SKELLEFTEÅ</t>
        </is>
      </c>
      <c r="F691" t="inlineStr">
        <is>
          <t>Holmen skog AB</t>
        </is>
      </c>
      <c r="G691" t="n">
        <v>6.1</v>
      </c>
      <c r="H691" t="n">
        <v>0</v>
      </c>
      <c r="I691" t="n">
        <v>0</v>
      </c>
      <c r="J691" t="n">
        <v>1</v>
      </c>
      <c r="K691" t="n">
        <v>0</v>
      </c>
      <c r="L691" t="n">
        <v>0</v>
      </c>
      <c r="M691" t="n">
        <v>0</v>
      </c>
      <c r="N691" t="n">
        <v>0</v>
      </c>
      <c r="O691" t="n">
        <v>1</v>
      </c>
      <c r="P691" t="n">
        <v>0</v>
      </c>
      <c r="Q691" t="n">
        <v>1</v>
      </c>
      <c r="R691" s="2" t="inlineStr">
        <is>
          <t>Lunglav</t>
        </is>
      </c>
      <c r="S691">
        <f>HYPERLINK("https://klasma.github.io/Logging_SKELLEFTEA/artfynd/A 49588-2022.xlsx", "A 49588-2022")</f>
        <v/>
      </c>
      <c r="T691">
        <f>HYPERLINK("https://klasma.github.io/Logging_SKELLEFTEA/kartor/A 49588-2022.png", "A 49588-2022")</f>
        <v/>
      </c>
      <c r="V691">
        <f>HYPERLINK("https://klasma.github.io/Logging_SKELLEFTEA/klagomål/A 49588-2022.docx", "A 49588-2022")</f>
        <v/>
      </c>
      <c r="W691">
        <f>HYPERLINK("https://klasma.github.io/Logging_SKELLEFTEA/klagomålsmail/A 49588-2022.docx", "A 49588-2022")</f>
        <v/>
      </c>
      <c r="X691">
        <f>HYPERLINK("https://klasma.github.io/Logging_SKELLEFTEA/tillsyn/A 49588-2022.docx", "A 49588-2022")</f>
        <v/>
      </c>
      <c r="Y691">
        <f>HYPERLINK("https://klasma.github.io/Logging_SKELLEFTEA/tillsynsmail/A 49588-2022.docx", "A 49588-2022")</f>
        <v/>
      </c>
    </row>
    <row r="692" ht="15" customHeight="1">
      <c r="A692" t="inlineStr">
        <is>
          <t>A 51095-2022</t>
        </is>
      </c>
      <c r="B692" s="1" t="n">
        <v>44865</v>
      </c>
      <c r="C692" s="1" t="n">
        <v>45204</v>
      </c>
      <c r="D692" t="inlineStr">
        <is>
          <t>VÄSTERBOTTENS LÄN</t>
        </is>
      </c>
      <c r="E692" t="inlineStr">
        <is>
          <t>ROBERTSFORS</t>
        </is>
      </c>
      <c r="G692" t="n">
        <v>11.4</v>
      </c>
      <c r="H692" t="n">
        <v>0</v>
      </c>
      <c r="I692" t="n">
        <v>0</v>
      </c>
      <c r="J692" t="n">
        <v>1</v>
      </c>
      <c r="K692" t="n">
        <v>0</v>
      </c>
      <c r="L692" t="n">
        <v>0</v>
      </c>
      <c r="M692" t="n">
        <v>0</v>
      </c>
      <c r="N692" t="n">
        <v>0</v>
      </c>
      <c r="O692" t="n">
        <v>1</v>
      </c>
      <c r="P692" t="n">
        <v>0</v>
      </c>
      <c r="Q692" t="n">
        <v>1</v>
      </c>
      <c r="R692" s="2" t="inlineStr">
        <is>
          <t>Garnlav</t>
        </is>
      </c>
      <c r="S692">
        <f>HYPERLINK("https://klasma.github.io/Logging_ROBERTSFORS/artfynd/A 51095-2022.xlsx", "A 51095-2022")</f>
        <v/>
      </c>
      <c r="T692">
        <f>HYPERLINK("https://klasma.github.io/Logging_ROBERTSFORS/kartor/A 51095-2022.png", "A 51095-2022")</f>
        <v/>
      </c>
      <c r="V692">
        <f>HYPERLINK("https://klasma.github.io/Logging_ROBERTSFORS/klagomål/A 51095-2022.docx", "A 51095-2022")</f>
        <v/>
      </c>
      <c r="W692">
        <f>HYPERLINK("https://klasma.github.io/Logging_ROBERTSFORS/klagomålsmail/A 51095-2022.docx", "A 51095-2022")</f>
        <v/>
      </c>
      <c r="X692">
        <f>HYPERLINK("https://klasma.github.io/Logging_ROBERTSFORS/tillsyn/A 51095-2022.docx", "A 51095-2022")</f>
        <v/>
      </c>
      <c r="Y692">
        <f>HYPERLINK("https://klasma.github.io/Logging_ROBERTSFORS/tillsynsmail/A 51095-2022.docx", "A 51095-2022")</f>
        <v/>
      </c>
    </row>
    <row r="693" ht="15" customHeight="1">
      <c r="A693" t="inlineStr">
        <is>
          <t>A 50257-2022</t>
        </is>
      </c>
      <c r="B693" s="1" t="n">
        <v>44865</v>
      </c>
      <c r="C693" s="1" t="n">
        <v>45204</v>
      </c>
      <c r="D693" t="inlineStr">
        <is>
          <t>VÄSTERBOTTENS LÄN</t>
        </is>
      </c>
      <c r="E693" t="inlineStr">
        <is>
          <t>NORDMALING</t>
        </is>
      </c>
      <c r="F693" t="inlineStr">
        <is>
          <t>Holmen skog AB</t>
        </is>
      </c>
      <c r="G693" t="n">
        <v>9.6</v>
      </c>
      <c r="H693" t="n">
        <v>0</v>
      </c>
      <c r="I693" t="n">
        <v>0</v>
      </c>
      <c r="J693" t="n">
        <v>1</v>
      </c>
      <c r="K693" t="n">
        <v>0</v>
      </c>
      <c r="L693" t="n">
        <v>0</v>
      </c>
      <c r="M693" t="n">
        <v>0</v>
      </c>
      <c r="N693" t="n">
        <v>0</v>
      </c>
      <c r="O693" t="n">
        <v>1</v>
      </c>
      <c r="P693" t="n">
        <v>0</v>
      </c>
      <c r="Q693" t="n">
        <v>1</v>
      </c>
      <c r="R693" s="2" t="inlineStr">
        <is>
          <t>Garnlav</t>
        </is>
      </c>
      <c r="S693">
        <f>HYPERLINK("https://klasma.github.io/Logging_NORDMALING/artfynd/A 50257-2022.xlsx", "A 50257-2022")</f>
        <v/>
      </c>
      <c r="T693">
        <f>HYPERLINK("https://klasma.github.io/Logging_NORDMALING/kartor/A 50257-2022.png", "A 50257-2022")</f>
        <v/>
      </c>
      <c r="V693">
        <f>HYPERLINK("https://klasma.github.io/Logging_NORDMALING/klagomål/A 50257-2022.docx", "A 50257-2022")</f>
        <v/>
      </c>
      <c r="W693">
        <f>HYPERLINK("https://klasma.github.io/Logging_NORDMALING/klagomålsmail/A 50257-2022.docx", "A 50257-2022")</f>
        <v/>
      </c>
      <c r="X693">
        <f>HYPERLINK("https://klasma.github.io/Logging_NORDMALING/tillsyn/A 50257-2022.docx", "A 50257-2022")</f>
        <v/>
      </c>
      <c r="Y693">
        <f>HYPERLINK("https://klasma.github.io/Logging_NORDMALING/tillsynsmail/A 50257-2022.docx", "A 50257-2022")</f>
        <v/>
      </c>
    </row>
    <row r="694" ht="15" customHeight="1">
      <c r="A694" t="inlineStr">
        <is>
          <t>A 53071-2022</t>
        </is>
      </c>
      <c r="B694" s="1" t="n">
        <v>44873</v>
      </c>
      <c r="C694" s="1" t="n">
        <v>45204</v>
      </c>
      <c r="D694" t="inlineStr">
        <is>
          <t>VÄSTERBOTTENS LÄN</t>
        </is>
      </c>
      <c r="E694" t="inlineStr">
        <is>
          <t>SKELLEFTEÅ</t>
        </is>
      </c>
      <c r="G694" t="n">
        <v>10.6</v>
      </c>
      <c r="H694" t="n">
        <v>0</v>
      </c>
      <c r="I694" t="n">
        <v>0</v>
      </c>
      <c r="J694" t="n">
        <v>1</v>
      </c>
      <c r="K694" t="n">
        <v>0</v>
      </c>
      <c r="L694" t="n">
        <v>0</v>
      </c>
      <c r="M694" t="n">
        <v>0</v>
      </c>
      <c r="N694" t="n">
        <v>0</v>
      </c>
      <c r="O694" t="n">
        <v>1</v>
      </c>
      <c r="P694" t="n">
        <v>0</v>
      </c>
      <c r="Q694" t="n">
        <v>1</v>
      </c>
      <c r="R694" s="2" t="inlineStr">
        <is>
          <t>Granticka</t>
        </is>
      </c>
      <c r="S694">
        <f>HYPERLINK("https://klasma.github.io/Logging_SKELLEFTEA/artfynd/A 53071-2022.xlsx", "A 53071-2022")</f>
        <v/>
      </c>
      <c r="T694">
        <f>HYPERLINK("https://klasma.github.io/Logging_SKELLEFTEA/kartor/A 53071-2022.png", "A 53071-2022")</f>
        <v/>
      </c>
      <c r="V694">
        <f>HYPERLINK("https://klasma.github.io/Logging_SKELLEFTEA/klagomål/A 53071-2022.docx", "A 53071-2022")</f>
        <v/>
      </c>
      <c r="W694">
        <f>HYPERLINK("https://klasma.github.io/Logging_SKELLEFTEA/klagomålsmail/A 53071-2022.docx", "A 53071-2022")</f>
        <v/>
      </c>
      <c r="X694">
        <f>HYPERLINK("https://klasma.github.io/Logging_SKELLEFTEA/tillsyn/A 53071-2022.docx", "A 53071-2022")</f>
        <v/>
      </c>
      <c r="Y694">
        <f>HYPERLINK("https://klasma.github.io/Logging_SKELLEFTEA/tillsynsmail/A 53071-2022.docx", "A 53071-2022")</f>
        <v/>
      </c>
    </row>
    <row r="695" ht="15" customHeight="1">
      <c r="A695" t="inlineStr">
        <is>
          <t>A 52690-2022</t>
        </is>
      </c>
      <c r="B695" s="1" t="n">
        <v>44874</v>
      </c>
      <c r="C695" s="1" t="n">
        <v>45204</v>
      </c>
      <c r="D695" t="inlineStr">
        <is>
          <t>VÄSTERBOTTENS LÄN</t>
        </is>
      </c>
      <c r="E695" t="inlineStr">
        <is>
          <t>BJURHOLM</t>
        </is>
      </c>
      <c r="F695" t="inlineStr">
        <is>
          <t>Sveaskog</t>
        </is>
      </c>
      <c r="G695" t="n">
        <v>17.3</v>
      </c>
      <c r="H695" t="n">
        <v>0</v>
      </c>
      <c r="I695" t="n">
        <v>0</v>
      </c>
      <c r="J695" t="n">
        <v>1</v>
      </c>
      <c r="K695" t="n">
        <v>0</v>
      </c>
      <c r="L695" t="n">
        <v>0</v>
      </c>
      <c r="M695" t="n">
        <v>0</v>
      </c>
      <c r="N695" t="n">
        <v>0</v>
      </c>
      <c r="O695" t="n">
        <v>1</v>
      </c>
      <c r="P695" t="n">
        <v>0</v>
      </c>
      <c r="Q695" t="n">
        <v>1</v>
      </c>
      <c r="R695" s="2" t="inlineStr">
        <is>
          <t>Motaggsvamp</t>
        </is>
      </c>
      <c r="S695">
        <f>HYPERLINK("https://klasma.github.io/Logging_BJURHOLM/artfynd/A 52690-2022.xlsx", "A 52690-2022")</f>
        <v/>
      </c>
      <c r="T695">
        <f>HYPERLINK("https://klasma.github.io/Logging_BJURHOLM/kartor/A 52690-2022.png", "A 52690-2022")</f>
        <v/>
      </c>
      <c r="V695">
        <f>HYPERLINK("https://klasma.github.io/Logging_BJURHOLM/klagomål/A 52690-2022.docx", "A 52690-2022")</f>
        <v/>
      </c>
      <c r="W695">
        <f>HYPERLINK("https://klasma.github.io/Logging_BJURHOLM/klagomålsmail/A 52690-2022.docx", "A 52690-2022")</f>
        <v/>
      </c>
      <c r="X695">
        <f>HYPERLINK("https://klasma.github.io/Logging_BJURHOLM/tillsyn/A 52690-2022.docx", "A 52690-2022")</f>
        <v/>
      </c>
      <c r="Y695">
        <f>HYPERLINK("https://klasma.github.io/Logging_BJURHOLM/tillsynsmail/A 52690-2022.docx", "A 52690-2022")</f>
        <v/>
      </c>
    </row>
    <row r="696" ht="15" customHeight="1">
      <c r="A696" t="inlineStr">
        <is>
          <t>A 54058-2022</t>
        </is>
      </c>
      <c r="B696" s="1" t="n">
        <v>44881</v>
      </c>
      <c r="C696" s="1" t="n">
        <v>45204</v>
      </c>
      <c r="D696" t="inlineStr">
        <is>
          <t>VÄSTERBOTTENS LÄN</t>
        </is>
      </c>
      <c r="E696" t="inlineStr">
        <is>
          <t>SKELLEFTEÅ</t>
        </is>
      </c>
      <c r="F696" t="inlineStr">
        <is>
          <t>Sveaskog</t>
        </is>
      </c>
      <c r="G696" t="n">
        <v>1.2</v>
      </c>
      <c r="H696" t="n">
        <v>0</v>
      </c>
      <c r="I696" t="n">
        <v>1</v>
      </c>
      <c r="J696" t="n">
        <v>0</v>
      </c>
      <c r="K696" t="n">
        <v>0</v>
      </c>
      <c r="L696" t="n">
        <v>0</v>
      </c>
      <c r="M696" t="n">
        <v>0</v>
      </c>
      <c r="N696" t="n">
        <v>0</v>
      </c>
      <c r="O696" t="n">
        <v>0</v>
      </c>
      <c r="P696" t="n">
        <v>0</v>
      </c>
      <c r="Q696" t="n">
        <v>1</v>
      </c>
      <c r="R696" s="2" t="inlineStr">
        <is>
          <t>Luddlav</t>
        </is>
      </c>
      <c r="S696">
        <f>HYPERLINK("https://klasma.github.io/Logging_SKELLEFTEA/artfynd/A 54058-2022.xlsx", "A 54058-2022")</f>
        <v/>
      </c>
      <c r="T696">
        <f>HYPERLINK("https://klasma.github.io/Logging_SKELLEFTEA/kartor/A 54058-2022.png", "A 54058-2022")</f>
        <v/>
      </c>
      <c r="V696">
        <f>HYPERLINK("https://klasma.github.io/Logging_SKELLEFTEA/klagomål/A 54058-2022.docx", "A 54058-2022")</f>
        <v/>
      </c>
      <c r="W696">
        <f>HYPERLINK("https://klasma.github.io/Logging_SKELLEFTEA/klagomålsmail/A 54058-2022.docx", "A 54058-2022")</f>
        <v/>
      </c>
      <c r="X696">
        <f>HYPERLINK("https://klasma.github.io/Logging_SKELLEFTEA/tillsyn/A 54058-2022.docx", "A 54058-2022")</f>
        <v/>
      </c>
      <c r="Y696">
        <f>HYPERLINK("https://klasma.github.io/Logging_SKELLEFTEA/tillsynsmail/A 54058-2022.docx", "A 54058-2022")</f>
        <v/>
      </c>
    </row>
    <row r="697" ht="15" customHeight="1">
      <c r="A697" t="inlineStr">
        <is>
          <t>A 54832-2022</t>
        </is>
      </c>
      <c r="B697" s="1" t="n">
        <v>44883</v>
      </c>
      <c r="C697" s="1" t="n">
        <v>45204</v>
      </c>
      <c r="D697" t="inlineStr">
        <is>
          <t>VÄSTERBOTTENS LÄN</t>
        </is>
      </c>
      <c r="E697" t="inlineStr">
        <is>
          <t>DOROTEA</t>
        </is>
      </c>
      <c r="F697" t="inlineStr">
        <is>
          <t>SCA</t>
        </is>
      </c>
      <c r="G697" t="n">
        <v>6.4</v>
      </c>
      <c r="H697" t="n">
        <v>0</v>
      </c>
      <c r="I697" t="n">
        <v>0</v>
      </c>
      <c r="J697" t="n">
        <v>1</v>
      </c>
      <c r="K697" t="n">
        <v>0</v>
      </c>
      <c r="L697" t="n">
        <v>0</v>
      </c>
      <c r="M697" t="n">
        <v>0</v>
      </c>
      <c r="N697" t="n">
        <v>0</v>
      </c>
      <c r="O697" t="n">
        <v>1</v>
      </c>
      <c r="P697" t="n">
        <v>0</v>
      </c>
      <c r="Q697" t="n">
        <v>1</v>
      </c>
      <c r="R697" s="2" t="inlineStr">
        <is>
          <t>Gammelgransskål</t>
        </is>
      </c>
      <c r="S697">
        <f>HYPERLINK("https://klasma.github.io/Logging_DOROTEA/artfynd/A 54832-2022.xlsx", "A 54832-2022")</f>
        <v/>
      </c>
      <c r="T697">
        <f>HYPERLINK("https://klasma.github.io/Logging_DOROTEA/kartor/A 54832-2022.png", "A 54832-2022")</f>
        <v/>
      </c>
      <c r="V697">
        <f>HYPERLINK("https://klasma.github.io/Logging_DOROTEA/klagomål/A 54832-2022.docx", "A 54832-2022")</f>
        <v/>
      </c>
      <c r="W697">
        <f>HYPERLINK("https://klasma.github.io/Logging_DOROTEA/klagomålsmail/A 54832-2022.docx", "A 54832-2022")</f>
        <v/>
      </c>
      <c r="X697">
        <f>HYPERLINK("https://klasma.github.io/Logging_DOROTEA/tillsyn/A 54832-2022.docx", "A 54832-2022")</f>
        <v/>
      </c>
      <c r="Y697">
        <f>HYPERLINK("https://klasma.github.io/Logging_DOROTEA/tillsynsmail/A 54832-2022.docx", "A 54832-2022")</f>
        <v/>
      </c>
    </row>
    <row r="698" ht="15" customHeight="1">
      <c r="A698" t="inlineStr">
        <is>
          <t>A 57618-2022</t>
        </is>
      </c>
      <c r="B698" s="1" t="n">
        <v>44897</v>
      </c>
      <c r="C698" s="1" t="n">
        <v>45204</v>
      </c>
      <c r="D698" t="inlineStr">
        <is>
          <t>VÄSTERBOTTENS LÄN</t>
        </is>
      </c>
      <c r="E698" t="inlineStr">
        <is>
          <t>LYCKSELE</t>
        </is>
      </c>
      <c r="F698" t="inlineStr">
        <is>
          <t>Holmen skog AB</t>
        </is>
      </c>
      <c r="G698" t="n">
        <v>3.4</v>
      </c>
      <c r="H698" t="n">
        <v>0</v>
      </c>
      <c r="I698" t="n">
        <v>0</v>
      </c>
      <c r="J698" t="n">
        <v>0</v>
      </c>
      <c r="K698" t="n">
        <v>0</v>
      </c>
      <c r="L698" t="n">
        <v>1</v>
      </c>
      <c r="M698" t="n">
        <v>0</v>
      </c>
      <c r="N698" t="n">
        <v>0</v>
      </c>
      <c r="O698" t="n">
        <v>1</v>
      </c>
      <c r="P698" t="n">
        <v>1</v>
      </c>
      <c r="Q698" t="n">
        <v>1</v>
      </c>
      <c r="R698" s="2" t="inlineStr">
        <is>
          <t>Flodpärlmussla</t>
        </is>
      </c>
      <c r="S698">
        <f>HYPERLINK("https://klasma.github.io/Logging_LYCKSELE/artfynd/A 57618-2022.xlsx", "A 57618-2022")</f>
        <v/>
      </c>
      <c r="T698">
        <f>HYPERLINK("https://klasma.github.io/Logging_LYCKSELE/kartor/A 57618-2022.png", "A 57618-2022")</f>
        <v/>
      </c>
      <c r="V698">
        <f>HYPERLINK("https://klasma.github.io/Logging_LYCKSELE/klagomål/A 57618-2022.docx", "A 57618-2022")</f>
        <v/>
      </c>
      <c r="W698">
        <f>HYPERLINK("https://klasma.github.io/Logging_LYCKSELE/klagomålsmail/A 57618-2022.docx", "A 57618-2022")</f>
        <v/>
      </c>
      <c r="X698">
        <f>HYPERLINK("https://klasma.github.io/Logging_LYCKSELE/tillsyn/A 57618-2022.docx", "A 57618-2022")</f>
        <v/>
      </c>
      <c r="Y698">
        <f>HYPERLINK("https://klasma.github.io/Logging_LYCKSELE/tillsynsmail/A 57618-2022.docx", "A 57618-2022")</f>
        <v/>
      </c>
    </row>
    <row r="699" ht="15" customHeight="1">
      <c r="A699" t="inlineStr">
        <is>
          <t>A 58306-2022</t>
        </is>
      </c>
      <c r="B699" s="1" t="n">
        <v>44901</v>
      </c>
      <c r="C699" s="1" t="n">
        <v>45204</v>
      </c>
      <c r="D699" t="inlineStr">
        <is>
          <t>VÄSTERBOTTENS LÄN</t>
        </is>
      </c>
      <c r="E699" t="inlineStr">
        <is>
          <t>SKELLEFTEÅ</t>
        </is>
      </c>
      <c r="F699" t="inlineStr">
        <is>
          <t>Sveaskog</t>
        </is>
      </c>
      <c r="G699" t="n">
        <v>10.8</v>
      </c>
      <c r="H699" t="n">
        <v>0</v>
      </c>
      <c r="I699" t="n">
        <v>0</v>
      </c>
      <c r="J699" t="n">
        <v>1</v>
      </c>
      <c r="K699" t="n">
        <v>0</v>
      </c>
      <c r="L699" t="n">
        <v>0</v>
      </c>
      <c r="M699" t="n">
        <v>0</v>
      </c>
      <c r="N699" t="n">
        <v>0</v>
      </c>
      <c r="O699" t="n">
        <v>1</v>
      </c>
      <c r="P699" t="n">
        <v>0</v>
      </c>
      <c r="Q699" t="n">
        <v>1</v>
      </c>
      <c r="R699" s="2" t="inlineStr">
        <is>
          <t>Lunglav</t>
        </is>
      </c>
      <c r="S699">
        <f>HYPERLINK("https://klasma.github.io/Logging_SKELLEFTEA/artfynd/A 58306-2022.xlsx", "A 58306-2022")</f>
        <v/>
      </c>
      <c r="T699">
        <f>HYPERLINK("https://klasma.github.io/Logging_SKELLEFTEA/kartor/A 58306-2022.png", "A 58306-2022")</f>
        <v/>
      </c>
      <c r="V699">
        <f>HYPERLINK("https://klasma.github.io/Logging_SKELLEFTEA/klagomål/A 58306-2022.docx", "A 58306-2022")</f>
        <v/>
      </c>
      <c r="W699">
        <f>HYPERLINK("https://klasma.github.io/Logging_SKELLEFTEA/klagomålsmail/A 58306-2022.docx", "A 58306-2022")</f>
        <v/>
      </c>
      <c r="X699">
        <f>HYPERLINK("https://klasma.github.io/Logging_SKELLEFTEA/tillsyn/A 58306-2022.docx", "A 58306-2022")</f>
        <v/>
      </c>
      <c r="Y699">
        <f>HYPERLINK("https://klasma.github.io/Logging_SKELLEFTEA/tillsynsmail/A 58306-2022.docx", "A 58306-2022")</f>
        <v/>
      </c>
    </row>
    <row r="700" ht="15" customHeight="1">
      <c r="A700" t="inlineStr">
        <is>
          <t>A 59075-2022</t>
        </is>
      </c>
      <c r="B700" s="1" t="n">
        <v>44904</v>
      </c>
      <c r="C700" s="1" t="n">
        <v>45204</v>
      </c>
      <c r="D700" t="inlineStr">
        <is>
          <t>VÄSTERBOTTENS LÄN</t>
        </is>
      </c>
      <c r="E700" t="inlineStr">
        <is>
          <t>UMEÅ</t>
        </is>
      </c>
      <c r="G700" t="n">
        <v>0.4</v>
      </c>
      <c r="H700" t="n">
        <v>0</v>
      </c>
      <c r="I700" t="n">
        <v>1</v>
      </c>
      <c r="J700" t="n">
        <v>0</v>
      </c>
      <c r="K700" t="n">
        <v>0</v>
      </c>
      <c r="L700" t="n">
        <v>0</v>
      </c>
      <c r="M700" t="n">
        <v>0</v>
      </c>
      <c r="N700" t="n">
        <v>0</v>
      </c>
      <c r="O700" t="n">
        <v>0</v>
      </c>
      <c r="P700" t="n">
        <v>0</v>
      </c>
      <c r="Q700" t="n">
        <v>1</v>
      </c>
      <c r="R700" s="2" t="inlineStr">
        <is>
          <t>Vedticka</t>
        </is>
      </c>
      <c r="S700">
        <f>HYPERLINK("https://klasma.github.io/Logging_UMEA/artfynd/A 59075-2022.xlsx", "A 59075-2022")</f>
        <v/>
      </c>
      <c r="T700">
        <f>HYPERLINK("https://klasma.github.io/Logging_UMEA/kartor/A 59075-2022.png", "A 59075-2022")</f>
        <v/>
      </c>
      <c r="V700">
        <f>HYPERLINK("https://klasma.github.io/Logging_UMEA/klagomål/A 59075-2022.docx", "A 59075-2022")</f>
        <v/>
      </c>
      <c r="W700">
        <f>HYPERLINK("https://klasma.github.io/Logging_UMEA/klagomålsmail/A 59075-2022.docx", "A 59075-2022")</f>
        <v/>
      </c>
      <c r="X700">
        <f>HYPERLINK("https://klasma.github.io/Logging_UMEA/tillsyn/A 59075-2022.docx", "A 59075-2022")</f>
        <v/>
      </c>
      <c r="Y700">
        <f>HYPERLINK("https://klasma.github.io/Logging_UMEA/tillsynsmail/A 59075-2022.docx", "A 59075-2022")</f>
        <v/>
      </c>
    </row>
    <row r="701" ht="15" customHeight="1">
      <c r="A701" t="inlineStr">
        <is>
          <t>A 59480-2022</t>
        </is>
      </c>
      <c r="B701" s="1" t="n">
        <v>44907</v>
      </c>
      <c r="C701" s="1" t="n">
        <v>45204</v>
      </c>
      <c r="D701" t="inlineStr">
        <is>
          <t>VÄSTERBOTTENS LÄN</t>
        </is>
      </c>
      <c r="E701" t="inlineStr">
        <is>
          <t>VÄNNÄS</t>
        </is>
      </c>
      <c r="G701" t="n">
        <v>0.6</v>
      </c>
      <c r="H701" t="n">
        <v>1</v>
      </c>
      <c r="I701" t="n">
        <v>1</v>
      </c>
      <c r="J701" t="n">
        <v>0</v>
      </c>
      <c r="K701" t="n">
        <v>0</v>
      </c>
      <c r="L701" t="n">
        <v>0</v>
      </c>
      <c r="M701" t="n">
        <v>0</v>
      </c>
      <c r="N701" t="n">
        <v>0</v>
      </c>
      <c r="O701" t="n">
        <v>0</v>
      </c>
      <c r="P701" t="n">
        <v>0</v>
      </c>
      <c r="Q701" t="n">
        <v>1</v>
      </c>
      <c r="R701" s="2" t="inlineStr">
        <is>
          <t>Korallrot</t>
        </is>
      </c>
      <c r="S701">
        <f>HYPERLINK("https://klasma.github.io/Logging_VANNAS/artfynd/A 59480-2022.xlsx", "A 59480-2022")</f>
        <v/>
      </c>
      <c r="T701">
        <f>HYPERLINK("https://klasma.github.io/Logging_VANNAS/kartor/A 59480-2022.png", "A 59480-2022")</f>
        <v/>
      </c>
      <c r="V701">
        <f>HYPERLINK("https://klasma.github.io/Logging_VANNAS/klagomål/A 59480-2022.docx", "A 59480-2022")</f>
        <v/>
      </c>
      <c r="W701">
        <f>HYPERLINK("https://klasma.github.io/Logging_VANNAS/klagomålsmail/A 59480-2022.docx", "A 59480-2022")</f>
        <v/>
      </c>
      <c r="X701">
        <f>HYPERLINK("https://klasma.github.io/Logging_VANNAS/tillsyn/A 59480-2022.docx", "A 59480-2022")</f>
        <v/>
      </c>
      <c r="Y701">
        <f>HYPERLINK("https://klasma.github.io/Logging_VANNAS/tillsynsmail/A 59480-2022.docx", "A 59480-2022")</f>
        <v/>
      </c>
    </row>
    <row r="702" ht="15" customHeight="1">
      <c r="A702" t="inlineStr">
        <is>
          <t>A 60231-2022</t>
        </is>
      </c>
      <c r="B702" s="1" t="n">
        <v>44910</v>
      </c>
      <c r="C702" s="1" t="n">
        <v>45204</v>
      </c>
      <c r="D702" t="inlineStr">
        <is>
          <t>VÄSTERBOTTENS LÄN</t>
        </is>
      </c>
      <c r="E702" t="inlineStr">
        <is>
          <t>SKELLEFTEÅ</t>
        </is>
      </c>
      <c r="F702" t="inlineStr">
        <is>
          <t>Holmen skog AB</t>
        </is>
      </c>
      <c r="G702" t="n">
        <v>6.4</v>
      </c>
      <c r="H702" t="n">
        <v>1</v>
      </c>
      <c r="I702" t="n">
        <v>0</v>
      </c>
      <c r="J702" t="n">
        <v>0</v>
      </c>
      <c r="K702" t="n">
        <v>0</v>
      </c>
      <c r="L702" t="n">
        <v>0</v>
      </c>
      <c r="M702" t="n">
        <v>0</v>
      </c>
      <c r="N702" t="n">
        <v>0</v>
      </c>
      <c r="O702" t="n">
        <v>0</v>
      </c>
      <c r="P702" t="n">
        <v>0</v>
      </c>
      <c r="Q702" t="n">
        <v>1</v>
      </c>
      <c r="R702" s="2" t="inlineStr">
        <is>
          <t>Fläcknycklar</t>
        </is>
      </c>
      <c r="S702">
        <f>HYPERLINK("https://klasma.github.io/Logging_SKELLEFTEA/artfynd/A 60231-2022.xlsx", "A 60231-2022")</f>
        <v/>
      </c>
      <c r="T702">
        <f>HYPERLINK("https://klasma.github.io/Logging_SKELLEFTEA/kartor/A 60231-2022.png", "A 60231-2022")</f>
        <v/>
      </c>
      <c r="V702">
        <f>HYPERLINK("https://klasma.github.io/Logging_SKELLEFTEA/klagomål/A 60231-2022.docx", "A 60231-2022")</f>
        <v/>
      </c>
      <c r="W702">
        <f>HYPERLINK("https://klasma.github.io/Logging_SKELLEFTEA/klagomålsmail/A 60231-2022.docx", "A 60231-2022")</f>
        <v/>
      </c>
      <c r="X702">
        <f>HYPERLINK("https://klasma.github.io/Logging_SKELLEFTEA/tillsyn/A 60231-2022.docx", "A 60231-2022")</f>
        <v/>
      </c>
      <c r="Y702">
        <f>HYPERLINK("https://klasma.github.io/Logging_SKELLEFTEA/tillsynsmail/A 60231-2022.docx", "A 60231-2022")</f>
        <v/>
      </c>
    </row>
    <row r="703" ht="15" customHeight="1">
      <c r="A703" t="inlineStr">
        <is>
          <t>A 60586-2022</t>
        </is>
      </c>
      <c r="B703" s="1" t="n">
        <v>44911</v>
      </c>
      <c r="C703" s="1" t="n">
        <v>45204</v>
      </c>
      <c r="D703" t="inlineStr">
        <is>
          <t>VÄSTERBOTTENS LÄN</t>
        </is>
      </c>
      <c r="E703" t="inlineStr">
        <is>
          <t>SKELLEFTEÅ</t>
        </is>
      </c>
      <c r="F703" t="inlineStr">
        <is>
          <t>Sveaskog</t>
        </is>
      </c>
      <c r="G703" t="n">
        <v>10.8</v>
      </c>
      <c r="H703" t="n">
        <v>0</v>
      </c>
      <c r="I703" t="n">
        <v>0</v>
      </c>
      <c r="J703" t="n">
        <v>1</v>
      </c>
      <c r="K703" t="n">
        <v>0</v>
      </c>
      <c r="L703" t="n">
        <v>0</v>
      </c>
      <c r="M703" t="n">
        <v>0</v>
      </c>
      <c r="N703" t="n">
        <v>0</v>
      </c>
      <c r="O703" t="n">
        <v>1</v>
      </c>
      <c r="P703" t="n">
        <v>0</v>
      </c>
      <c r="Q703" t="n">
        <v>1</v>
      </c>
      <c r="R703" s="2" t="inlineStr">
        <is>
          <t>Garnlav</t>
        </is>
      </c>
      <c r="S703">
        <f>HYPERLINK("https://klasma.github.io/Logging_SKELLEFTEA/artfynd/A 60586-2022.xlsx", "A 60586-2022")</f>
        <v/>
      </c>
      <c r="T703">
        <f>HYPERLINK("https://klasma.github.io/Logging_SKELLEFTEA/kartor/A 60586-2022.png", "A 60586-2022")</f>
        <v/>
      </c>
      <c r="V703">
        <f>HYPERLINK("https://klasma.github.io/Logging_SKELLEFTEA/klagomål/A 60586-2022.docx", "A 60586-2022")</f>
        <v/>
      </c>
      <c r="W703">
        <f>HYPERLINK("https://klasma.github.io/Logging_SKELLEFTEA/klagomålsmail/A 60586-2022.docx", "A 60586-2022")</f>
        <v/>
      </c>
      <c r="X703">
        <f>HYPERLINK("https://klasma.github.io/Logging_SKELLEFTEA/tillsyn/A 60586-2022.docx", "A 60586-2022")</f>
        <v/>
      </c>
      <c r="Y703">
        <f>HYPERLINK("https://klasma.github.io/Logging_SKELLEFTEA/tillsynsmail/A 60586-2022.docx", "A 60586-2022")</f>
        <v/>
      </c>
    </row>
    <row r="704" ht="15" customHeight="1">
      <c r="A704" t="inlineStr">
        <is>
          <t>A 60468-2022</t>
        </is>
      </c>
      <c r="B704" s="1" t="n">
        <v>44911</v>
      </c>
      <c r="C704" s="1" t="n">
        <v>45204</v>
      </c>
      <c r="D704" t="inlineStr">
        <is>
          <t>VÄSTERBOTTENS LÄN</t>
        </is>
      </c>
      <c r="E704" t="inlineStr">
        <is>
          <t>SKELLEFTEÅ</t>
        </is>
      </c>
      <c r="F704" t="inlineStr">
        <is>
          <t>Sveaskog</t>
        </is>
      </c>
      <c r="G704" t="n">
        <v>20.2</v>
      </c>
      <c r="H704" t="n">
        <v>1</v>
      </c>
      <c r="I704" t="n">
        <v>0</v>
      </c>
      <c r="J704" t="n">
        <v>0</v>
      </c>
      <c r="K704" t="n">
        <v>0</v>
      </c>
      <c r="L704" t="n">
        <v>0</v>
      </c>
      <c r="M704" t="n">
        <v>0</v>
      </c>
      <c r="N704" t="n">
        <v>0</v>
      </c>
      <c r="O704" t="n">
        <v>0</v>
      </c>
      <c r="P704" t="n">
        <v>0</v>
      </c>
      <c r="Q704" t="n">
        <v>1</v>
      </c>
      <c r="R704" s="2" t="inlineStr">
        <is>
          <t>Fläcknycklar</t>
        </is>
      </c>
      <c r="S704">
        <f>HYPERLINK("https://klasma.github.io/Logging_SKELLEFTEA/artfynd/A 60468-2022.xlsx", "A 60468-2022")</f>
        <v/>
      </c>
      <c r="T704">
        <f>HYPERLINK("https://klasma.github.io/Logging_SKELLEFTEA/kartor/A 60468-2022.png", "A 60468-2022")</f>
        <v/>
      </c>
      <c r="V704">
        <f>HYPERLINK("https://klasma.github.io/Logging_SKELLEFTEA/klagomål/A 60468-2022.docx", "A 60468-2022")</f>
        <v/>
      </c>
      <c r="W704">
        <f>HYPERLINK("https://klasma.github.io/Logging_SKELLEFTEA/klagomålsmail/A 60468-2022.docx", "A 60468-2022")</f>
        <v/>
      </c>
      <c r="X704">
        <f>HYPERLINK("https://klasma.github.io/Logging_SKELLEFTEA/tillsyn/A 60468-2022.docx", "A 60468-2022")</f>
        <v/>
      </c>
      <c r="Y704">
        <f>HYPERLINK("https://klasma.github.io/Logging_SKELLEFTEA/tillsynsmail/A 60468-2022.docx", "A 60468-2022")</f>
        <v/>
      </c>
    </row>
    <row r="705" ht="15" customHeight="1">
      <c r="A705" t="inlineStr">
        <is>
          <t>A 60719-2022</t>
        </is>
      </c>
      <c r="B705" s="1" t="n">
        <v>44912</v>
      </c>
      <c r="C705" s="1" t="n">
        <v>45204</v>
      </c>
      <c r="D705" t="inlineStr">
        <is>
          <t>VÄSTERBOTTENS LÄN</t>
        </is>
      </c>
      <c r="E705" t="inlineStr">
        <is>
          <t>NORDMALING</t>
        </is>
      </c>
      <c r="F705" t="inlineStr">
        <is>
          <t>SCA</t>
        </is>
      </c>
      <c r="G705" t="n">
        <v>9.199999999999999</v>
      </c>
      <c r="H705" t="n">
        <v>0</v>
      </c>
      <c r="I705" t="n">
        <v>0</v>
      </c>
      <c r="J705" t="n">
        <v>1</v>
      </c>
      <c r="K705" t="n">
        <v>0</v>
      </c>
      <c r="L705" t="n">
        <v>0</v>
      </c>
      <c r="M705" t="n">
        <v>0</v>
      </c>
      <c r="N705" t="n">
        <v>0</v>
      </c>
      <c r="O705" t="n">
        <v>1</v>
      </c>
      <c r="P705" t="n">
        <v>0</v>
      </c>
      <c r="Q705" t="n">
        <v>1</v>
      </c>
      <c r="R705" s="2" t="inlineStr">
        <is>
          <t>Motaggsvamp</t>
        </is>
      </c>
      <c r="S705">
        <f>HYPERLINK("https://klasma.github.io/Logging_NORDMALING/artfynd/A 60719-2022.xlsx", "A 60719-2022")</f>
        <v/>
      </c>
      <c r="T705">
        <f>HYPERLINK("https://klasma.github.io/Logging_NORDMALING/kartor/A 60719-2022.png", "A 60719-2022")</f>
        <v/>
      </c>
      <c r="V705">
        <f>HYPERLINK("https://klasma.github.io/Logging_NORDMALING/klagomål/A 60719-2022.docx", "A 60719-2022")</f>
        <v/>
      </c>
      <c r="W705">
        <f>HYPERLINK("https://klasma.github.io/Logging_NORDMALING/klagomålsmail/A 60719-2022.docx", "A 60719-2022")</f>
        <v/>
      </c>
      <c r="X705">
        <f>HYPERLINK("https://klasma.github.io/Logging_NORDMALING/tillsyn/A 60719-2022.docx", "A 60719-2022")</f>
        <v/>
      </c>
      <c r="Y705">
        <f>HYPERLINK("https://klasma.github.io/Logging_NORDMALING/tillsynsmail/A 60719-2022.docx", "A 60719-2022")</f>
        <v/>
      </c>
    </row>
    <row r="706" ht="15" customHeight="1">
      <c r="A706" t="inlineStr">
        <is>
          <t>A 61508-2022</t>
        </is>
      </c>
      <c r="B706" s="1" t="n">
        <v>44916</v>
      </c>
      <c r="C706" s="1" t="n">
        <v>45204</v>
      </c>
      <c r="D706" t="inlineStr">
        <is>
          <t>VÄSTERBOTTENS LÄN</t>
        </is>
      </c>
      <c r="E706" t="inlineStr">
        <is>
          <t>VÄNNÄS</t>
        </is>
      </c>
      <c r="G706" t="n">
        <v>4.2</v>
      </c>
      <c r="H706" t="n">
        <v>1</v>
      </c>
      <c r="I706" t="n">
        <v>0</v>
      </c>
      <c r="J706" t="n">
        <v>1</v>
      </c>
      <c r="K706" t="n">
        <v>0</v>
      </c>
      <c r="L706" t="n">
        <v>0</v>
      </c>
      <c r="M706" t="n">
        <v>0</v>
      </c>
      <c r="N706" t="n">
        <v>0</v>
      </c>
      <c r="O706" t="n">
        <v>1</v>
      </c>
      <c r="P706" t="n">
        <v>0</v>
      </c>
      <c r="Q706" t="n">
        <v>1</v>
      </c>
      <c r="R706" s="2" t="inlineStr">
        <is>
          <t>Lundsångare</t>
        </is>
      </c>
      <c r="S706">
        <f>HYPERLINK("https://klasma.github.io/Logging_VANNAS/artfynd/A 61508-2022.xlsx", "A 61508-2022")</f>
        <v/>
      </c>
      <c r="T706">
        <f>HYPERLINK("https://klasma.github.io/Logging_VANNAS/kartor/A 61508-2022.png", "A 61508-2022")</f>
        <v/>
      </c>
      <c r="V706">
        <f>HYPERLINK("https://klasma.github.io/Logging_VANNAS/klagomål/A 61508-2022.docx", "A 61508-2022")</f>
        <v/>
      </c>
      <c r="W706">
        <f>HYPERLINK("https://klasma.github.io/Logging_VANNAS/klagomålsmail/A 61508-2022.docx", "A 61508-2022")</f>
        <v/>
      </c>
      <c r="X706">
        <f>HYPERLINK("https://klasma.github.io/Logging_VANNAS/tillsyn/A 61508-2022.docx", "A 61508-2022")</f>
        <v/>
      </c>
      <c r="Y706">
        <f>HYPERLINK("https://klasma.github.io/Logging_VANNAS/tillsynsmail/A 61508-2022.docx", "A 61508-2022")</f>
        <v/>
      </c>
    </row>
    <row r="707" ht="15" customHeight="1">
      <c r="A707" t="inlineStr">
        <is>
          <t>A 61826-2022</t>
        </is>
      </c>
      <c r="B707" s="1" t="n">
        <v>44917</v>
      </c>
      <c r="C707" s="1" t="n">
        <v>45204</v>
      </c>
      <c r="D707" t="inlineStr">
        <is>
          <t>VÄSTERBOTTENS LÄN</t>
        </is>
      </c>
      <c r="E707" t="inlineStr">
        <is>
          <t>VINDELN</t>
        </is>
      </c>
      <c r="G707" t="n">
        <v>3.1</v>
      </c>
      <c r="H707" t="n">
        <v>0</v>
      </c>
      <c r="I707" t="n">
        <v>1</v>
      </c>
      <c r="J707" t="n">
        <v>0</v>
      </c>
      <c r="K707" t="n">
        <v>0</v>
      </c>
      <c r="L707" t="n">
        <v>0</v>
      </c>
      <c r="M707" t="n">
        <v>0</v>
      </c>
      <c r="N707" t="n">
        <v>0</v>
      </c>
      <c r="O707" t="n">
        <v>0</v>
      </c>
      <c r="P707" t="n">
        <v>0</v>
      </c>
      <c r="Q707" t="n">
        <v>1</v>
      </c>
      <c r="R707" s="2" t="inlineStr">
        <is>
          <t>Mindre märgborre</t>
        </is>
      </c>
      <c r="S707">
        <f>HYPERLINK("https://klasma.github.io/Logging_VINDELN/artfynd/A 61826-2022.xlsx", "A 61826-2022")</f>
        <v/>
      </c>
      <c r="T707">
        <f>HYPERLINK("https://klasma.github.io/Logging_VINDELN/kartor/A 61826-2022.png", "A 61826-2022")</f>
        <v/>
      </c>
      <c r="V707">
        <f>HYPERLINK("https://klasma.github.io/Logging_VINDELN/klagomål/A 61826-2022.docx", "A 61826-2022")</f>
        <v/>
      </c>
      <c r="W707">
        <f>HYPERLINK("https://klasma.github.io/Logging_VINDELN/klagomålsmail/A 61826-2022.docx", "A 61826-2022")</f>
        <v/>
      </c>
      <c r="X707">
        <f>HYPERLINK("https://klasma.github.io/Logging_VINDELN/tillsyn/A 61826-2022.docx", "A 61826-2022")</f>
        <v/>
      </c>
      <c r="Y707">
        <f>HYPERLINK("https://klasma.github.io/Logging_VINDELN/tillsynsmail/A 61826-2022.docx", "A 61826-2022")</f>
        <v/>
      </c>
    </row>
    <row r="708" ht="15" customHeight="1">
      <c r="A708" t="inlineStr">
        <is>
          <t>A 62112-2022</t>
        </is>
      </c>
      <c r="B708" s="1" t="n">
        <v>44920</v>
      </c>
      <c r="C708" s="1" t="n">
        <v>45204</v>
      </c>
      <c r="D708" t="inlineStr">
        <is>
          <t>VÄSTERBOTTENS LÄN</t>
        </is>
      </c>
      <c r="E708" t="inlineStr">
        <is>
          <t>BJURHOLM</t>
        </is>
      </c>
      <c r="G708" t="n">
        <v>4.1</v>
      </c>
      <c r="H708" t="n">
        <v>0</v>
      </c>
      <c r="I708" t="n">
        <v>0</v>
      </c>
      <c r="J708" t="n">
        <v>1</v>
      </c>
      <c r="K708" t="n">
        <v>0</v>
      </c>
      <c r="L708" t="n">
        <v>0</v>
      </c>
      <c r="M708" t="n">
        <v>0</v>
      </c>
      <c r="N708" t="n">
        <v>0</v>
      </c>
      <c r="O708" t="n">
        <v>1</v>
      </c>
      <c r="P708" t="n">
        <v>0</v>
      </c>
      <c r="Q708" t="n">
        <v>1</v>
      </c>
      <c r="R708" s="2" t="inlineStr">
        <is>
          <t>Harticka</t>
        </is>
      </c>
      <c r="S708">
        <f>HYPERLINK("https://klasma.github.io/Logging_BJURHOLM/artfynd/A 62112-2022.xlsx", "A 62112-2022")</f>
        <v/>
      </c>
      <c r="T708">
        <f>HYPERLINK("https://klasma.github.io/Logging_BJURHOLM/kartor/A 62112-2022.png", "A 62112-2022")</f>
        <v/>
      </c>
      <c r="V708">
        <f>HYPERLINK("https://klasma.github.io/Logging_BJURHOLM/klagomål/A 62112-2022.docx", "A 62112-2022")</f>
        <v/>
      </c>
      <c r="W708">
        <f>HYPERLINK("https://klasma.github.io/Logging_BJURHOLM/klagomålsmail/A 62112-2022.docx", "A 62112-2022")</f>
        <v/>
      </c>
      <c r="X708">
        <f>HYPERLINK("https://klasma.github.io/Logging_BJURHOLM/tillsyn/A 62112-2022.docx", "A 62112-2022")</f>
        <v/>
      </c>
      <c r="Y708">
        <f>HYPERLINK("https://klasma.github.io/Logging_BJURHOLM/tillsynsmail/A 62112-2022.docx", "A 62112-2022")</f>
        <v/>
      </c>
    </row>
    <row r="709" ht="15" customHeight="1">
      <c r="A709" t="inlineStr">
        <is>
          <t>A 62578-2022</t>
        </is>
      </c>
      <c r="B709" s="1" t="n">
        <v>44924</v>
      </c>
      <c r="C709" s="1" t="n">
        <v>45204</v>
      </c>
      <c r="D709" t="inlineStr">
        <is>
          <t>VÄSTERBOTTENS LÄN</t>
        </is>
      </c>
      <c r="E709" t="inlineStr">
        <is>
          <t>VINDELN</t>
        </is>
      </c>
      <c r="G709" t="n">
        <v>4.6</v>
      </c>
      <c r="H709" t="n">
        <v>1</v>
      </c>
      <c r="I709" t="n">
        <v>0</v>
      </c>
      <c r="J709" t="n">
        <v>1</v>
      </c>
      <c r="K709" t="n">
        <v>0</v>
      </c>
      <c r="L709" t="n">
        <v>0</v>
      </c>
      <c r="M709" t="n">
        <v>0</v>
      </c>
      <c r="N709" t="n">
        <v>0</v>
      </c>
      <c r="O709" t="n">
        <v>1</v>
      </c>
      <c r="P709" t="n">
        <v>0</v>
      </c>
      <c r="Q709" t="n">
        <v>1</v>
      </c>
      <c r="R709" s="2" t="inlineStr">
        <is>
          <t>Tretåig hackspett</t>
        </is>
      </c>
      <c r="S709">
        <f>HYPERLINK("https://klasma.github.io/Logging_VINDELN/artfynd/A 62578-2022.xlsx", "A 62578-2022")</f>
        <v/>
      </c>
      <c r="T709">
        <f>HYPERLINK("https://klasma.github.io/Logging_VINDELN/kartor/A 62578-2022.png", "A 62578-2022")</f>
        <v/>
      </c>
      <c r="V709">
        <f>HYPERLINK("https://klasma.github.io/Logging_VINDELN/klagomål/A 62578-2022.docx", "A 62578-2022")</f>
        <v/>
      </c>
      <c r="W709">
        <f>HYPERLINK("https://klasma.github.io/Logging_VINDELN/klagomålsmail/A 62578-2022.docx", "A 62578-2022")</f>
        <v/>
      </c>
      <c r="X709">
        <f>HYPERLINK("https://klasma.github.io/Logging_VINDELN/tillsyn/A 62578-2022.docx", "A 62578-2022")</f>
        <v/>
      </c>
      <c r="Y709">
        <f>HYPERLINK("https://klasma.github.io/Logging_VINDELN/tillsynsmail/A 62578-2022.docx", "A 62578-2022")</f>
        <v/>
      </c>
    </row>
    <row r="710" ht="15" customHeight="1">
      <c r="A710" t="inlineStr">
        <is>
          <t>A 62744-2022</t>
        </is>
      </c>
      <c r="B710" s="1" t="n">
        <v>44925</v>
      </c>
      <c r="C710" s="1" t="n">
        <v>45204</v>
      </c>
      <c r="D710" t="inlineStr">
        <is>
          <t>VÄSTERBOTTENS LÄN</t>
        </is>
      </c>
      <c r="E710" t="inlineStr">
        <is>
          <t>ÅSELE</t>
        </is>
      </c>
      <c r="F710" t="inlineStr">
        <is>
          <t>SCA</t>
        </is>
      </c>
      <c r="G710" t="n">
        <v>13.7</v>
      </c>
      <c r="H710" t="n">
        <v>0</v>
      </c>
      <c r="I710" t="n">
        <v>0</v>
      </c>
      <c r="J710" t="n">
        <v>1</v>
      </c>
      <c r="K710" t="n">
        <v>0</v>
      </c>
      <c r="L710" t="n">
        <v>0</v>
      </c>
      <c r="M710" t="n">
        <v>0</v>
      </c>
      <c r="N710" t="n">
        <v>0</v>
      </c>
      <c r="O710" t="n">
        <v>1</v>
      </c>
      <c r="P710" t="n">
        <v>0</v>
      </c>
      <c r="Q710" t="n">
        <v>1</v>
      </c>
      <c r="R710" s="2" t="inlineStr">
        <is>
          <t>Granticka</t>
        </is>
      </c>
      <c r="S710">
        <f>HYPERLINK("https://klasma.github.io/Logging_ASELE/artfynd/A 62744-2022.xlsx", "A 62744-2022")</f>
        <v/>
      </c>
      <c r="T710">
        <f>HYPERLINK("https://klasma.github.io/Logging_ASELE/kartor/A 62744-2022.png", "A 62744-2022")</f>
        <v/>
      </c>
      <c r="V710">
        <f>HYPERLINK("https://klasma.github.io/Logging_ASELE/klagomål/A 62744-2022.docx", "A 62744-2022")</f>
        <v/>
      </c>
      <c r="W710">
        <f>HYPERLINK("https://klasma.github.io/Logging_ASELE/klagomålsmail/A 62744-2022.docx", "A 62744-2022")</f>
        <v/>
      </c>
      <c r="X710">
        <f>HYPERLINK("https://klasma.github.io/Logging_ASELE/tillsyn/A 62744-2022.docx", "A 62744-2022")</f>
        <v/>
      </c>
      <c r="Y710">
        <f>HYPERLINK("https://klasma.github.io/Logging_ASELE/tillsynsmail/A 62744-2022.docx", "A 62744-2022")</f>
        <v/>
      </c>
    </row>
    <row r="711" ht="15" customHeight="1">
      <c r="A711" t="inlineStr">
        <is>
          <t>A 62698-2022</t>
        </is>
      </c>
      <c r="B711" s="1" t="n">
        <v>44925</v>
      </c>
      <c r="C711" s="1" t="n">
        <v>45204</v>
      </c>
      <c r="D711" t="inlineStr">
        <is>
          <t>VÄSTERBOTTENS LÄN</t>
        </is>
      </c>
      <c r="E711" t="inlineStr">
        <is>
          <t>VINDELN</t>
        </is>
      </c>
      <c r="G711" t="n">
        <v>14.8</v>
      </c>
      <c r="H711" t="n">
        <v>0</v>
      </c>
      <c r="I711" t="n">
        <v>0</v>
      </c>
      <c r="J711" t="n">
        <v>1</v>
      </c>
      <c r="K711" t="n">
        <v>0</v>
      </c>
      <c r="L711" t="n">
        <v>0</v>
      </c>
      <c r="M711" t="n">
        <v>0</v>
      </c>
      <c r="N711" t="n">
        <v>0</v>
      </c>
      <c r="O711" t="n">
        <v>1</v>
      </c>
      <c r="P711" t="n">
        <v>0</v>
      </c>
      <c r="Q711" t="n">
        <v>1</v>
      </c>
      <c r="R711" s="2" t="inlineStr">
        <is>
          <t>Garnlav</t>
        </is>
      </c>
      <c r="S711">
        <f>HYPERLINK("https://klasma.github.io/Logging_VINDELN/artfynd/A 62698-2022.xlsx", "A 62698-2022")</f>
        <v/>
      </c>
      <c r="T711">
        <f>HYPERLINK("https://klasma.github.io/Logging_VINDELN/kartor/A 62698-2022.png", "A 62698-2022")</f>
        <v/>
      </c>
      <c r="V711">
        <f>HYPERLINK("https://klasma.github.io/Logging_VINDELN/klagomål/A 62698-2022.docx", "A 62698-2022")</f>
        <v/>
      </c>
      <c r="W711">
        <f>HYPERLINK("https://klasma.github.io/Logging_VINDELN/klagomålsmail/A 62698-2022.docx", "A 62698-2022")</f>
        <v/>
      </c>
      <c r="X711">
        <f>HYPERLINK("https://klasma.github.io/Logging_VINDELN/tillsyn/A 62698-2022.docx", "A 62698-2022")</f>
        <v/>
      </c>
      <c r="Y711">
        <f>HYPERLINK("https://klasma.github.io/Logging_VINDELN/tillsynsmail/A 62698-2022.docx", "A 62698-2022")</f>
        <v/>
      </c>
    </row>
    <row r="712" ht="15" customHeight="1">
      <c r="A712" t="inlineStr">
        <is>
          <t>A 609-2023</t>
        </is>
      </c>
      <c r="B712" s="1" t="n">
        <v>44928</v>
      </c>
      <c r="C712" s="1" t="n">
        <v>45204</v>
      </c>
      <c r="D712" t="inlineStr">
        <is>
          <t>VÄSTERBOTTENS LÄN</t>
        </is>
      </c>
      <c r="E712" t="inlineStr">
        <is>
          <t>SKELLEFTEÅ</t>
        </is>
      </c>
      <c r="G712" t="n">
        <v>20.1</v>
      </c>
      <c r="H712" t="n">
        <v>0</v>
      </c>
      <c r="I712" t="n">
        <v>0</v>
      </c>
      <c r="J712" t="n">
        <v>1</v>
      </c>
      <c r="K712" t="n">
        <v>0</v>
      </c>
      <c r="L712" t="n">
        <v>0</v>
      </c>
      <c r="M712" t="n">
        <v>0</v>
      </c>
      <c r="N712" t="n">
        <v>0</v>
      </c>
      <c r="O712" t="n">
        <v>1</v>
      </c>
      <c r="P712" t="n">
        <v>0</v>
      </c>
      <c r="Q712" t="n">
        <v>1</v>
      </c>
      <c r="R712" s="2" t="inlineStr">
        <is>
          <t>Granticka</t>
        </is>
      </c>
      <c r="S712">
        <f>HYPERLINK("https://klasma.github.io/Logging_SKELLEFTEA/artfynd/A 609-2023.xlsx", "A 609-2023")</f>
        <v/>
      </c>
      <c r="T712">
        <f>HYPERLINK("https://klasma.github.io/Logging_SKELLEFTEA/kartor/A 609-2023.png", "A 609-2023")</f>
        <v/>
      </c>
      <c r="V712">
        <f>HYPERLINK("https://klasma.github.io/Logging_SKELLEFTEA/klagomål/A 609-2023.docx", "A 609-2023")</f>
        <v/>
      </c>
      <c r="W712">
        <f>HYPERLINK("https://klasma.github.io/Logging_SKELLEFTEA/klagomålsmail/A 609-2023.docx", "A 609-2023")</f>
        <v/>
      </c>
      <c r="X712">
        <f>HYPERLINK("https://klasma.github.io/Logging_SKELLEFTEA/tillsyn/A 609-2023.docx", "A 609-2023")</f>
        <v/>
      </c>
      <c r="Y712">
        <f>HYPERLINK("https://klasma.github.io/Logging_SKELLEFTEA/tillsynsmail/A 609-2023.docx", "A 609-2023")</f>
        <v/>
      </c>
    </row>
    <row r="713" ht="15" customHeight="1">
      <c r="A713" t="inlineStr">
        <is>
          <t>A 4341-2023</t>
        </is>
      </c>
      <c r="B713" s="1" t="n">
        <v>44953</v>
      </c>
      <c r="C713" s="1" t="n">
        <v>45204</v>
      </c>
      <c r="D713" t="inlineStr">
        <is>
          <t>VÄSTERBOTTENS LÄN</t>
        </is>
      </c>
      <c r="E713" t="inlineStr">
        <is>
          <t>DOROTEA</t>
        </is>
      </c>
      <c r="F713" t="inlineStr">
        <is>
          <t>SCA</t>
        </is>
      </c>
      <c r="G713" t="n">
        <v>1.7</v>
      </c>
      <c r="H713" t="n">
        <v>0</v>
      </c>
      <c r="I713" t="n">
        <v>1</v>
      </c>
      <c r="J713" t="n">
        <v>0</v>
      </c>
      <c r="K713" t="n">
        <v>0</v>
      </c>
      <c r="L713" t="n">
        <v>0</v>
      </c>
      <c r="M713" t="n">
        <v>0</v>
      </c>
      <c r="N713" t="n">
        <v>0</v>
      </c>
      <c r="O713" t="n">
        <v>0</v>
      </c>
      <c r="P713" t="n">
        <v>0</v>
      </c>
      <c r="Q713" t="n">
        <v>1</v>
      </c>
      <c r="R713" s="2" t="inlineStr">
        <is>
          <t>Luddlav</t>
        </is>
      </c>
      <c r="S713">
        <f>HYPERLINK("https://klasma.github.io/Logging_DOROTEA/artfynd/A 4341-2023.xlsx", "A 4341-2023")</f>
        <v/>
      </c>
      <c r="T713">
        <f>HYPERLINK("https://klasma.github.io/Logging_DOROTEA/kartor/A 4341-2023.png", "A 4341-2023")</f>
        <v/>
      </c>
      <c r="V713">
        <f>HYPERLINK("https://klasma.github.io/Logging_DOROTEA/klagomål/A 4341-2023.docx", "A 4341-2023")</f>
        <v/>
      </c>
      <c r="W713">
        <f>HYPERLINK("https://klasma.github.io/Logging_DOROTEA/klagomålsmail/A 4341-2023.docx", "A 4341-2023")</f>
        <v/>
      </c>
      <c r="X713">
        <f>HYPERLINK("https://klasma.github.io/Logging_DOROTEA/tillsyn/A 4341-2023.docx", "A 4341-2023")</f>
        <v/>
      </c>
      <c r="Y713">
        <f>HYPERLINK("https://klasma.github.io/Logging_DOROTEA/tillsynsmail/A 4341-2023.docx", "A 4341-2023")</f>
        <v/>
      </c>
    </row>
    <row r="714" ht="15" customHeight="1">
      <c r="A714" t="inlineStr">
        <is>
          <t>A 5376-2023</t>
        </is>
      </c>
      <c r="B714" s="1" t="n">
        <v>44959</v>
      </c>
      <c r="C714" s="1" t="n">
        <v>45204</v>
      </c>
      <c r="D714" t="inlineStr">
        <is>
          <t>VÄSTERBOTTENS LÄN</t>
        </is>
      </c>
      <c r="E714" t="inlineStr">
        <is>
          <t>ROBERTSFORS</t>
        </is>
      </c>
      <c r="F714" t="inlineStr">
        <is>
          <t>Holmen skog AB</t>
        </is>
      </c>
      <c r="G714" t="n">
        <v>16.9</v>
      </c>
      <c r="H714" t="n">
        <v>1</v>
      </c>
      <c r="I714" t="n">
        <v>0</v>
      </c>
      <c r="J714" t="n">
        <v>1</v>
      </c>
      <c r="K714" t="n">
        <v>0</v>
      </c>
      <c r="L714" t="n">
        <v>0</v>
      </c>
      <c r="M714" t="n">
        <v>0</v>
      </c>
      <c r="N714" t="n">
        <v>0</v>
      </c>
      <c r="O714" t="n">
        <v>1</v>
      </c>
      <c r="P714" t="n">
        <v>0</v>
      </c>
      <c r="Q714" t="n">
        <v>1</v>
      </c>
      <c r="R714" s="2" t="inlineStr">
        <is>
          <t>Ärtsångare</t>
        </is>
      </c>
      <c r="S714">
        <f>HYPERLINK("https://klasma.github.io/Logging_ROBERTSFORS/artfynd/A 5376-2023.xlsx", "A 5376-2023")</f>
        <v/>
      </c>
      <c r="T714">
        <f>HYPERLINK("https://klasma.github.io/Logging_ROBERTSFORS/kartor/A 5376-2023.png", "A 5376-2023")</f>
        <v/>
      </c>
      <c r="V714">
        <f>HYPERLINK("https://klasma.github.io/Logging_ROBERTSFORS/klagomål/A 5376-2023.docx", "A 5376-2023")</f>
        <v/>
      </c>
      <c r="W714">
        <f>HYPERLINK("https://klasma.github.io/Logging_ROBERTSFORS/klagomålsmail/A 5376-2023.docx", "A 5376-2023")</f>
        <v/>
      </c>
      <c r="X714">
        <f>HYPERLINK("https://klasma.github.io/Logging_ROBERTSFORS/tillsyn/A 5376-2023.docx", "A 5376-2023")</f>
        <v/>
      </c>
      <c r="Y714">
        <f>HYPERLINK("https://klasma.github.io/Logging_ROBERTSFORS/tillsynsmail/A 5376-2023.docx", "A 5376-2023")</f>
        <v/>
      </c>
    </row>
    <row r="715" ht="15" customHeight="1">
      <c r="A715" t="inlineStr">
        <is>
          <t>A 6604-2023</t>
        </is>
      </c>
      <c r="B715" s="1" t="n">
        <v>44960</v>
      </c>
      <c r="C715" s="1" t="n">
        <v>45204</v>
      </c>
      <c r="D715" t="inlineStr">
        <is>
          <t>VÄSTERBOTTENS LÄN</t>
        </is>
      </c>
      <c r="E715" t="inlineStr">
        <is>
          <t>VILHELMINA</t>
        </is>
      </c>
      <c r="G715" t="n">
        <v>13.4</v>
      </c>
      <c r="H715" t="n">
        <v>0</v>
      </c>
      <c r="I715" t="n">
        <v>1</v>
      </c>
      <c r="J715" t="n">
        <v>0</v>
      </c>
      <c r="K715" t="n">
        <v>0</v>
      </c>
      <c r="L715" t="n">
        <v>0</v>
      </c>
      <c r="M715" t="n">
        <v>0</v>
      </c>
      <c r="N715" t="n">
        <v>0</v>
      </c>
      <c r="O715" t="n">
        <v>0</v>
      </c>
      <c r="P715" t="n">
        <v>0</v>
      </c>
      <c r="Q715" t="n">
        <v>1</v>
      </c>
      <c r="R715" s="2" t="inlineStr">
        <is>
          <t>Luddlav</t>
        </is>
      </c>
      <c r="S715">
        <f>HYPERLINK("https://klasma.github.io/Logging_VILHELMINA/artfynd/A 6604-2023.xlsx", "A 6604-2023")</f>
        <v/>
      </c>
      <c r="T715">
        <f>HYPERLINK("https://klasma.github.io/Logging_VILHELMINA/kartor/A 6604-2023.png", "A 6604-2023")</f>
        <v/>
      </c>
      <c r="V715">
        <f>HYPERLINK("https://klasma.github.io/Logging_VILHELMINA/klagomål/A 6604-2023.docx", "A 6604-2023")</f>
        <v/>
      </c>
      <c r="W715">
        <f>HYPERLINK("https://klasma.github.io/Logging_VILHELMINA/klagomålsmail/A 6604-2023.docx", "A 6604-2023")</f>
        <v/>
      </c>
      <c r="X715">
        <f>HYPERLINK("https://klasma.github.io/Logging_VILHELMINA/tillsyn/A 6604-2023.docx", "A 6604-2023")</f>
        <v/>
      </c>
      <c r="Y715">
        <f>HYPERLINK("https://klasma.github.io/Logging_VILHELMINA/tillsynsmail/A 6604-2023.docx", "A 6604-2023")</f>
        <v/>
      </c>
    </row>
    <row r="716" ht="15" customHeight="1">
      <c r="A716" t="inlineStr">
        <is>
          <t>A 6969-2023</t>
        </is>
      </c>
      <c r="B716" s="1" t="n">
        <v>44964</v>
      </c>
      <c r="C716" s="1" t="n">
        <v>45204</v>
      </c>
      <c r="D716" t="inlineStr">
        <is>
          <t>VÄSTERBOTTENS LÄN</t>
        </is>
      </c>
      <c r="E716" t="inlineStr">
        <is>
          <t>VILHELMINA</t>
        </is>
      </c>
      <c r="F716" t="inlineStr">
        <is>
          <t>Allmännings- och besparingsskogar</t>
        </is>
      </c>
      <c r="G716" t="n">
        <v>21.8</v>
      </c>
      <c r="H716" t="n">
        <v>0</v>
      </c>
      <c r="I716" t="n">
        <v>1</v>
      </c>
      <c r="J716" t="n">
        <v>0</v>
      </c>
      <c r="K716" t="n">
        <v>0</v>
      </c>
      <c r="L716" t="n">
        <v>0</v>
      </c>
      <c r="M716" t="n">
        <v>0</v>
      </c>
      <c r="N716" t="n">
        <v>0</v>
      </c>
      <c r="O716" t="n">
        <v>0</v>
      </c>
      <c r="P716" t="n">
        <v>0</v>
      </c>
      <c r="Q716" t="n">
        <v>1</v>
      </c>
      <c r="R716" s="2" t="inlineStr">
        <is>
          <t>Gulnål</t>
        </is>
      </c>
      <c r="S716">
        <f>HYPERLINK("https://klasma.github.io/Logging_VILHELMINA/artfynd/A 6969-2023.xlsx", "A 6969-2023")</f>
        <v/>
      </c>
      <c r="T716">
        <f>HYPERLINK("https://klasma.github.io/Logging_VILHELMINA/kartor/A 6969-2023.png", "A 6969-2023")</f>
        <v/>
      </c>
      <c r="V716">
        <f>HYPERLINK("https://klasma.github.io/Logging_VILHELMINA/klagomål/A 6969-2023.docx", "A 6969-2023")</f>
        <v/>
      </c>
      <c r="W716">
        <f>HYPERLINK("https://klasma.github.io/Logging_VILHELMINA/klagomålsmail/A 6969-2023.docx", "A 6969-2023")</f>
        <v/>
      </c>
      <c r="X716">
        <f>HYPERLINK("https://klasma.github.io/Logging_VILHELMINA/tillsyn/A 6969-2023.docx", "A 6969-2023")</f>
        <v/>
      </c>
      <c r="Y716">
        <f>HYPERLINK("https://klasma.github.io/Logging_VILHELMINA/tillsynsmail/A 6969-2023.docx", "A 6969-2023")</f>
        <v/>
      </c>
    </row>
    <row r="717" ht="15" customHeight="1">
      <c r="A717" t="inlineStr">
        <is>
          <t>A 6651-2023</t>
        </is>
      </c>
      <c r="B717" s="1" t="n">
        <v>44966</v>
      </c>
      <c r="C717" s="1" t="n">
        <v>45204</v>
      </c>
      <c r="D717" t="inlineStr">
        <is>
          <t>VÄSTERBOTTENS LÄN</t>
        </is>
      </c>
      <c r="E717" t="inlineStr">
        <is>
          <t>VINDELN</t>
        </is>
      </c>
      <c r="F717" t="inlineStr">
        <is>
          <t>Holmen skog AB</t>
        </is>
      </c>
      <c r="G717" t="n">
        <v>21.9</v>
      </c>
      <c r="H717" t="n">
        <v>0</v>
      </c>
      <c r="I717" t="n">
        <v>0</v>
      </c>
      <c r="J717" t="n">
        <v>1</v>
      </c>
      <c r="K717" t="n">
        <v>0</v>
      </c>
      <c r="L717" t="n">
        <v>0</v>
      </c>
      <c r="M717" t="n">
        <v>0</v>
      </c>
      <c r="N717" t="n">
        <v>0</v>
      </c>
      <c r="O717" t="n">
        <v>1</v>
      </c>
      <c r="P717" t="n">
        <v>0</v>
      </c>
      <c r="Q717" t="n">
        <v>1</v>
      </c>
      <c r="R717" s="2" t="inlineStr">
        <is>
          <t>Blå taggsvamp</t>
        </is>
      </c>
      <c r="S717">
        <f>HYPERLINK("https://klasma.github.io/Logging_VINDELN/artfynd/A 6651-2023.xlsx", "A 6651-2023")</f>
        <v/>
      </c>
      <c r="T717">
        <f>HYPERLINK("https://klasma.github.io/Logging_VINDELN/kartor/A 6651-2023.png", "A 6651-2023")</f>
        <v/>
      </c>
      <c r="V717">
        <f>HYPERLINK("https://klasma.github.io/Logging_VINDELN/klagomål/A 6651-2023.docx", "A 6651-2023")</f>
        <v/>
      </c>
      <c r="W717">
        <f>HYPERLINK("https://klasma.github.io/Logging_VINDELN/klagomålsmail/A 6651-2023.docx", "A 6651-2023")</f>
        <v/>
      </c>
      <c r="X717">
        <f>HYPERLINK("https://klasma.github.io/Logging_VINDELN/tillsyn/A 6651-2023.docx", "A 6651-2023")</f>
        <v/>
      </c>
      <c r="Y717">
        <f>HYPERLINK("https://klasma.github.io/Logging_VINDELN/tillsynsmail/A 6651-2023.docx", "A 6651-2023")</f>
        <v/>
      </c>
    </row>
    <row r="718" ht="15" customHeight="1">
      <c r="A718" t="inlineStr">
        <is>
          <t>A 9249-2023</t>
        </is>
      </c>
      <c r="B718" s="1" t="n">
        <v>44972</v>
      </c>
      <c r="C718" s="1" t="n">
        <v>45204</v>
      </c>
      <c r="D718" t="inlineStr">
        <is>
          <t>VÄSTERBOTTENS LÄN</t>
        </is>
      </c>
      <c r="E718" t="inlineStr">
        <is>
          <t>VILHELMINA</t>
        </is>
      </c>
      <c r="F718" t="inlineStr">
        <is>
          <t>Allmännings- och besparingsskogar</t>
        </is>
      </c>
      <c r="G718" t="n">
        <v>18</v>
      </c>
      <c r="H718" t="n">
        <v>1</v>
      </c>
      <c r="I718" t="n">
        <v>0</v>
      </c>
      <c r="J718" t="n">
        <v>1</v>
      </c>
      <c r="K718" t="n">
        <v>0</v>
      </c>
      <c r="L718" t="n">
        <v>0</v>
      </c>
      <c r="M718" t="n">
        <v>0</v>
      </c>
      <c r="N718" t="n">
        <v>0</v>
      </c>
      <c r="O718" t="n">
        <v>1</v>
      </c>
      <c r="P718" t="n">
        <v>0</v>
      </c>
      <c r="Q718" t="n">
        <v>1</v>
      </c>
      <c r="R718" s="2" t="inlineStr">
        <is>
          <t>Tretåig hackspett</t>
        </is>
      </c>
      <c r="S718">
        <f>HYPERLINK("https://klasma.github.io/Logging_VILHELMINA/artfynd/A 9249-2023.xlsx", "A 9249-2023")</f>
        <v/>
      </c>
      <c r="T718">
        <f>HYPERLINK("https://klasma.github.io/Logging_VILHELMINA/kartor/A 9249-2023.png", "A 9249-2023")</f>
        <v/>
      </c>
      <c r="V718">
        <f>HYPERLINK("https://klasma.github.io/Logging_VILHELMINA/klagomål/A 9249-2023.docx", "A 9249-2023")</f>
        <v/>
      </c>
      <c r="W718">
        <f>HYPERLINK("https://klasma.github.io/Logging_VILHELMINA/klagomålsmail/A 9249-2023.docx", "A 9249-2023")</f>
        <v/>
      </c>
      <c r="X718">
        <f>HYPERLINK("https://klasma.github.io/Logging_VILHELMINA/tillsyn/A 9249-2023.docx", "A 9249-2023")</f>
        <v/>
      </c>
      <c r="Y718">
        <f>HYPERLINK("https://klasma.github.io/Logging_VILHELMINA/tillsynsmail/A 9249-2023.docx", "A 9249-2023")</f>
        <v/>
      </c>
    </row>
    <row r="719" ht="15" customHeight="1">
      <c r="A719" t="inlineStr">
        <is>
          <t>A 10029-2023</t>
        </is>
      </c>
      <c r="B719" s="1" t="n">
        <v>44979</v>
      </c>
      <c r="C719" s="1" t="n">
        <v>45204</v>
      </c>
      <c r="D719" t="inlineStr">
        <is>
          <t>VÄSTERBOTTENS LÄN</t>
        </is>
      </c>
      <c r="E719" t="inlineStr">
        <is>
          <t>VINDELN</t>
        </is>
      </c>
      <c r="G719" t="n">
        <v>3.5</v>
      </c>
      <c r="H719" t="n">
        <v>0</v>
      </c>
      <c r="I719" t="n">
        <v>0</v>
      </c>
      <c r="J719" t="n">
        <v>1</v>
      </c>
      <c r="K719" t="n">
        <v>0</v>
      </c>
      <c r="L719" t="n">
        <v>0</v>
      </c>
      <c r="M719" t="n">
        <v>0</v>
      </c>
      <c r="N719" t="n">
        <v>0</v>
      </c>
      <c r="O719" t="n">
        <v>1</v>
      </c>
      <c r="P719" t="n">
        <v>0</v>
      </c>
      <c r="Q719" t="n">
        <v>1</v>
      </c>
      <c r="R719" s="2" t="inlineStr">
        <is>
          <t>Lunglav</t>
        </is>
      </c>
      <c r="S719">
        <f>HYPERLINK("https://klasma.github.io/Logging_VINDELN/artfynd/A 10029-2023.xlsx", "A 10029-2023")</f>
        <v/>
      </c>
      <c r="T719">
        <f>HYPERLINK("https://klasma.github.io/Logging_VINDELN/kartor/A 10029-2023.png", "A 10029-2023")</f>
        <v/>
      </c>
      <c r="V719">
        <f>HYPERLINK("https://klasma.github.io/Logging_VINDELN/klagomål/A 10029-2023.docx", "A 10029-2023")</f>
        <v/>
      </c>
      <c r="W719">
        <f>HYPERLINK("https://klasma.github.io/Logging_VINDELN/klagomålsmail/A 10029-2023.docx", "A 10029-2023")</f>
        <v/>
      </c>
      <c r="X719">
        <f>HYPERLINK("https://klasma.github.io/Logging_VINDELN/tillsyn/A 10029-2023.docx", "A 10029-2023")</f>
        <v/>
      </c>
      <c r="Y719">
        <f>HYPERLINK("https://klasma.github.io/Logging_VINDELN/tillsynsmail/A 10029-2023.docx", "A 10029-2023")</f>
        <v/>
      </c>
    </row>
    <row r="720" ht="15" customHeight="1">
      <c r="A720" t="inlineStr">
        <is>
          <t>A 11056-2023</t>
        </is>
      </c>
      <c r="B720" s="1" t="n">
        <v>44991</v>
      </c>
      <c r="C720" s="1" t="n">
        <v>45204</v>
      </c>
      <c r="D720" t="inlineStr">
        <is>
          <t>VÄSTERBOTTENS LÄN</t>
        </is>
      </c>
      <c r="E720" t="inlineStr">
        <is>
          <t>NORDMALING</t>
        </is>
      </c>
      <c r="F720" t="inlineStr">
        <is>
          <t>SCA</t>
        </is>
      </c>
      <c r="G720" t="n">
        <v>1</v>
      </c>
      <c r="H720" t="n">
        <v>1</v>
      </c>
      <c r="I720" t="n">
        <v>1</v>
      </c>
      <c r="J720" t="n">
        <v>0</v>
      </c>
      <c r="K720" t="n">
        <v>0</v>
      </c>
      <c r="L720" t="n">
        <v>0</v>
      </c>
      <c r="M720" t="n">
        <v>0</v>
      </c>
      <c r="N720" t="n">
        <v>0</v>
      </c>
      <c r="O720" t="n">
        <v>0</v>
      </c>
      <c r="P720" t="n">
        <v>0</v>
      </c>
      <c r="Q720" t="n">
        <v>1</v>
      </c>
      <c r="R720" s="2" t="inlineStr">
        <is>
          <t>Plattlummer</t>
        </is>
      </c>
      <c r="S720">
        <f>HYPERLINK("https://klasma.github.io/Logging_NORDMALING/artfynd/A 11056-2023.xlsx", "A 11056-2023")</f>
        <v/>
      </c>
      <c r="T720">
        <f>HYPERLINK("https://klasma.github.io/Logging_NORDMALING/kartor/A 11056-2023.png", "A 11056-2023")</f>
        <v/>
      </c>
      <c r="V720">
        <f>HYPERLINK("https://klasma.github.io/Logging_NORDMALING/klagomål/A 11056-2023.docx", "A 11056-2023")</f>
        <v/>
      </c>
      <c r="W720">
        <f>HYPERLINK("https://klasma.github.io/Logging_NORDMALING/klagomålsmail/A 11056-2023.docx", "A 11056-2023")</f>
        <v/>
      </c>
      <c r="X720">
        <f>HYPERLINK("https://klasma.github.io/Logging_NORDMALING/tillsyn/A 11056-2023.docx", "A 11056-2023")</f>
        <v/>
      </c>
      <c r="Y720">
        <f>HYPERLINK("https://klasma.github.io/Logging_NORDMALING/tillsynsmail/A 11056-2023.docx", "A 11056-2023")</f>
        <v/>
      </c>
    </row>
    <row r="721" ht="15" customHeight="1">
      <c r="A721" t="inlineStr">
        <is>
          <t>A 10862-2023</t>
        </is>
      </c>
      <c r="B721" s="1" t="n">
        <v>44991</v>
      </c>
      <c r="C721" s="1" t="n">
        <v>45204</v>
      </c>
      <c r="D721" t="inlineStr">
        <is>
          <t>VÄSTERBOTTENS LÄN</t>
        </is>
      </c>
      <c r="E721" t="inlineStr">
        <is>
          <t>VINDELN</t>
        </is>
      </c>
      <c r="G721" t="n">
        <v>26</v>
      </c>
      <c r="H721" t="n">
        <v>0</v>
      </c>
      <c r="I721" t="n">
        <v>0</v>
      </c>
      <c r="J721" t="n">
        <v>1</v>
      </c>
      <c r="K721" t="n">
        <v>0</v>
      </c>
      <c r="L721" t="n">
        <v>0</v>
      </c>
      <c r="M721" t="n">
        <v>0</v>
      </c>
      <c r="N721" t="n">
        <v>0</v>
      </c>
      <c r="O721" t="n">
        <v>1</v>
      </c>
      <c r="P721" t="n">
        <v>0</v>
      </c>
      <c r="Q721" t="n">
        <v>1</v>
      </c>
      <c r="R721" s="2" t="inlineStr">
        <is>
          <t>Gammelgransskål</t>
        </is>
      </c>
      <c r="S721">
        <f>HYPERLINK("https://klasma.github.io/Logging_VINDELN/artfynd/A 10862-2023.xlsx", "A 10862-2023")</f>
        <v/>
      </c>
      <c r="T721">
        <f>HYPERLINK("https://klasma.github.io/Logging_VINDELN/kartor/A 10862-2023.png", "A 10862-2023")</f>
        <v/>
      </c>
      <c r="V721">
        <f>HYPERLINK("https://klasma.github.io/Logging_VINDELN/klagomål/A 10862-2023.docx", "A 10862-2023")</f>
        <v/>
      </c>
      <c r="W721">
        <f>HYPERLINK("https://klasma.github.io/Logging_VINDELN/klagomålsmail/A 10862-2023.docx", "A 10862-2023")</f>
        <v/>
      </c>
      <c r="X721">
        <f>HYPERLINK("https://klasma.github.io/Logging_VINDELN/tillsyn/A 10862-2023.docx", "A 10862-2023")</f>
        <v/>
      </c>
      <c r="Y721">
        <f>HYPERLINK("https://klasma.github.io/Logging_VINDELN/tillsynsmail/A 10862-2023.docx", "A 10862-2023")</f>
        <v/>
      </c>
    </row>
    <row r="722" ht="15" customHeight="1">
      <c r="A722" t="inlineStr">
        <is>
          <t>A 11552-2023</t>
        </is>
      </c>
      <c r="B722" s="1" t="n">
        <v>44993</v>
      </c>
      <c r="C722" s="1" t="n">
        <v>45204</v>
      </c>
      <c r="D722" t="inlineStr">
        <is>
          <t>VÄSTERBOTTENS LÄN</t>
        </is>
      </c>
      <c r="E722" t="inlineStr">
        <is>
          <t>LYCKSELE</t>
        </is>
      </c>
      <c r="F722" t="inlineStr">
        <is>
          <t>SCA</t>
        </is>
      </c>
      <c r="G722" t="n">
        <v>11</v>
      </c>
      <c r="H722" t="n">
        <v>1</v>
      </c>
      <c r="I722" t="n">
        <v>0</v>
      </c>
      <c r="J722" t="n">
        <v>0</v>
      </c>
      <c r="K722" t="n">
        <v>0</v>
      </c>
      <c r="L722" t="n">
        <v>1</v>
      </c>
      <c r="M722" t="n">
        <v>0</v>
      </c>
      <c r="N722" t="n">
        <v>0</v>
      </c>
      <c r="O722" t="n">
        <v>1</v>
      </c>
      <c r="P722" t="n">
        <v>1</v>
      </c>
      <c r="Q722" t="n">
        <v>1</v>
      </c>
      <c r="R722" s="2" t="inlineStr">
        <is>
          <t>Tornseglare</t>
        </is>
      </c>
      <c r="S722">
        <f>HYPERLINK("https://klasma.github.io/Logging_LYCKSELE/artfynd/A 11552-2023.xlsx", "A 11552-2023")</f>
        <v/>
      </c>
      <c r="T722">
        <f>HYPERLINK("https://klasma.github.io/Logging_LYCKSELE/kartor/A 11552-2023.png", "A 11552-2023")</f>
        <v/>
      </c>
      <c r="V722">
        <f>HYPERLINK("https://klasma.github.io/Logging_LYCKSELE/klagomål/A 11552-2023.docx", "A 11552-2023")</f>
        <v/>
      </c>
      <c r="W722">
        <f>HYPERLINK("https://klasma.github.io/Logging_LYCKSELE/klagomålsmail/A 11552-2023.docx", "A 11552-2023")</f>
        <v/>
      </c>
      <c r="X722">
        <f>HYPERLINK("https://klasma.github.io/Logging_LYCKSELE/tillsyn/A 11552-2023.docx", "A 11552-2023")</f>
        <v/>
      </c>
      <c r="Y722">
        <f>HYPERLINK("https://klasma.github.io/Logging_LYCKSELE/tillsynsmail/A 11552-2023.docx", "A 11552-2023")</f>
        <v/>
      </c>
    </row>
    <row r="723" ht="15" customHeight="1">
      <c r="A723" t="inlineStr">
        <is>
          <t>A 11395-2023</t>
        </is>
      </c>
      <c r="B723" s="1" t="n">
        <v>44993</v>
      </c>
      <c r="C723" s="1" t="n">
        <v>45204</v>
      </c>
      <c r="D723" t="inlineStr">
        <is>
          <t>VÄSTERBOTTENS LÄN</t>
        </is>
      </c>
      <c r="E723" t="inlineStr">
        <is>
          <t>UMEÅ</t>
        </is>
      </c>
      <c r="G723" t="n">
        <v>6.1</v>
      </c>
      <c r="H723" t="n">
        <v>0</v>
      </c>
      <c r="I723" t="n">
        <v>1</v>
      </c>
      <c r="J723" t="n">
        <v>0</v>
      </c>
      <c r="K723" t="n">
        <v>0</v>
      </c>
      <c r="L723" t="n">
        <v>0</v>
      </c>
      <c r="M723" t="n">
        <v>0</v>
      </c>
      <c r="N723" t="n">
        <v>0</v>
      </c>
      <c r="O723" t="n">
        <v>0</v>
      </c>
      <c r="P723" t="n">
        <v>0</v>
      </c>
      <c r="Q723" t="n">
        <v>1</v>
      </c>
      <c r="R723" s="2" t="inlineStr">
        <is>
          <t>Skarp dropptaggsvamp</t>
        </is>
      </c>
      <c r="S723">
        <f>HYPERLINK("https://klasma.github.io/Logging_UMEA/artfynd/A 11395-2023.xlsx", "A 11395-2023")</f>
        <v/>
      </c>
      <c r="T723">
        <f>HYPERLINK("https://klasma.github.io/Logging_UMEA/kartor/A 11395-2023.png", "A 11395-2023")</f>
        <v/>
      </c>
      <c r="V723">
        <f>HYPERLINK("https://klasma.github.io/Logging_UMEA/klagomål/A 11395-2023.docx", "A 11395-2023")</f>
        <v/>
      </c>
      <c r="W723">
        <f>HYPERLINK("https://klasma.github.io/Logging_UMEA/klagomålsmail/A 11395-2023.docx", "A 11395-2023")</f>
        <v/>
      </c>
      <c r="X723">
        <f>HYPERLINK("https://klasma.github.io/Logging_UMEA/tillsyn/A 11395-2023.docx", "A 11395-2023")</f>
        <v/>
      </c>
      <c r="Y723">
        <f>HYPERLINK("https://klasma.github.io/Logging_UMEA/tillsynsmail/A 11395-2023.docx", "A 11395-2023")</f>
        <v/>
      </c>
    </row>
    <row r="724" ht="15" customHeight="1">
      <c r="A724" t="inlineStr">
        <is>
          <t>A 11891-2023</t>
        </is>
      </c>
      <c r="B724" s="1" t="n">
        <v>44994</v>
      </c>
      <c r="C724" s="1" t="n">
        <v>45204</v>
      </c>
      <c r="D724" t="inlineStr">
        <is>
          <t>VÄSTERBOTTENS LÄN</t>
        </is>
      </c>
      <c r="E724" t="inlineStr">
        <is>
          <t>SKELLEFTEÅ</t>
        </is>
      </c>
      <c r="G724" t="n">
        <v>10.5</v>
      </c>
      <c r="H724" t="n">
        <v>0</v>
      </c>
      <c r="I724" t="n">
        <v>0</v>
      </c>
      <c r="J724" t="n">
        <v>1</v>
      </c>
      <c r="K724" t="n">
        <v>0</v>
      </c>
      <c r="L724" t="n">
        <v>0</v>
      </c>
      <c r="M724" t="n">
        <v>0</v>
      </c>
      <c r="N724" t="n">
        <v>0</v>
      </c>
      <c r="O724" t="n">
        <v>1</v>
      </c>
      <c r="P724" t="n">
        <v>0</v>
      </c>
      <c r="Q724" t="n">
        <v>1</v>
      </c>
      <c r="R724" s="2" t="inlineStr">
        <is>
          <t>Violettgrå tagellav</t>
        </is>
      </c>
      <c r="S724">
        <f>HYPERLINK("https://klasma.github.io/Logging_SKELLEFTEA/artfynd/A 11891-2023.xlsx", "A 11891-2023")</f>
        <v/>
      </c>
      <c r="T724">
        <f>HYPERLINK("https://klasma.github.io/Logging_SKELLEFTEA/kartor/A 11891-2023.png", "A 11891-2023")</f>
        <v/>
      </c>
      <c r="V724">
        <f>HYPERLINK("https://klasma.github.io/Logging_SKELLEFTEA/klagomål/A 11891-2023.docx", "A 11891-2023")</f>
        <v/>
      </c>
      <c r="W724">
        <f>HYPERLINK("https://klasma.github.io/Logging_SKELLEFTEA/klagomålsmail/A 11891-2023.docx", "A 11891-2023")</f>
        <v/>
      </c>
      <c r="X724">
        <f>HYPERLINK("https://klasma.github.io/Logging_SKELLEFTEA/tillsyn/A 11891-2023.docx", "A 11891-2023")</f>
        <v/>
      </c>
      <c r="Y724">
        <f>HYPERLINK("https://klasma.github.io/Logging_SKELLEFTEA/tillsynsmail/A 11891-2023.docx", "A 11891-2023")</f>
        <v/>
      </c>
    </row>
    <row r="725" ht="15" customHeight="1">
      <c r="A725" t="inlineStr">
        <is>
          <t>A 11832-2023</t>
        </is>
      </c>
      <c r="B725" s="1" t="n">
        <v>44994</v>
      </c>
      <c r="C725" s="1" t="n">
        <v>45204</v>
      </c>
      <c r="D725" t="inlineStr">
        <is>
          <t>VÄSTERBOTTENS LÄN</t>
        </is>
      </c>
      <c r="E725" t="inlineStr">
        <is>
          <t>VILHELMINA</t>
        </is>
      </c>
      <c r="F725" t="inlineStr">
        <is>
          <t>SCA</t>
        </is>
      </c>
      <c r="G725" t="n">
        <v>6.7</v>
      </c>
      <c r="H725" t="n">
        <v>0</v>
      </c>
      <c r="I725" t="n">
        <v>0</v>
      </c>
      <c r="J725" t="n">
        <v>1</v>
      </c>
      <c r="K725" t="n">
        <v>0</v>
      </c>
      <c r="L725" t="n">
        <v>0</v>
      </c>
      <c r="M725" t="n">
        <v>0</v>
      </c>
      <c r="N725" t="n">
        <v>0</v>
      </c>
      <c r="O725" t="n">
        <v>1</v>
      </c>
      <c r="P725" t="n">
        <v>0</v>
      </c>
      <c r="Q725" t="n">
        <v>1</v>
      </c>
      <c r="R725" s="2" t="inlineStr">
        <is>
          <t>Granticka</t>
        </is>
      </c>
      <c r="S725">
        <f>HYPERLINK("https://klasma.github.io/Logging_VILHELMINA/artfynd/A 11832-2023.xlsx", "A 11832-2023")</f>
        <v/>
      </c>
      <c r="T725">
        <f>HYPERLINK("https://klasma.github.io/Logging_VILHELMINA/kartor/A 11832-2023.png", "A 11832-2023")</f>
        <v/>
      </c>
      <c r="V725">
        <f>HYPERLINK("https://klasma.github.io/Logging_VILHELMINA/klagomål/A 11832-2023.docx", "A 11832-2023")</f>
        <v/>
      </c>
      <c r="W725">
        <f>HYPERLINK("https://klasma.github.io/Logging_VILHELMINA/klagomålsmail/A 11832-2023.docx", "A 11832-2023")</f>
        <v/>
      </c>
      <c r="X725">
        <f>HYPERLINK("https://klasma.github.io/Logging_VILHELMINA/tillsyn/A 11832-2023.docx", "A 11832-2023")</f>
        <v/>
      </c>
      <c r="Y725">
        <f>HYPERLINK("https://klasma.github.io/Logging_VILHELMINA/tillsynsmail/A 11832-2023.docx", "A 11832-2023")</f>
        <v/>
      </c>
    </row>
    <row r="726" ht="15" customHeight="1">
      <c r="A726" t="inlineStr">
        <is>
          <t>A 11819-2023</t>
        </is>
      </c>
      <c r="B726" s="1" t="n">
        <v>44994</v>
      </c>
      <c r="C726" s="1" t="n">
        <v>45204</v>
      </c>
      <c r="D726" t="inlineStr">
        <is>
          <t>VÄSTERBOTTENS LÄN</t>
        </is>
      </c>
      <c r="E726" t="inlineStr">
        <is>
          <t>BJURHOLM</t>
        </is>
      </c>
      <c r="F726" t="inlineStr">
        <is>
          <t>SCA</t>
        </is>
      </c>
      <c r="G726" t="n">
        <v>2.7</v>
      </c>
      <c r="H726" t="n">
        <v>0</v>
      </c>
      <c r="I726" t="n">
        <v>0</v>
      </c>
      <c r="J726" t="n">
        <v>1</v>
      </c>
      <c r="K726" t="n">
        <v>0</v>
      </c>
      <c r="L726" t="n">
        <v>0</v>
      </c>
      <c r="M726" t="n">
        <v>0</v>
      </c>
      <c r="N726" t="n">
        <v>0</v>
      </c>
      <c r="O726" t="n">
        <v>1</v>
      </c>
      <c r="P726" t="n">
        <v>0</v>
      </c>
      <c r="Q726" t="n">
        <v>1</v>
      </c>
      <c r="R726" s="2" t="inlineStr">
        <is>
          <t>Gammelgransskål</t>
        </is>
      </c>
      <c r="S726">
        <f>HYPERLINK("https://klasma.github.io/Logging_BJURHOLM/artfynd/A 11819-2023.xlsx", "A 11819-2023")</f>
        <v/>
      </c>
      <c r="T726">
        <f>HYPERLINK("https://klasma.github.io/Logging_BJURHOLM/kartor/A 11819-2023.png", "A 11819-2023")</f>
        <v/>
      </c>
      <c r="V726">
        <f>HYPERLINK("https://klasma.github.io/Logging_BJURHOLM/klagomål/A 11819-2023.docx", "A 11819-2023")</f>
        <v/>
      </c>
      <c r="W726">
        <f>HYPERLINK("https://klasma.github.io/Logging_BJURHOLM/klagomålsmail/A 11819-2023.docx", "A 11819-2023")</f>
        <v/>
      </c>
      <c r="X726">
        <f>HYPERLINK("https://klasma.github.io/Logging_BJURHOLM/tillsyn/A 11819-2023.docx", "A 11819-2023")</f>
        <v/>
      </c>
      <c r="Y726">
        <f>HYPERLINK("https://klasma.github.io/Logging_BJURHOLM/tillsynsmail/A 11819-2023.docx", "A 11819-2023")</f>
        <v/>
      </c>
    </row>
    <row r="727" ht="15" customHeight="1">
      <c r="A727" t="inlineStr">
        <is>
          <t>A 13445-2023</t>
        </is>
      </c>
      <c r="B727" s="1" t="n">
        <v>45005</v>
      </c>
      <c r="C727" s="1" t="n">
        <v>45204</v>
      </c>
      <c r="D727" t="inlineStr">
        <is>
          <t>VÄSTERBOTTENS LÄN</t>
        </is>
      </c>
      <c r="E727" t="inlineStr">
        <is>
          <t>STORUMAN</t>
        </is>
      </c>
      <c r="G727" t="n">
        <v>3.6</v>
      </c>
      <c r="H727" t="n">
        <v>1</v>
      </c>
      <c r="I727" t="n">
        <v>0</v>
      </c>
      <c r="J727" t="n">
        <v>0</v>
      </c>
      <c r="K727" t="n">
        <v>0</v>
      </c>
      <c r="L727" t="n">
        <v>0</v>
      </c>
      <c r="M727" t="n">
        <v>0</v>
      </c>
      <c r="N727" t="n">
        <v>0</v>
      </c>
      <c r="O727" t="n">
        <v>0</v>
      </c>
      <c r="P727" t="n">
        <v>0</v>
      </c>
      <c r="Q727" t="n">
        <v>1</v>
      </c>
      <c r="R727" s="2" t="inlineStr">
        <is>
          <t>Skogsrör</t>
        </is>
      </c>
      <c r="S727">
        <f>HYPERLINK("https://klasma.github.io/Logging_STORUMAN/artfynd/A 13445-2023.xlsx", "A 13445-2023")</f>
        <v/>
      </c>
      <c r="T727">
        <f>HYPERLINK("https://klasma.github.io/Logging_STORUMAN/kartor/A 13445-2023.png", "A 13445-2023")</f>
        <v/>
      </c>
      <c r="V727">
        <f>HYPERLINK("https://klasma.github.io/Logging_STORUMAN/klagomål/A 13445-2023.docx", "A 13445-2023")</f>
        <v/>
      </c>
      <c r="W727">
        <f>HYPERLINK("https://klasma.github.io/Logging_STORUMAN/klagomålsmail/A 13445-2023.docx", "A 13445-2023")</f>
        <v/>
      </c>
      <c r="X727">
        <f>HYPERLINK("https://klasma.github.io/Logging_STORUMAN/tillsyn/A 13445-2023.docx", "A 13445-2023")</f>
        <v/>
      </c>
      <c r="Y727">
        <f>HYPERLINK("https://klasma.github.io/Logging_STORUMAN/tillsynsmail/A 13445-2023.docx", "A 13445-2023")</f>
        <v/>
      </c>
    </row>
    <row r="728" ht="15" customHeight="1">
      <c r="A728" t="inlineStr">
        <is>
          <t>A 15654-2023</t>
        </is>
      </c>
      <c r="B728" s="1" t="n">
        <v>45019</v>
      </c>
      <c r="C728" s="1" t="n">
        <v>45204</v>
      </c>
      <c r="D728" t="inlineStr">
        <is>
          <t>VÄSTERBOTTENS LÄN</t>
        </is>
      </c>
      <c r="E728" t="inlineStr">
        <is>
          <t>UMEÅ</t>
        </is>
      </c>
      <c r="F728" t="inlineStr">
        <is>
          <t>Kommuner</t>
        </is>
      </c>
      <c r="G728" t="n">
        <v>3.2</v>
      </c>
      <c r="H728" t="n">
        <v>0</v>
      </c>
      <c r="I728" t="n">
        <v>0</v>
      </c>
      <c r="J728" t="n">
        <v>1</v>
      </c>
      <c r="K728" t="n">
        <v>0</v>
      </c>
      <c r="L728" t="n">
        <v>0</v>
      </c>
      <c r="M728" t="n">
        <v>0</v>
      </c>
      <c r="N728" t="n">
        <v>0</v>
      </c>
      <c r="O728" t="n">
        <v>1</v>
      </c>
      <c r="P728" t="n">
        <v>0</v>
      </c>
      <c r="Q728" t="n">
        <v>1</v>
      </c>
      <c r="R728" s="2" t="inlineStr">
        <is>
          <t>Garnlav</t>
        </is>
      </c>
      <c r="S728">
        <f>HYPERLINK("https://klasma.github.io/Logging_UMEA/artfynd/A 15654-2023.xlsx", "A 15654-2023")</f>
        <v/>
      </c>
      <c r="T728">
        <f>HYPERLINK("https://klasma.github.io/Logging_UMEA/kartor/A 15654-2023.png", "A 15654-2023")</f>
        <v/>
      </c>
      <c r="V728">
        <f>HYPERLINK("https://klasma.github.io/Logging_UMEA/klagomål/A 15654-2023.docx", "A 15654-2023")</f>
        <v/>
      </c>
      <c r="W728">
        <f>HYPERLINK("https://klasma.github.io/Logging_UMEA/klagomålsmail/A 15654-2023.docx", "A 15654-2023")</f>
        <v/>
      </c>
      <c r="X728">
        <f>HYPERLINK("https://klasma.github.io/Logging_UMEA/tillsyn/A 15654-2023.docx", "A 15654-2023")</f>
        <v/>
      </c>
      <c r="Y728">
        <f>HYPERLINK("https://klasma.github.io/Logging_UMEA/tillsynsmail/A 15654-2023.docx", "A 15654-2023")</f>
        <v/>
      </c>
    </row>
    <row r="729" ht="15" customHeight="1">
      <c r="A729" t="inlineStr">
        <is>
          <t>A 15734-2023</t>
        </is>
      </c>
      <c r="B729" s="1" t="n">
        <v>45021</v>
      </c>
      <c r="C729" s="1" t="n">
        <v>45204</v>
      </c>
      <c r="D729" t="inlineStr">
        <is>
          <t>VÄSTERBOTTENS LÄN</t>
        </is>
      </c>
      <c r="E729" t="inlineStr">
        <is>
          <t>VÄNNÄS</t>
        </is>
      </c>
      <c r="G729" t="n">
        <v>2.6</v>
      </c>
      <c r="H729" t="n">
        <v>0</v>
      </c>
      <c r="I729" t="n">
        <v>0</v>
      </c>
      <c r="J729" t="n">
        <v>1</v>
      </c>
      <c r="K729" t="n">
        <v>0</v>
      </c>
      <c r="L729" t="n">
        <v>0</v>
      </c>
      <c r="M729" t="n">
        <v>0</v>
      </c>
      <c r="N729" t="n">
        <v>0</v>
      </c>
      <c r="O729" t="n">
        <v>1</v>
      </c>
      <c r="P729" t="n">
        <v>0</v>
      </c>
      <c r="Q729" t="n">
        <v>1</v>
      </c>
      <c r="R729" s="2" t="inlineStr">
        <is>
          <t>Skrovlig taggsvamp</t>
        </is>
      </c>
      <c r="S729">
        <f>HYPERLINK("https://klasma.github.io/Logging_VANNAS/artfynd/A 15734-2023.xlsx", "A 15734-2023")</f>
        <v/>
      </c>
      <c r="T729">
        <f>HYPERLINK("https://klasma.github.io/Logging_VANNAS/kartor/A 15734-2023.png", "A 15734-2023")</f>
        <v/>
      </c>
      <c r="V729">
        <f>HYPERLINK("https://klasma.github.io/Logging_VANNAS/klagomål/A 15734-2023.docx", "A 15734-2023")</f>
        <v/>
      </c>
      <c r="W729">
        <f>HYPERLINK("https://klasma.github.io/Logging_VANNAS/klagomålsmail/A 15734-2023.docx", "A 15734-2023")</f>
        <v/>
      </c>
      <c r="X729">
        <f>HYPERLINK("https://klasma.github.io/Logging_VANNAS/tillsyn/A 15734-2023.docx", "A 15734-2023")</f>
        <v/>
      </c>
      <c r="Y729">
        <f>HYPERLINK("https://klasma.github.io/Logging_VANNAS/tillsynsmail/A 15734-2023.docx", "A 15734-2023")</f>
        <v/>
      </c>
    </row>
    <row r="730" ht="15" customHeight="1">
      <c r="A730" t="inlineStr">
        <is>
          <t>A 19153-2023</t>
        </is>
      </c>
      <c r="B730" s="1" t="n">
        <v>45044</v>
      </c>
      <c r="C730" s="1" t="n">
        <v>45204</v>
      </c>
      <c r="D730" t="inlineStr">
        <is>
          <t>VÄSTERBOTTENS LÄN</t>
        </is>
      </c>
      <c r="E730" t="inlineStr">
        <is>
          <t>STORUMAN</t>
        </is>
      </c>
      <c r="G730" t="n">
        <v>16</v>
      </c>
      <c r="H730" t="n">
        <v>0</v>
      </c>
      <c r="I730" t="n">
        <v>0</v>
      </c>
      <c r="J730" t="n">
        <v>1</v>
      </c>
      <c r="K730" t="n">
        <v>0</v>
      </c>
      <c r="L730" t="n">
        <v>0</v>
      </c>
      <c r="M730" t="n">
        <v>0</v>
      </c>
      <c r="N730" t="n">
        <v>0</v>
      </c>
      <c r="O730" t="n">
        <v>1</v>
      </c>
      <c r="P730" t="n">
        <v>0</v>
      </c>
      <c r="Q730" t="n">
        <v>1</v>
      </c>
      <c r="R730" s="2" t="inlineStr">
        <is>
          <t>Ullticka</t>
        </is>
      </c>
      <c r="S730">
        <f>HYPERLINK("https://klasma.github.io/Logging_STORUMAN/artfynd/A 19153-2023.xlsx", "A 19153-2023")</f>
        <v/>
      </c>
      <c r="T730">
        <f>HYPERLINK("https://klasma.github.io/Logging_STORUMAN/kartor/A 19153-2023.png", "A 19153-2023")</f>
        <v/>
      </c>
      <c r="V730">
        <f>HYPERLINK("https://klasma.github.io/Logging_STORUMAN/klagomål/A 19153-2023.docx", "A 19153-2023")</f>
        <v/>
      </c>
      <c r="W730">
        <f>HYPERLINK("https://klasma.github.io/Logging_STORUMAN/klagomålsmail/A 19153-2023.docx", "A 19153-2023")</f>
        <v/>
      </c>
      <c r="X730">
        <f>HYPERLINK("https://klasma.github.io/Logging_STORUMAN/tillsyn/A 19153-2023.docx", "A 19153-2023")</f>
        <v/>
      </c>
      <c r="Y730">
        <f>HYPERLINK("https://klasma.github.io/Logging_STORUMAN/tillsynsmail/A 19153-2023.docx", "A 19153-2023")</f>
        <v/>
      </c>
    </row>
    <row r="731" ht="15" customHeight="1">
      <c r="A731" t="inlineStr">
        <is>
          <t>A 20608-2023</t>
        </is>
      </c>
      <c r="B731" s="1" t="n">
        <v>45057</v>
      </c>
      <c r="C731" s="1" t="n">
        <v>45204</v>
      </c>
      <c r="D731" t="inlineStr">
        <is>
          <t>VÄSTERBOTTENS LÄN</t>
        </is>
      </c>
      <c r="E731" t="inlineStr">
        <is>
          <t>BJURHOLM</t>
        </is>
      </c>
      <c r="F731" t="inlineStr">
        <is>
          <t>SCA</t>
        </is>
      </c>
      <c r="G731" t="n">
        <v>10.5</v>
      </c>
      <c r="H731" t="n">
        <v>0</v>
      </c>
      <c r="I731" t="n">
        <v>0</v>
      </c>
      <c r="J731" t="n">
        <v>0</v>
      </c>
      <c r="K731" t="n">
        <v>1</v>
      </c>
      <c r="L731" t="n">
        <v>0</v>
      </c>
      <c r="M731" t="n">
        <v>0</v>
      </c>
      <c r="N731" t="n">
        <v>0</v>
      </c>
      <c r="O731" t="n">
        <v>1</v>
      </c>
      <c r="P731" t="n">
        <v>1</v>
      </c>
      <c r="Q731" t="n">
        <v>1</v>
      </c>
      <c r="R731" s="2" t="inlineStr">
        <is>
          <t>Goliatmusseron</t>
        </is>
      </c>
      <c r="S731">
        <f>HYPERLINK("https://klasma.github.io/Logging_BJURHOLM/artfynd/A 20608-2023.xlsx", "A 20608-2023")</f>
        <v/>
      </c>
      <c r="T731">
        <f>HYPERLINK("https://klasma.github.io/Logging_BJURHOLM/kartor/A 20608-2023.png", "A 20608-2023")</f>
        <v/>
      </c>
      <c r="V731">
        <f>HYPERLINK("https://klasma.github.io/Logging_BJURHOLM/klagomål/A 20608-2023.docx", "A 20608-2023")</f>
        <v/>
      </c>
      <c r="W731">
        <f>HYPERLINK("https://klasma.github.io/Logging_BJURHOLM/klagomålsmail/A 20608-2023.docx", "A 20608-2023")</f>
        <v/>
      </c>
      <c r="X731">
        <f>HYPERLINK("https://klasma.github.io/Logging_BJURHOLM/tillsyn/A 20608-2023.docx", "A 20608-2023")</f>
        <v/>
      </c>
      <c r="Y731">
        <f>HYPERLINK("https://klasma.github.io/Logging_BJURHOLM/tillsynsmail/A 20608-2023.docx", "A 20608-2023")</f>
        <v/>
      </c>
    </row>
    <row r="732" ht="15" customHeight="1">
      <c r="A732" t="inlineStr">
        <is>
          <t>A 20940-2023</t>
        </is>
      </c>
      <c r="B732" s="1" t="n">
        <v>45061</v>
      </c>
      <c r="C732" s="1" t="n">
        <v>45204</v>
      </c>
      <c r="D732" t="inlineStr">
        <is>
          <t>VÄSTERBOTTENS LÄN</t>
        </is>
      </c>
      <c r="E732" t="inlineStr">
        <is>
          <t>LYCKSELE</t>
        </is>
      </c>
      <c r="G732" t="n">
        <v>4.6</v>
      </c>
      <c r="H732" t="n">
        <v>0</v>
      </c>
      <c r="I732" t="n">
        <v>1</v>
      </c>
      <c r="J732" t="n">
        <v>0</v>
      </c>
      <c r="K732" t="n">
        <v>0</v>
      </c>
      <c r="L732" t="n">
        <v>0</v>
      </c>
      <c r="M732" t="n">
        <v>0</v>
      </c>
      <c r="N732" t="n">
        <v>0</v>
      </c>
      <c r="O732" t="n">
        <v>0</v>
      </c>
      <c r="P732" t="n">
        <v>0</v>
      </c>
      <c r="Q732" t="n">
        <v>1</v>
      </c>
      <c r="R732" s="2" t="inlineStr">
        <is>
          <t>Dropptaggsvamp</t>
        </is>
      </c>
      <c r="S732">
        <f>HYPERLINK("https://klasma.github.io/Logging_LYCKSELE/artfynd/A 20940-2023.xlsx", "A 20940-2023")</f>
        <v/>
      </c>
      <c r="T732">
        <f>HYPERLINK("https://klasma.github.io/Logging_LYCKSELE/kartor/A 20940-2023.png", "A 20940-2023")</f>
        <v/>
      </c>
      <c r="V732">
        <f>HYPERLINK("https://klasma.github.io/Logging_LYCKSELE/klagomål/A 20940-2023.docx", "A 20940-2023")</f>
        <v/>
      </c>
      <c r="W732">
        <f>HYPERLINK("https://klasma.github.io/Logging_LYCKSELE/klagomålsmail/A 20940-2023.docx", "A 20940-2023")</f>
        <v/>
      </c>
      <c r="X732">
        <f>HYPERLINK("https://klasma.github.io/Logging_LYCKSELE/tillsyn/A 20940-2023.docx", "A 20940-2023")</f>
        <v/>
      </c>
      <c r="Y732">
        <f>HYPERLINK("https://klasma.github.io/Logging_LYCKSELE/tillsynsmail/A 20940-2023.docx", "A 20940-2023")</f>
        <v/>
      </c>
    </row>
    <row r="733" ht="15" customHeight="1">
      <c r="A733" t="inlineStr">
        <is>
          <t>A 23330-2023</t>
        </is>
      </c>
      <c r="B733" s="1" t="n">
        <v>45071</v>
      </c>
      <c r="C733" s="1" t="n">
        <v>45204</v>
      </c>
      <c r="D733" t="inlineStr">
        <is>
          <t>VÄSTERBOTTENS LÄN</t>
        </is>
      </c>
      <c r="E733" t="inlineStr">
        <is>
          <t>SORSELE</t>
        </is>
      </c>
      <c r="G733" t="n">
        <v>3.2</v>
      </c>
      <c r="H733" t="n">
        <v>0</v>
      </c>
      <c r="I733" t="n">
        <v>1</v>
      </c>
      <c r="J733" t="n">
        <v>0</v>
      </c>
      <c r="K733" t="n">
        <v>0</v>
      </c>
      <c r="L733" t="n">
        <v>0</v>
      </c>
      <c r="M733" t="n">
        <v>0</v>
      </c>
      <c r="N733" t="n">
        <v>0</v>
      </c>
      <c r="O733" t="n">
        <v>0</v>
      </c>
      <c r="P733" t="n">
        <v>0</v>
      </c>
      <c r="Q733" t="n">
        <v>1</v>
      </c>
      <c r="R733" s="2" t="inlineStr">
        <is>
          <t>Vedticka</t>
        </is>
      </c>
      <c r="S733">
        <f>HYPERLINK("https://klasma.github.io/Logging_SORSELE/artfynd/A 23330-2023.xlsx", "A 23330-2023")</f>
        <v/>
      </c>
      <c r="T733">
        <f>HYPERLINK("https://klasma.github.io/Logging_SORSELE/kartor/A 23330-2023.png", "A 23330-2023")</f>
        <v/>
      </c>
      <c r="V733">
        <f>HYPERLINK("https://klasma.github.io/Logging_SORSELE/klagomål/A 23330-2023.docx", "A 23330-2023")</f>
        <v/>
      </c>
      <c r="W733">
        <f>HYPERLINK("https://klasma.github.io/Logging_SORSELE/klagomålsmail/A 23330-2023.docx", "A 23330-2023")</f>
        <v/>
      </c>
      <c r="X733">
        <f>HYPERLINK("https://klasma.github.io/Logging_SORSELE/tillsyn/A 23330-2023.docx", "A 23330-2023")</f>
        <v/>
      </c>
      <c r="Y733">
        <f>HYPERLINK("https://klasma.github.io/Logging_SORSELE/tillsynsmail/A 23330-2023.docx", "A 23330-2023")</f>
        <v/>
      </c>
    </row>
    <row r="734" ht="15" customHeight="1">
      <c r="A734" t="inlineStr">
        <is>
          <t>A 25716-2023</t>
        </is>
      </c>
      <c r="B734" s="1" t="n">
        <v>45090</v>
      </c>
      <c r="C734" s="1" t="n">
        <v>45204</v>
      </c>
      <c r="D734" t="inlineStr">
        <is>
          <t>VÄSTERBOTTENS LÄN</t>
        </is>
      </c>
      <c r="E734" t="inlineStr">
        <is>
          <t>ROBERTSFORS</t>
        </is>
      </c>
      <c r="G734" t="n">
        <v>0.8</v>
      </c>
      <c r="H734" t="n">
        <v>0</v>
      </c>
      <c r="I734" t="n">
        <v>1</v>
      </c>
      <c r="J734" t="n">
        <v>0</v>
      </c>
      <c r="K734" t="n">
        <v>0</v>
      </c>
      <c r="L734" t="n">
        <v>0</v>
      </c>
      <c r="M734" t="n">
        <v>0</v>
      </c>
      <c r="N734" t="n">
        <v>0</v>
      </c>
      <c r="O734" t="n">
        <v>0</v>
      </c>
      <c r="P734" t="n">
        <v>0</v>
      </c>
      <c r="Q734" t="n">
        <v>1</v>
      </c>
      <c r="R734" s="2" t="inlineStr">
        <is>
          <t>Bollvitmossa</t>
        </is>
      </c>
      <c r="S734">
        <f>HYPERLINK("https://klasma.github.io/Logging_ROBERTSFORS/artfynd/A 25716-2023.xlsx", "A 25716-2023")</f>
        <v/>
      </c>
      <c r="T734">
        <f>HYPERLINK("https://klasma.github.io/Logging_ROBERTSFORS/kartor/A 25716-2023.png", "A 25716-2023")</f>
        <v/>
      </c>
      <c r="V734">
        <f>HYPERLINK("https://klasma.github.io/Logging_ROBERTSFORS/klagomål/A 25716-2023.docx", "A 25716-2023")</f>
        <v/>
      </c>
      <c r="W734">
        <f>HYPERLINK("https://klasma.github.io/Logging_ROBERTSFORS/klagomålsmail/A 25716-2023.docx", "A 25716-2023")</f>
        <v/>
      </c>
      <c r="X734">
        <f>HYPERLINK("https://klasma.github.io/Logging_ROBERTSFORS/tillsyn/A 25716-2023.docx", "A 25716-2023")</f>
        <v/>
      </c>
      <c r="Y734">
        <f>HYPERLINK("https://klasma.github.io/Logging_ROBERTSFORS/tillsynsmail/A 25716-2023.docx", "A 25716-2023")</f>
        <v/>
      </c>
    </row>
    <row r="735" ht="15" customHeight="1">
      <c r="A735" t="inlineStr">
        <is>
          <t>A 27358-2023</t>
        </is>
      </c>
      <c r="B735" s="1" t="n">
        <v>45096</v>
      </c>
      <c r="C735" s="1" t="n">
        <v>45204</v>
      </c>
      <c r="D735" t="inlineStr">
        <is>
          <t>VÄSTERBOTTENS LÄN</t>
        </is>
      </c>
      <c r="E735" t="inlineStr">
        <is>
          <t>SKELLEFTEÅ</t>
        </is>
      </c>
      <c r="G735" t="n">
        <v>5</v>
      </c>
      <c r="H735" t="n">
        <v>1</v>
      </c>
      <c r="I735" t="n">
        <v>0</v>
      </c>
      <c r="J735" t="n">
        <v>0</v>
      </c>
      <c r="K735" t="n">
        <v>1</v>
      </c>
      <c r="L735" t="n">
        <v>0</v>
      </c>
      <c r="M735" t="n">
        <v>0</v>
      </c>
      <c r="N735" t="n">
        <v>0</v>
      </c>
      <c r="O735" t="n">
        <v>1</v>
      </c>
      <c r="P735" t="n">
        <v>1</v>
      </c>
      <c r="Q735" t="n">
        <v>1</v>
      </c>
      <c r="R735" s="2" t="inlineStr">
        <is>
          <t>Knärot</t>
        </is>
      </c>
      <c r="S735">
        <f>HYPERLINK("https://klasma.github.io/Logging_SKELLEFTEA/artfynd/A 27358-2023.xlsx", "A 27358-2023")</f>
        <v/>
      </c>
      <c r="T735">
        <f>HYPERLINK("https://klasma.github.io/Logging_SKELLEFTEA/kartor/A 27358-2023.png", "A 27358-2023")</f>
        <v/>
      </c>
      <c r="U735">
        <f>HYPERLINK("https://klasma.github.io/Logging_SKELLEFTEA/knärot/A 27358-2023.png", "A 27358-2023")</f>
        <v/>
      </c>
      <c r="V735">
        <f>HYPERLINK("https://klasma.github.io/Logging_SKELLEFTEA/klagomål/A 27358-2023.docx", "A 27358-2023")</f>
        <v/>
      </c>
      <c r="W735">
        <f>HYPERLINK("https://klasma.github.io/Logging_SKELLEFTEA/klagomålsmail/A 27358-2023.docx", "A 27358-2023")</f>
        <v/>
      </c>
      <c r="X735">
        <f>HYPERLINK("https://klasma.github.io/Logging_SKELLEFTEA/tillsyn/A 27358-2023.docx", "A 27358-2023")</f>
        <v/>
      </c>
      <c r="Y735">
        <f>HYPERLINK("https://klasma.github.io/Logging_SKELLEFTEA/tillsynsmail/A 27358-2023.docx", "A 27358-2023")</f>
        <v/>
      </c>
    </row>
    <row r="736" ht="15" customHeight="1">
      <c r="A736" t="inlineStr">
        <is>
          <t>A 27447-2023</t>
        </is>
      </c>
      <c r="B736" s="1" t="n">
        <v>45097</v>
      </c>
      <c r="C736" s="1" t="n">
        <v>45204</v>
      </c>
      <c r="D736" t="inlineStr">
        <is>
          <t>VÄSTERBOTTENS LÄN</t>
        </is>
      </c>
      <c r="E736" t="inlineStr">
        <is>
          <t>LYCKSELE</t>
        </is>
      </c>
      <c r="F736" t="inlineStr">
        <is>
          <t>Sveaskog</t>
        </is>
      </c>
      <c r="G736" t="n">
        <v>13.8</v>
      </c>
      <c r="H736" t="n">
        <v>0</v>
      </c>
      <c r="I736" t="n">
        <v>0</v>
      </c>
      <c r="J736" t="n">
        <v>0</v>
      </c>
      <c r="K736" t="n">
        <v>1</v>
      </c>
      <c r="L736" t="n">
        <v>0</v>
      </c>
      <c r="M736" t="n">
        <v>0</v>
      </c>
      <c r="N736" t="n">
        <v>0</v>
      </c>
      <c r="O736" t="n">
        <v>1</v>
      </c>
      <c r="P736" t="n">
        <v>1</v>
      </c>
      <c r="Q736" t="n">
        <v>1</v>
      </c>
      <c r="R736" s="2" t="inlineStr">
        <is>
          <t>Gräddticka</t>
        </is>
      </c>
      <c r="S736">
        <f>HYPERLINK("https://klasma.github.io/Logging_LYCKSELE/artfynd/A 27447-2023.xlsx", "A 27447-2023")</f>
        <v/>
      </c>
      <c r="T736">
        <f>HYPERLINK("https://klasma.github.io/Logging_LYCKSELE/kartor/A 27447-2023.png", "A 27447-2023")</f>
        <v/>
      </c>
      <c r="V736">
        <f>HYPERLINK("https://klasma.github.io/Logging_LYCKSELE/klagomål/A 27447-2023.docx", "A 27447-2023")</f>
        <v/>
      </c>
      <c r="W736">
        <f>HYPERLINK("https://klasma.github.io/Logging_LYCKSELE/klagomålsmail/A 27447-2023.docx", "A 27447-2023")</f>
        <v/>
      </c>
      <c r="X736">
        <f>HYPERLINK("https://klasma.github.io/Logging_LYCKSELE/tillsyn/A 27447-2023.docx", "A 27447-2023")</f>
        <v/>
      </c>
      <c r="Y736">
        <f>HYPERLINK("https://klasma.github.io/Logging_LYCKSELE/tillsynsmail/A 27447-2023.docx", "A 27447-2023")</f>
        <v/>
      </c>
    </row>
    <row r="737" ht="15" customHeight="1">
      <c r="A737" t="inlineStr">
        <is>
          <t>A 29223-2023</t>
        </is>
      </c>
      <c r="B737" s="1" t="n">
        <v>45097</v>
      </c>
      <c r="C737" s="1" t="n">
        <v>45204</v>
      </c>
      <c r="D737" t="inlineStr">
        <is>
          <t>VÄSTERBOTTENS LÄN</t>
        </is>
      </c>
      <c r="E737" t="inlineStr">
        <is>
          <t>STORUMAN</t>
        </is>
      </c>
      <c r="G737" t="n">
        <v>20</v>
      </c>
      <c r="H737" t="n">
        <v>1</v>
      </c>
      <c r="I737" t="n">
        <v>0</v>
      </c>
      <c r="J737" t="n">
        <v>0</v>
      </c>
      <c r="K737" t="n">
        <v>1</v>
      </c>
      <c r="L737" t="n">
        <v>0</v>
      </c>
      <c r="M737" t="n">
        <v>0</v>
      </c>
      <c r="N737" t="n">
        <v>0</v>
      </c>
      <c r="O737" t="n">
        <v>1</v>
      </c>
      <c r="P737" t="n">
        <v>1</v>
      </c>
      <c r="Q737" t="n">
        <v>1</v>
      </c>
      <c r="R737" s="2" t="inlineStr">
        <is>
          <t>Norna</t>
        </is>
      </c>
      <c r="S737">
        <f>HYPERLINK("https://klasma.github.io/Logging_STORUMAN/artfynd/A 29223-2023.xlsx", "A 29223-2023")</f>
        <v/>
      </c>
      <c r="T737">
        <f>HYPERLINK("https://klasma.github.io/Logging_STORUMAN/kartor/A 29223-2023.png", "A 29223-2023")</f>
        <v/>
      </c>
      <c r="V737">
        <f>HYPERLINK("https://klasma.github.io/Logging_STORUMAN/klagomål/A 29223-2023.docx", "A 29223-2023")</f>
        <v/>
      </c>
      <c r="W737">
        <f>HYPERLINK("https://klasma.github.io/Logging_STORUMAN/klagomålsmail/A 29223-2023.docx", "A 29223-2023")</f>
        <v/>
      </c>
      <c r="X737">
        <f>HYPERLINK("https://klasma.github.io/Logging_STORUMAN/tillsyn/A 29223-2023.docx", "A 29223-2023")</f>
        <v/>
      </c>
      <c r="Y737">
        <f>HYPERLINK("https://klasma.github.io/Logging_STORUMAN/tillsynsmail/A 29223-2023.docx", "A 29223-2023")</f>
        <v/>
      </c>
    </row>
    <row r="738" ht="15" customHeight="1">
      <c r="A738" t="inlineStr">
        <is>
          <t>A 29774-2023</t>
        </is>
      </c>
      <c r="B738" s="1" t="n">
        <v>45098</v>
      </c>
      <c r="C738" s="1" t="n">
        <v>45204</v>
      </c>
      <c r="D738" t="inlineStr">
        <is>
          <t>VÄSTERBOTTENS LÄN</t>
        </is>
      </c>
      <c r="E738" t="inlineStr">
        <is>
          <t>ROBERTSFORS</t>
        </is>
      </c>
      <c r="G738" t="n">
        <v>5.1</v>
      </c>
      <c r="H738" t="n">
        <v>0</v>
      </c>
      <c r="I738" t="n">
        <v>0</v>
      </c>
      <c r="J738" t="n">
        <v>1</v>
      </c>
      <c r="K738" t="n">
        <v>0</v>
      </c>
      <c r="L738" t="n">
        <v>0</v>
      </c>
      <c r="M738" t="n">
        <v>0</v>
      </c>
      <c r="N738" t="n">
        <v>0</v>
      </c>
      <c r="O738" t="n">
        <v>1</v>
      </c>
      <c r="P738" t="n">
        <v>0</v>
      </c>
      <c r="Q738" t="n">
        <v>1</v>
      </c>
      <c r="R738" s="2" t="inlineStr">
        <is>
          <t>Gammelgransskål</t>
        </is>
      </c>
      <c r="S738">
        <f>HYPERLINK("https://klasma.github.io/Logging_ROBERTSFORS/artfynd/A 29774-2023.xlsx", "A 29774-2023")</f>
        <v/>
      </c>
      <c r="T738">
        <f>HYPERLINK("https://klasma.github.io/Logging_ROBERTSFORS/kartor/A 29774-2023.png", "A 29774-2023")</f>
        <v/>
      </c>
      <c r="V738">
        <f>HYPERLINK("https://klasma.github.io/Logging_ROBERTSFORS/klagomål/A 29774-2023.docx", "A 29774-2023")</f>
        <v/>
      </c>
      <c r="W738">
        <f>HYPERLINK("https://klasma.github.io/Logging_ROBERTSFORS/klagomålsmail/A 29774-2023.docx", "A 29774-2023")</f>
        <v/>
      </c>
      <c r="X738">
        <f>HYPERLINK("https://klasma.github.io/Logging_ROBERTSFORS/tillsyn/A 29774-2023.docx", "A 29774-2023")</f>
        <v/>
      </c>
      <c r="Y738">
        <f>HYPERLINK("https://klasma.github.io/Logging_ROBERTSFORS/tillsynsmail/A 29774-2023.docx", "A 29774-2023")</f>
        <v/>
      </c>
    </row>
    <row r="739" ht="15" customHeight="1">
      <c r="A739" t="inlineStr">
        <is>
          <t>A 28262-2023</t>
        </is>
      </c>
      <c r="B739" s="1" t="n">
        <v>45099</v>
      </c>
      <c r="C739" s="1" t="n">
        <v>45204</v>
      </c>
      <c r="D739" t="inlineStr">
        <is>
          <t>VÄSTERBOTTENS LÄN</t>
        </is>
      </c>
      <c r="E739" t="inlineStr">
        <is>
          <t>UMEÅ</t>
        </is>
      </c>
      <c r="F739" t="inlineStr">
        <is>
          <t>Holmen skog AB</t>
        </is>
      </c>
      <c r="G739" t="n">
        <v>2.6</v>
      </c>
      <c r="H739" t="n">
        <v>0</v>
      </c>
      <c r="I739" t="n">
        <v>1</v>
      </c>
      <c r="J739" t="n">
        <v>0</v>
      </c>
      <c r="K739" t="n">
        <v>0</v>
      </c>
      <c r="L739" t="n">
        <v>0</v>
      </c>
      <c r="M739" t="n">
        <v>0</v>
      </c>
      <c r="N739" t="n">
        <v>0</v>
      </c>
      <c r="O739" t="n">
        <v>0</v>
      </c>
      <c r="P739" t="n">
        <v>0</v>
      </c>
      <c r="Q739" t="n">
        <v>1</v>
      </c>
      <c r="R739" s="2" t="inlineStr">
        <is>
          <t>Gulskölding</t>
        </is>
      </c>
      <c r="S739">
        <f>HYPERLINK("https://klasma.github.io/Logging_UMEA/artfynd/A 28262-2023.xlsx", "A 28262-2023")</f>
        <v/>
      </c>
      <c r="T739">
        <f>HYPERLINK("https://klasma.github.io/Logging_UMEA/kartor/A 28262-2023.png", "A 28262-2023")</f>
        <v/>
      </c>
      <c r="V739">
        <f>HYPERLINK("https://klasma.github.io/Logging_UMEA/klagomål/A 28262-2023.docx", "A 28262-2023")</f>
        <v/>
      </c>
      <c r="W739">
        <f>HYPERLINK("https://klasma.github.io/Logging_UMEA/klagomålsmail/A 28262-2023.docx", "A 28262-2023")</f>
        <v/>
      </c>
      <c r="X739">
        <f>HYPERLINK("https://klasma.github.io/Logging_UMEA/tillsyn/A 28262-2023.docx", "A 28262-2023")</f>
        <v/>
      </c>
      <c r="Y739">
        <f>HYPERLINK("https://klasma.github.io/Logging_UMEA/tillsynsmail/A 28262-2023.docx", "A 28262-2023")</f>
        <v/>
      </c>
    </row>
    <row r="740" ht="15" customHeight="1">
      <c r="A740" t="inlineStr">
        <is>
          <t>A 28448-2023</t>
        </is>
      </c>
      <c r="B740" s="1" t="n">
        <v>45103</v>
      </c>
      <c r="C740" s="1" t="n">
        <v>45204</v>
      </c>
      <c r="D740" t="inlineStr">
        <is>
          <t>VÄSTERBOTTENS LÄN</t>
        </is>
      </c>
      <c r="E740" t="inlineStr">
        <is>
          <t>SKELLEFTEÅ</t>
        </is>
      </c>
      <c r="F740" t="inlineStr">
        <is>
          <t>Kyrkan</t>
        </is>
      </c>
      <c r="G740" t="n">
        <v>9.4</v>
      </c>
      <c r="H740" t="n">
        <v>0</v>
      </c>
      <c r="I740" t="n">
        <v>0</v>
      </c>
      <c r="J740" t="n">
        <v>1</v>
      </c>
      <c r="K740" t="n">
        <v>0</v>
      </c>
      <c r="L740" t="n">
        <v>0</v>
      </c>
      <c r="M740" t="n">
        <v>0</v>
      </c>
      <c r="N740" t="n">
        <v>0</v>
      </c>
      <c r="O740" t="n">
        <v>1</v>
      </c>
      <c r="P740" t="n">
        <v>0</v>
      </c>
      <c r="Q740" t="n">
        <v>1</v>
      </c>
      <c r="R740" s="2" t="inlineStr">
        <is>
          <t>Tallriska</t>
        </is>
      </c>
      <c r="S740">
        <f>HYPERLINK("https://klasma.github.io/Logging_SKELLEFTEA/artfynd/A 28448-2023.xlsx", "A 28448-2023")</f>
        <v/>
      </c>
      <c r="T740">
        <f>HYPERLINK("https://klasma.github.io/Logging_SKELLEFTEA/kartor/A 28448-2023.png", "A 28448-2023")</f>
        <v/>
      </c>
      <c r="V740">
        <f>HYPERLINK("https://klasma.github.io/Logging_SKELLEFTEA/klagomål/A 28448-2023.docx", "A 28448-2023")</f>
        <v/>
      </c>
      <c r="W740">
        <f>HYPERLINK("https://klasma.github.io/Logging_SKELLEFTEA/klagomålsmail/A 28448-2023.docx", "A 28448-2023")</f>
        <v/>
      </c>
      <c r="X740">
        <f>HYPERLINK("https://klasma.github.io/Logging_SKELLEFTEA/tillsyn/A 28448-2023.docx", "A 28448-2023")</f>
        <v/>
      </c>
      <c r="Y740">
        <f>HYPERLINK("https://klasma.github.io/Logging_SKELLEFTEA/tillsynsmail/A 28448-2023.docx", "A 28448-2023")</f>
        <v/>
      </c>
    </row>
    <row r="741" ht="15" customHeight="1">
      <c r="A741" t="inlineStr">
        <is>
          <t>A 28716-2023</t>
        </is>
      </c>
      <c r="B741" s="1" t="n">
        <v>45103</v>
      </c>
      <c r="C741" s="1" t="n">
        <v>45204</v>
      </c>
      <c r="D741" t="inlineStr">
        <is>
          <t>VÄSTERBOTTENS LÄN</t>
        </is>
      </c>
      <c r="E741" t="inlineStr">
        <is>
          <t>DOROTEA</t>
        </is>
      </c>
      <c r="F741" t="inlineStr">
        <is>
          <t>Sveaskog</t>
        </is>
      </c>
      <c r="G741" t="n">
        <v>10</v>
      </c>
      <c r="H741" t="n">
        <v>0</v>
      </c>
      <c r="I741" t="n">
        <v>1</v>
      </c>
      <c r="J741" t="n">
        <v>0</v>
      </c>
      <c r="K741" t="n">
        <v>0</v>
      </c>
      <c r="L741" t="n">
        <v>0</v>
      </c>
      <c r="M741" t="n">
        <v>0</v>
      </c>
      <c r="N741" t="n">
        <v>0</v>
      </c>
      <c r="O741" t="n">
        <v>0</v>
      </c>
      <c r="P741" t="n">
        <v>0</v>
      </c>
      <c r="Q741" t="n">
        <v>1</v>
      </c>
      <c r="R741" s="2" t="inlineStr">
        <is>
          <t>Bårdlav</t>
        </is>
      </c>
      <c r="S741">
        <f>HYPERLINK("https://klasma.github.io/Logging_DOROTEA/artfynd/A 28716-2023.xlsx", "A 28716-2023")</f>
        <v/>
      </c>
      <c r="T741">
        <f>HYPERLINK("https://klasma.github.io/Logging_DOROTEA/kartor/A 28716-2023.png", "A 28716-2023")</f>
        <v/>
      </c>
      <c r="V741">
        <f>HYPERLINK("https://klasma.github.io/Logging_DOROTEA/klagomål/A 28716-2023.docx", "A 28716-2023")</f>
        <v/>
      </c>
      <c r="W741">
        <f>HYPERLINK("https://klasma.github.io/Logging_DOROTEA/klagomålsmail/A 28716-2023.docx", "A 28716-2023")</f>
        <v/>
      </c>
      <c r="X741">
        <f>HYPERLINK("https://klasma.github.io/Logging_DOROTEA/tillsyn/A 28716-2023.docx", "A 28716-2023")</f>
        <v/>
      </c>
      <c r="Y741">
        <f>HYPERLINK("https://klasma.github.io/Logging_DOROTEA/tillsynsmail/A 28716-2023.docx", "A 28716-2023")</f>
        <v/>
      </c>
    </row>
    <row r="742" ht="15" customHeight="1">
      <c r="A742" t="inlineStr">
        <is>
          <t>A 31311-2023</t>
        </is>
      </c>
      <c r="B742" s="1" t="n">
        <v>45104</v>
      </c>
      <c r="C742" s="1" t="n">
        <v>45204</v>
      </c>
      <c r="D742" t="inlineStr">
        <is>
          <t>VÄSTERBOTTENS LÄN</t>
        </is>
      </c>
      <c r="E742" t="inlineStr">
        <is>
          <t>UMEÅ</t>
        </is>
      </c>
      <c r="G742" t="n">
        <v>3.2</v>
      </c>
      <c r="H742" t="n">
        <v>0</v>
      </c>
      <c r="I742" t="n">
        <v>0</v>
      </c>
      <c r="J742" t="n">
        <v>1</v>
      </c>
      <c r="K742" t="n">
        <v>0</v>
      </c>
      <c r="L742" t="n">
        <v>0</v>
      </c>
      <c r="M742" t="n">
        <v>0</v>
      </c>
      <c r="N742" t="n">
        <v>0</v>
      </c>
      <c r="O742" t="n">
        <v>1</v>
      </c>
      <c r="P742" t="n">
        <v>0</v>
      </c>
      <c r="Q742" t="n">
        <v>1</v>
      </c>
      <c r="R742" s="2" t="inlineStr">
        <is>
          <t>Garnlav</t>
        </is>
      </c>
      <c r="S742">
        <f>HYPERLINK("https://klasma.github.io/Logging_UMEA/artfynd/A 31311-2023.xlsx", "A 31311-2023")</f>
        <v/>
      </c>
      <c r="T742">
        <f>HYPERLINK("https://klasma.github.io/Logging_UMEA/kartor/A 31311-2023.png", "A 31311-2023")</f>
        <v/>
      </c>
      <c r="V742">
        <f>HYPERLINK("https://klasma.github.io/Logging_UMEA/klagomål/A 31311-2023.docx", "A 31311-2023")</f>
        <v/>
      </c>
      <c r="W742">
        <f>HYPERLINK("https://klasma.github.io/Logging_UMEA/klagomålsmail/A 31311-2023.docx", "A 31311-2023")</f>
        <v/>
      </c>
      <c r="X742">
        <f>HYPERLINK("https://klasma.github.io/Logging_UMEA/tillsyn/A 31311-2023.docx", "A 31311-2023")</f>
        <v/>
      </c>
      <c r="Y742">
        <f>HYPERLINK("https://klasma.github.io/Logging_UMEA/tillsynsmail/A 31311-2023.docx", "A 31311-2023")</f>
        <v/>
      </c>
    </row>
    <row r="743" ht="15" customHeight="1">
      <c r="A743" t="inlineStr">
        <is>
          <t>A 29318-2023</t>
        </is>
      </c>
      <c r="B743" s="1" t="n">
        <v>45105</v>
      </c>
      <c r="C743" s="1" t="n">
        <v>45204</v>
      </c>
      <c r="D743" t="inlineStr">
        <is>
          <t>VÄSTERBOTTENS LÄN</t>
        </is>
      </c>
      <c r="E743" t="inlineStr">
        <is>
          <t>ÅSELE</t>
        </is>
      </c>
      <c r="F743" t="inlineStr">
        <is>
          <t>SCA</t>
        </is>
      </c>
      <c r="G743" t="n">
        <v>9.300000000000001</v>
      </c>
      <c r="H743" t="n">
        <v>0</v>
      </c>
      <c r="I743" t="n">
        <v>1</v>
      </c>
      <c r="J743" t="n">
        <v>0</v>
      </c>
      <c r="K743" t="n">
        <v>0</v>
      </c>
      <c r="L743" t="n">
        <v>0</v>
      </c>
      <c r="M743" t="n">
        <v>0</v>
      </c>
      <c r="N743" t="n">
        <v>0</v>
      </c>
      <c r="O743" t="n">
        <v>0</v>
      </c>
      <c r="P743" t="n">
        <v>0</v>
      </c>
      <c r="Q743" t="n">
        <v>1</v>
      </c>
      <c r="R743" s="2" t="inlineStr">
        <is>
          <t>Stuplav</t>
        </is>
      </c>
      <c r="S743">
        <f>HYPERLINK("https://klasma.github.io/Logging_ASELE/artfynd/A 29318-2023.xlsx", "A 29318-2023")</f>
        <v/>
      </c>
      <c r="T743">
        <f>HYPERLINK("https://klasma.github.io/Logging_ASELE/kartor/A 29318-2023.png", "A 29318-2023")</f>
        <v/>
      </c>
      <c r="V743">
        <f>HYPERLINK("https://klasma.github.io/Logging_ASELE/klagomål/A 29318-2023.docx", "A 29318-2023")</f>
        <v/>
      </c>
      <c r="W743">
        <f>HYPERLINK("https://klasma.github.io/Logging_ASELE/klagomålsmail/A 29318-2023.docx", "A 29318-2023")</f>
        <v/>
      </c>
      <c r="X743">
        <f>HYPERLINK("https://klasma.github.io/Logging_ASELE/tillsyn/A 29318-2023.docx", "A 29318-2023")</f>
        <v/>
      </c>
      <c r="Y743">
        <f>HYPERLINK("https://klasma.github.io/Logging_ASELE/tillsynsmail/A 29318-2023.docx", "A 29318-2023")</f>
        <v/>
      </c>
    </row>
    <row r="744" ht="15" customHeight="1">
      <c r="A744" t="inlineStr">
        <is>
          <t>A 29317-2023</t>
        </is>
      </c>
      <c r="B744" s="1" t="n">
        <v>45105</v>
      </c>
      <c r="C744" s="1" t="n">
        <v>45204</v>
      </c>
      <c r="D744" t="inlineStr">
        <is>
          <t>VÄSTERBOTTENS LÄN</t>
        </is>
      </c>
      <c r="E744" t="inlineStr">
        <is>
          <t>VILHELMINA</t>
        </is>
      </c>
      <c r="F744" t="inlineStr">
        <is>
          <t>SCA</t>
        </is>
      </c>
      <c r="G744" t="n">
        <v>18.8</v>
      </c>
      <c r="H744" t="n">
        <v>1</v>
      </c>
      <c r="I744" t="n">
        <v>0</v>
      </c>
      <c r="J744" t="n">
        <v>1</v>
      </c>
      <c r="K744" t="n">
        <v>0</v>
      </c>
      <c r="L744" t="n">
        <v>0</v>
      </c>
      <c r="M744" t="n">
        <v>0</v>
      </c>
      <c r="N744" t="n">
        <v>0</v>
      </c>
      <c r="O744" t="n">
        <v>1</v>
      </c>
      <c r="P744" t="n">
        <v>0</v>
      </c>
      <c r="Q744" t="n">
        <v>1</v>
      </c>
      <c r="R744" s="2" t="inlineStr">
        <is>
          <t>Tretåig hackspett</t>
        </is>
      </c>
      <c r="S744">
        <f>HYPERLINK("https://klasma.github.io/Logging_VILHELMINA/artfynd/A 29317-2023.xlsx", "A 29317-2023")</f>
        <v/>
      </c>
      <c r="T744">
        <f>HYPERLINK("https://klasma.github.io/Logging_VILHELMINA/kartor/A 29317-2023.png", "A 29317-2023")</f>
        <v/>
      </c>
      <c r="V744">
        <f>HYPERLINK("https://klasma.github.io/Logging_VILHELMINA/klagomål/A 29317-2023.docx", "A 29317-2023")</f>
        <v/>
      </c>
      <c r="W744">
        <f>HYPERLINK("https://klasma.github.io/Logging_VILHELMINA/klagomålsmail/A 29317-2023.docx", "A 29317-2023")</f>
        <v/>
      </c>
      <c r="X744">
        <f>HYPERLINK("https://klasma.github.io/Logging_VILHELMINA/tillsyn/A 29317-2023.docx", "A 29317-2023")</f>
        <v/>
      </c>
      <c r="Y744">
        <f>HYPERLINK("https://klasma.github.io/Logging_VILHELMINA/tillsynsmail/A 29317-2023.docx", "A 29317-2023")</f>
        <v/>
      </c>
    </row>
    <row r="745" ht="15" customHeight="1">
      <c r="A745" t="inlineStr">
        <is>
          <t>A 29561-2023</t>
        </is>
      </c>
      <c r="B745" s="1" t="n">
        <v>45106</v>
      </c>
      <c r="C745" s="1" t="n">
        <v>45204</v>
      </c>
      <c r="D745" t="inlineStr">
        <is>
          <t>VÄSTERBOTTENS LÄN</t>
        </is>
      </c>
      <c r="E745" t="inlineStr">
        <is>
          <t>LYCKSELE</t>
        </is>
      </c>
      <c r="F745" t="inlineStr">
        <is>
          <t>Sveaskog</t>
        </is>
      </c>
      <c r="G745" t="n">
        <v>26.7</v>
      </c>
      <c r="H745" t="n">
        <v>0</v>
      </c>
      <c r="I745" t="n">
        <v>0</v>
      </c>
      <c r="J745" t="n">
        <v>1</v>
      </c>
      <c r="K745" t="n">
        <v>0</v>
      </c>
      <c r="L745" t="n">
        <v>0</v>
      </c>
      <c r="M745" t="n">
        <v>0</v>
      </c>
      <c r="N745" t="n">
        <v>0</v>
      </c>
      <c r="O745" t="n">
        <v>1</v>
      </c>
      <c r="P745" t="n">
        <v>0</v>
      </c>
      <c r="Q745" t="n">
        <v>1</v>
      </c>
      <c r="R745" s="2" t="inlineStr">
        <is>
          <t>Lunglav</t>
        </is>
      </c>
      <c r="S745">
        <f>HYPERLINK("https://klasma.github.io/Logging_LYCKSELE/artfynd/A 29561-2023.xlsx", "A 29561-2023")</f>
        <v/>
      </c>
      <c r="T745">
        <f>HYPERLINK("https://klasma.github.io/Logging_LYCKSELE/kartor/A 29561-2023.png", "A 29561-2023")</f>
        <v/>
      </c>
      <c r="V745">
        <f>HYPERLINK("https://klasma.github.io/Logging_LYCKSELE/klagomål/A 29561-2023.docx", "A 29561-2023")</f>
        <v/>
      </c>
      <c r="W745">
        <f>HYPERLINK("https://klasma.github.io/Logging_LYCKSELE/klagomålsmail/A 29561-2023.docx", "A 29561-2023")</f>
        <v/>
      </c>
      <c r="X745">
        <f>HYPERLINK("https://klasma.github.io/Logging_LYCKSELE/tillsyn/A 29561-2023.docx", "A 29561-2023")</f>
        <v/>
      </c>
      <c r="Y745">
        <f>HYPERLINK("https://klasma.github.io/Logging_LYCKSELE/tillsynsmail/A 29561-2023.docx", "A 29561-2023")</f>
        <v/>
      </c>
    </row>
    <row r="746" ht="15" customHeight="1">
      <c r="A746" t="inlineStr">
        <is>
          <t>A 29563-2023</t>
        </is>
      </c>
      <c r="B746" s="1" t="n">
        <v>45106</v>
      </c>
      <c r="C746" s="1" t="n">
        <v>45204</v>
      </c>
      <c r="D746" t="inlineStr">
        <is>
          <t>VÄSTERBOTTENS LÄN</t>
        </is>
      </c>
      <c r="E746" t="inlineStr">
        <is>
          <t>STORUMAN</t>
        </is>
      </c>
      <c r="F746" t="inlineStr">
        <is>
          <t>Sveaskog</t>
        </is>
      </c>
      <c r="G746" t="n">
        <v>3.8</v>
      </c>
      <c r="H746" t="n">
        <v>1</v>
      </c>
      <c r="I746" t="n">
        <v>0</v>
      </c>
      <c r="J746" t="n">
        <v>0</v>
      </c>
      <c r="K746" t="n">
        <v>1</v>
      </c>
      <c r="L746" t="n">
        <v>0</v>
      </c>
      <c r="M746" t="n">
        <v>0</v>
      </c>
      <c r="N746" t="n">
        <v>0</v>
      </c>
      <c r="O746" t="n">
        <v>1</v>
      </c>
      <c r="P746" t="n">
        <v>1</v>
      </c>
      <c r="Q746" t="n">
        <v>1</v>
      </c>
      <c r="R746" s="2" t="inlineStr">
        <is>
          <t>Knärot</t>
        </is>
      </c>
      <c r="S746">
        <f>HYPERLINK("https://klasma.github.io/Logging_STORUMAN/artfynd/A 29563-2023.xlsx", "A 29563-2023")</f>
        <v/>
      </c>
      <c r="T746">
        <f>HYPERLINK("https://klasma.github.io/Logging_STORUMAN/kartor/A 29563-2023.png", "A 29563-2023")</f>
        <v/>
      </c>
      <c r="U746">
        <f>HYPERLINK("https://klasma.github.io/Logging_STORUMAN/knärot/A 29563-2023.png", "A 29563-2023")</f>
        <v/>
      </c>
      <c r="V746">
        <f>HYPERLINK("https://klasma.github.io/Logging_STORUMAN/klagomål/A 29563-2023.docx", "A 29563-2023")</f>
        <v/>
      </c>
      <c r="W746">
        <f>HYPERLINK("https://klasma.github.io/Logging_STORUMAN/klagomålsmail/A 29563-2023.docx", "A 29563-2023")</f>
        <v/>
      </c>
      <c r="X746">
        <f>HYPERLINK("https://klasma.github.io/Logging_STORUMAN/tillsyn/A 29563-2023.docx", "A 29563-2023")</f>
        <v/>
      </c>
      <c r="Y746">
        <f>HYPERLINK("https://klasma.github.io/Logging_STORUMAN/tillsynsmail/A 29563-2023.docx", "A 29563-2023")</f>
        <v/>
      </c>
    </row>
    <row r="747" ht="15" customHeight="1">
      <c r="A747" t="inlineStr">
        <is>
          <t>A 29572-2023</t>
        </is>
      </c>
      <c r="B747" s="1" t="n">
        <v>45106</v>
      </c>
      <c r="C747" s="1" t="n">
        <v>45204</v>
      </c>
      <c r="D747" t="inlineStr">
        <is>
          <t>VÄSTERBOTTENS LÄN</t>
        </is>
      </c>
      <c r="E747" t="inlineStr">
        <is>
          <t>STORUMAN</t>
        </is>
      </c>
      <c r="F747" t="inlineStr">
        <is>
          <t>Sveaskog</t>
        </is>
      </c>
      <c r="G747" t="n">
        <v>5.3</v>
      </c>
      <c r="H747" t="n">
        <v>0</v>
      </c>
      <c r="I747" t="n">
        <v>0</v>
      </c>
      <c r="J747" t="n">
        <v>1</v>
      </c>
      <c r="K747" t="n">
        <v>0</v>
      </c>
      <c r="L747" t="n">
        <v>0</v>
      </c>
      <c r="M747" t="n">
        <v>0</v>
      </c>
      <c r="N747" t="n">
        <v>0</v>
      </c>
      <c r="O747" t="n">
        <v>1</v>
      </c>
      <c r="P747" t="n">
        <v>0</v>
      </c>
      <c r="Q747" t="n">
        <v>1</v>
      </c>
      <c r="R747" s="2" t="inlineStr">
        <is>
          <t>Skrovlig taggsvamp</t>
        </is>
      </c>
      <c r="S747">
        <f>HYPERLINK("https://klasma.github.io/Logging_STORUMAN/artfynd/A 29572-2023.xlsx", "A 29572-2023")</f>
        <v/>
      </c>
      <c r="T747">
        <f>HYPERLINK("https://klasma.github.io/Logging_STORUMAN/kartor/A 29572-2023.png", "A 29572-2023")</f>
        <v/>
      </c>
      <c r="V747">
        <f>HYPERLINK("https://klasma.github.io/Logging_STORUMAN/klagomål/A 29572-2023.docx", "A 29572-2023")</f>
        <v/>
      </c>
      <c r="W747">
        <f>HYPERLINK("https://klasma.github.io/Logging_STORUMAN/klagomålsmail/A 29572-2023.docx", "A 29572-2023")</f>
        <v/>
      </c>
      <c r="X747">
        <f>HYPERLINK("https://klasma.github.io/Logging_STORUMAN/tillsyn/A 29572-2023.docx", "A 29572-2023")</f>
        <v/>
      </c>
      <c r="Y747">
        <f>HYPERLINK("https://klasma.github.io/Logging_STORUMAN/tillsynsmail/A 29572-2023.docx", "A 29572-2023")</f>
        <v/>
      </c>
    </row>
    <row r="748" ht="15" customHeight="1">
      <c r="A748" t="inlineStr">
        <is>
          <t>A 30703-2023</t>
        </is>
      </c>
      <c r="B748" s="1" t="n">
        <v>45112</v>
      </c>
      <c r="C748" s="1" t="n">
        <v>45204</v>
      </c>
      <c r="D748" t="inlineStr">
        <is>
          <t>VÄSTERBOTTENS LÄN</t>
        </is>
      </c>
      <c r="E748" t="inlineStr">
        <is>
          <t>SKELLEFTEÅ</t>
        </is>
      </c>
      <c r="F748" t="inlineStr">
        <is>
          <t>Sveaskog</t>
        </is>
      </c>
      <c r="G748" t="n">
        <v>10.9</v>
      </c>
      <c r="H748" t="n">
        <v>1</v>
      </c>
      <c r="I748" t="n">
        <v>0</v>
      </c>
      <c r="J748" t="n">
        <v>0</v>
      </c>
      <c r="K748" t="n">
        <v>0</v>
      </c>
      <c r="L748" t="n">
        <v>0</v>
      </c>
      <c r="M748" t="n">
        <v>0</v>
      </c>
      <c r="N748" t="n">
        <v>0</v>
      </c>
      <c r="O748" t="n">
        <v>0</v>
      </c>
      <c r="P748" t="n">
        <v>0</v>
      </c>
      <c r="Q748" t="n">
        <v>1</v>
      </c>
      <c r="R748" s="2" t="inlineStr">
        <is>
          <t>Fläcknycklar</t>
        </is>
      </c>
      <c r="S748">
        <f>HYPERLINK("https://klasma.github.io/Logging_SKELLEFTEA/artfynd/A 30703-2023.xlsx", "A 30703-2023")</f>
        <v/>
      </c>
      <c r="T748">
        <f>HYPERLINK("https://klasma.github.io/Logging_SKELLEFTEA/kartor/A 30703-2023.png", "A 30703-2023")</f>
        <v/>
      </c>
      <c r="V748">
        <f>HYPERLINK("https://klasma.github.io/Logging_SKELLEFTEA/klagomål/A 30703-2023.docx", "A 30703-2023")</f>
        <v/>
      </c>
      <c r="W748">
        <f>HYPERLINK("https://klasma.github.io/Logging_SKELLEFTEA/klagomålsmail/A 30703-2023.docx", "A 30703-2023")</f>
        <v/>
      </c>
      <c r="X748">
        <f>HYPERLINK("https://klasma.github.io/Logging_SKELLEFTEA/tillsyn/A 30703-2023.docx", "A 30703-2023")</f>
        <v/>
      </c>
      <c r="Y748">
        <f>HYPERLINK("https://klasma.github.io/Logging_SKELLEFTEA/tillsynsmail/A 30703-2023.docx", "A 30703-2023")</f>
        <v/>
      </c>
    </row>
    <row r="749" ht="15" customHeight="1">
      <c r="A749" t="inlineStr">
        <is>
          <t>A 30615-2023</t>
        </is>
      </c>
      <c r="B749" s="1" t="n">
        <v>45112</v>
      </c>
      <c r="C749" s="1" t="n">
        <v>45204</v>
      </c>
      <c r="D749" t="inlineStr">
        <is>
          <t>VÄSTERBOTTENS LÄN</t>
        </is>
      </c>
      <c r="E749" t="inlineStr">
        <is>
          <t>ÅSELE</t>
        </is>
      </c>
      <c r="F749" t="inlineStr">
        <is>
          <t>Sveaskog</t>
        </is>
      </c>
      <c r="G749" t="n">
        <v>10.1</v>
      </c>
      <c r="H749" t="n">
        <v>0</v>
      </c>
      <c r="I749" t="n">
        <v>0</v>
      </c>
      <c r="J749" t="n">
        <v>1</v>
      </c>
      <c r="K749" t="n">
        <v>0</v>
      </c>
      <c r="L749" t="n">
        <v>0</v>
      </c>
      <c r="M749" t="n">
        <v>0</v>
      </c>
      <c r="N749" t="n">
        <v>0</v>
      </c>
      <c r="O749" t="n">
        <v>1</v>
      </c>
      <c r="P749" t="n">
        <v>0</v>
      </c>
      <c r="Q749" t="n">
        <v>1</v>
      </c>
      <c r="R749" s="2" t="inlineStr">
        <is>
          <t>Dvärgbägarlav</t>
        </is>
      </c>
      <c r="S749">
        <f>HYPERLINK("https://klasma.github.io/Logging_ASELE/artfynd/A 30615-2023.xlsx", "A 30615-2023")</f>
        <v/>
      </c>
      <c r="T749">
        <f>HYPERLINK("https://klasma.github.io/Logging_ASELE/kartor/A 30615-2023.png", "A 30615-2023")</f>
        <v/>
      </c>
      <c r="V749">
        <f>HYPERLINK("https://klasma.github.io/Logging_ASELE/klagomål/A 30615-2023.docx", "A 30615-2023")</f>
        <v/>
      </c>
      <c r="W749">
        <f>HYPERLINK("https://klasma.github.io/Logging_ASELE/klagomålsmail/A 30615-2023.docx", "A 30615-2023")</f>
        <v/>
      </c>
      <c r="X749">
        <f>HYPERLINK("https://klasma.github.io/Logging_ASELE/tillsyn/A 30615-2023.docx", "A 30615-2023")</f>
        <v/>
      </c>
      <c r="Y749">
        <f>HYPERLINK("https://klasma.github.io/Logging_ASELE/tillsynsmail/A 30615-2023.docx", "A 30615-2023")</f>
        <v/>
      </c>
    </row>
    <row r="750" ht="15" customHeight="1">
      <c r="A750" t="inlineStr">
        <is>
          <t>A 31194-2023</t>
        </is>
      </c>
      <c r="B750" s="1" t="n">
        <v>45113</v>
      </c>
      <c r="C750" s="1" t="n">
        <v>45204</v>
      </c>
      <c r="D750" t="inlineStr">
        <is>
          <t>VÄSTERBOTTENS LÄN</t>
        </is>
      </c>
      <c r="E750" t="inlineStr">
        <is>
          <t>ÅSELE</t>
        </is>
      </c>
      <c r="F750" t="inlineStr">
        <is>
          <t>SCA</t>
        </is>
      </c>
      <c r="G750" t="n">
        <v>9.800000000000001</v>
      </c>
      <c r="H750" t="n">
        <v>0</v>
      </c>
      <c r="I750" t="n">
        <v>0</v>
      </c>
      <c r="J750" t="n">
        <v>1</v>
      </c>
      <c r="K750" t="n">
        <v>0</v>
      </c>
      <c r="L750" t="n">
        <v>0</v>
      </c>
      <c r="M750" t="n">
        <v>0</v>
      </c>
      <c r="N750" t="n">
        <v>0</v>
      </c>
      <c r="O750" t="n">
        <v>1</v>
      </c>
      <c r="P750" t="n">
        <v>0</v>
      </c>
      <c r="Q750" t="n">
        <v>1</v>
      </c>
      <c r="R750" s="2" t="inlineStr">
        <is>
          <t>Lunglav</t>
        </is>
      </c>
      <c r="S750">
        <f>HYPERLINK("https://klasma.github.io/Logging_ASELE/artfynd/A 31194-2023.xlsx", "A 31194-2023")</f>
        <v/>
      </c>
      <c r="T750">
        <f>HYPERLINK("https://klasma.github.io/Logging_ASELE/kartor/A 31194-2023.png", "A 31194-2023")</f>
        <v/>
      </c>
      <c r="V750">
        <f>HYPERLINK("https://klasma.github.io/Logging_ASELE/klagomål/A 31194-2023.docx", "A 31194-2023")</f>
        <v/>
      </c>
      <c r="W750">
        <f>HYPERLINK("https://klasma.github.io/Logging_ASELE/klagomålsmail/A 31194-2023.docx", "A 31194-2023")</f>
        <v/>
      </c>
      <c r="X750">
        <f>HYPERLINK("https://klasma.github.io/Logging_ASELE/tillsyn/A 31194-2023.docx", "A 31194-2023")</f>
        <v/>
      </c>
      <c r="Y750">
        <f>HYPERLINK("https://klasma.github.io/Logging_ASELE/tillsynsmail/A 31194-2023.docx", "A 31194-2023")</f>
        <v/>
      </c>
    </row>
    <row r="751" ht="15" customHeight="1">
      <c r="A751" t="inlineStr">
        <is>
          <t>A 30947-2023</t>
        </is>
      </c>
      <c r="B751" s="1" t="n">
        <v>45113</v>
      </c>
      <c r="C751" s="1" t="n">
        <v>45204</v>
      </c>
      <c r="D751" t="inlineStr">
        <is>
          <t>VÄSTERBOTTENS LÄN</t>
        </is>
      </c>
      <c r="E751" t="inlineStr">
        <is>
          <t>ÅSELE</t>
        </is>
      </c>
      <c r="F751" t="inlineStr">
        <is>
          <t>Sveaskog</t>
        </is>
      </c>
      <c r="G751" t="n">
        <v>11.9</v>
      </c>
      <c r="H751" t="n">
        <v>1</v>
      </c>
      <c r="I751" t="n">
        <v>1</v>
      </c>
      <c r="J751" t="n">
        <v>0</v>
      </c>
      <c r="K751" t="n">
        <v>0</v>
      </c>
      <c r="L751" t="n">
        <v>0</v>
      </c>
      <c r="M751" t="n">
        <v>0</v>
      </c>
      <c r="N751" t="n">
        <v>0</v>
      </c>
      <c r="O751" t="n">
        <v>0</v>
      </c>
      <c r="P751" t="n">
        <v>0</v>
      </c>
      <c r="Q751" t="n">
        <v>1</v>
      </c>
      <c r="R751" s="2" t="inlineStr">
        <is>
          <t>Spindelblomster</t>
        </is>
      </c>
      <c r="S751">
        <f>HYPERLINK("https://klasma.github.io/Logging_ASELE/artfynd/A 30947-2023.xlsx", "A 30947-2023")</f>
        <v/>
      </c>
      <c r="T751">
        <f>HYPERLINK("https://klasma.github.io/Logging_ASELE/kartor/A 30947-2023.png", "A 30947-2023")</f>
        <v/>
      </c>
      <c r="V751">
        <f>HYPERLINK("https://klasma.github.io/Logging_ASELE/klagomål/A 30947-2023.docx", "A 30947-2023")</f>
        <v/>
      </c>
      <c r="W751">
        <f>HYPERLINK("https://klasma.github.io/Logging_ASELE/klagomålsmail/A 30947-2023.docx", "A 30947-2023")</f>
        <v/>
      </c>
      <c r="X751">
        <f>HYPERLINK("https://klasma.github.io/Logging_ASELE/tillsyn/A 30947-2023.docx", "A 30947-2023")</f>
        <v/>
      </c>
      <c r="Y751">
        <f>HYPERLINK("https://klasma.github.io/Logging_ASELE/tillsynsmail/A 30947-2023.docx", "A 30947-2023")</f>
        <v/>
      </c>
    </row>
    <row r="752" ht="15" customHeight="1">
      <c r="A752" t="inlineStr">
        <is>
          <t>A 32605-2023</t>
        </is>
      </c>
      <c r="B752" s="1" t="n">
        <v>45121</v>
      </c>
      <c r="C752" s="1" t="n">
        <v>45204</v>
      </c>
      <c r="D752" t="inlineStr">
        <is>
          <t>VÄSTERBOTTENS LÄN</t>
        </is>
      </c>
      <c r="E752" t="inlineStr">
        <is>
          <t>SKELLEFTEÅ</t>
        </is>
      </c>
      <c r="F752" t="inlineStr">
        <is>
          <t>Holmen skog AB</t>
        </is>
      </c>
      <c r="G752" t="n">
        <v>5.5</v>
      </c>
      <c r="H752" t="n">
        <v>0</v>
      </c>
      <c r="I752" t="n">
        <v>0</v>
      </c>
      <c r="J752" t="n">
        <v>1</v>
      </c>
      <c r="K752" t="n">
        <v>0</v>
      </c>
      <c r="L752" t="n">
        <v>0</v>
      </c>
      <c r="M752" t="n">
        <v>0</v>
      </c>
      <c r="N752" t="n">
        <v>0</v>
      </c>
      <c r="O752" t="n">
        <v>1</v>
      </c>
      <c r="P752" t="n">
        <v>0</v>
      </c>
      <c r="Q752" t="n">
        <v>1</v>
      </c>
      <c r="R752" s="2" t="inlineStr">
        <is>
          <t>Gammelgransskål</t>
        </is>
      </c>
      <c r="S752">
        <f>HYPERLINK("https://klasma.github.io/Logging_SKELLEFTEA/artfynd/A 32605-2023.xlsx", "A 32605-2023")</f>
        <v/>
      </c>
      <c r="T752">
        <f>HYPERLINK("https://klasma.github.io/Logging_SKELLEFTEA/kartor/A 32605-2023.png", "A 32605-2023")</f>
        <v/>
      </c>
      <c r="V752">
        <f>HYPERLINK("https://klasma.github.io/Logging_SKELLEFTEA/klagomål/A 32605-2023.docx", "A 32605-2023")</f>
        <v/>
      </c>
      <c r="W752">
        <f>HYPERLINK("https://klasma.github.io/Logging_SKELLEFTEA/klagomålsmail/A 32605-2023.docx", "A 32605-2023")</f>
        <v/>
      </c>
      <c r="X752">
        <f>HYPERLINK("https://klasma.github.io/Logging_SKELLEFTEA/tillsyn/A 32605-2023.docx", "A 32605-2023")</f>
        <v/>
      </c>
      <c r="Y752">
        <f>HYPERLINK("https://klasma.github.io/Logging_SKELLEFTEA/tillsynsmail/A 32605-2023.docx", "A 32605-2023")</f>
        <v/>
      </c>
    </row>
    <row r="753" ht="15" customHeight="1">
      <c r="A753" t="inlineStr">
        <is>
          <t>A 32566-2023</t>
        </is>
      </c>
      <c r="B753" s="1" t="n">
        <v>45121</v>
      </c>
      <c r="C753" s="1" t="n">
        <v>45204</v>
      </c>
      <c r="D753" t="inlineStr">
        <is>
          <t>VÄSTERBOTTENS LÄN</t>
        </is>
      </c>
      <c r="E753" t="inlineStr">
        <is>
          <t>SKELLEFTEÅ</t>
        </is>
      </c>
      <c r="F753" t="inlineStr">
        <is>
          <t>Holmen skog AB</t>
        </is>
      </c>
      <c r="G753" t="n">
        <v>13</v>
      </c>
      <c r="H753" t="n">
        <v>1</v>
      </c>
      <c r="I753" t="n">
        <v>0</v>
      </c>
      <c r="J753" t="n">
        <v>0</v>
      </c>
      <c r="K753" t="n">
        <v>0</v>
      </c>
      <c r="L753" t="n">
        <v>0</v>
      </c>
      <c r="M753" t="n">
        <v>0</v>
      </c>
      <c r="N753" t="n">
        <v>0</v>
      </c>
      <c r="O753" t="n">
        <v>0</v>
      </c>
      <c r="P753" t="n">
        <v>0</v>
      </c>
      <c r="Q753" t="n">
        <v>1</v>
      </c>
      <c r="R753" s="2" t="inlineStr">
        <is>
          <t>Revlummer</t>
        </is>
      </c>
      <c r="S753">
        <f>HYPERLINK("https://klasma.github.io/Logging_SKELLEFTEA/artfynd/A 32566-2023.xlsx", "A 32566-2023")</f>
        <v/>
      </c>
      <c r="T753">
        <f>HYPERLINK("https://klasma.github.io/Logging_SKELLEFTEA/kartor/A 32566-2023.png", "A 32566-2023")</f>
        <v/>
      </c>
      <c r="V753">
        <f>HYPERLINK("https://klasma.github.io/Logging_SKELLEFTEA/klagomål/A 32566-2023.docx", "A 32566-2023")</f>
        <v/>
      </c>
      <c r="W753">
        <f>HYPERLINK("https://klasma.github.io/Logging_SKELLEFTEA/klagomålsmail/A 32566-2023.docx", "A 32566-2023")</f>
        <v/>
      </c>
      <c r="X753">
        <f>HYPERLINK("https://klasma.github.io/Logging_SKELLEFTEA/tillsyn/A 32566-2023.docx", "A 32566-2023")</f>
        <v/>
      </c>
      <c r="Y753">
        <f>HYPERLINK("https://klasma.github.io/Logging_SKELLEFTEA/tillsynsmail/A 32566-2023.docx", "A 32566-2023")</f>
        <v/>
      </c>
    </row>
    <row r="754" ht="15" customHeight="1">
      <c r="A754" t="inlineStr">
        <is>
          <t>A 33419-2023</t>
        </is>
      </c>
      <c r="B754" s="1" t="n">
        <v>45128</v>
      </c>
      <c r="C754" s="1" t="n">
        <v>45204</v>
      </c>
      <c r="D754" t="inlineStr">
        <is>
          <t>VÄSTERBOTTENS LÄN</t>
        </is>
      </c>
      <c r="E754" t="inlineStr">
        <is>
          <t>UMEÅ</t>
        </is>
      </c>
      <c r="G754" t="n">
        <v>6.7</v>
      </c>
      <c r="H754" t="n">
        <v>0</v>
      </c>
      <c r="I754" t="n">
        <v>0</v>
      </c>
      <c r="J754" t="n">
        <v>0</v>
      </c>
      <c r="K754" t="n">
        <v>1</v>
      </c>
      <c r="L754" t="n">
        <v>0</v>
      </c>
      <c r="M754" t="n">
        <v>0</v>
      </c>
      <c r="N754" t="n">
        <v>0</v>
      </c>
      <c r="O754" t="n">
        <v>1</v>
      </c>
      <c r="P754" t="n">
        <v>1</v>
      </c>
      <c r="Q754" t="n">
        <v>1</v>
      </c>
      <c r="R754" s="2" t="inlineStr">
        <is>
          <t>Goliatmusseron</t>
        </is>
      </c>
      <c r="S754">
        <f>HYPERLINK("https://klasma.github.io/Logging_UMEA/artfynd/A 33419-2023.xlsx", "A 33419-2023")</f>
        <v/>
      </c>
      <c r="T754">
        <f>HYPERLINK("https://klasma.github.io/Logging_UMEA/kartor/A 33419-2023.png", "A 33419-2023")</f>
        <v/>
      </c>
      <c r="V754">
        <f>HYPERLINK("https://klasma.github.io/Logging_UMEA/klagomål/A 33419-2023.docx", "A 33419-2023")</f>
        <v/>
      </c>
      <c r="W754">
        <f>HYPERLINK("https://klasma.github.io/Logging_UMEA/klagomålsmail/A 33419-2023.docx", "A 33419-2023")</f>
        <v/>
      </c>
      <c r="X754">
        <f>HYPERLINK("https://klasma.github.io/Logging_UMEA/tillsyn/A 33419-2023.docx", "A 33419-2023")</f>
        <v/>
      </c>
      <c r="Y754">
        <f>HYPERLINK("https://klasma.github.io/Logging_UMEA/tillsynsmail/A 33419-2023.docx", "A 33419-2023")</f>
        <v/>
      </c>
    </row>
    <row r="755" ht="15" customHeight="1">
      <c r="A755" t="inlineStr">
        <is>
          <t>A 35280-2023</t>
        </is>
      </c>
      <c r="B755" s="1" t="n">
        <v>45145</v>
      </c>
      <c r="C755" s="1" t="n">
        <v>45204</v>
      </c>
      <c r="D755" t="inlineStr">
        <is>
          <t>VÄSTERBOTTENS LÄN</t>
        </is>
      </c>
      <c r="E755" t="inlineStr">
        <is>
          <t>BJURHOLM</t>
        </is>
      </c>
      <c r="F755" t="inlineStr">
        <is>
          <t>SCA</t>
        </is>
      </c>
      <c r="G755" t="n">
        <v>7.5</v>
      </c>
      <c r="H755" t="n">
        <v>0</v>
      </c>
      <c r="I755" t="n">
        <v>0</v>
      </c>
      <c r="J755" t="n">
        <v>1</v>
      </c>
      <c r="K755" t="n">
        <v>0</v>
      </c>
      <c r="L755" t="n">
        <v>0</v>
      </c>
      <c r="M755" t="n">
        <v>0</v>
      </c>
      <c r="N755" t="n">
        <v>0</v>
      </c>
      <c r="O755" t="n">
        <v>1</v>
      </c>
      <c r="P755" t="n">
        <v>0</v>
      </c>
      <c r="Q755" t="n">
        <v>1</v>
      </c>
      <c r="R755" s="2" t="inlineStr">
        <is>
          <t>Gammelgransskål</t>
        </is>
      </c>
      <c r="S755">
        <f>HYPERLINK("https://klasma.github.io/Logging_BJURHOLM/artfynd/A 35280-2023.xlsx", "A 35280-2023")</f>
        <v/>
      </c>
      <c r="T755">
        <f>HYPERLINK("https://klasma.github.io/Logging_BJURHOLM/kartor/A 35280-2023.png", "A 35280-2023")</f>
        <v/>
      </c>
      <c r="V755">
        <f>HYPERLINK("https://klasma.github.io/Logging_BJURHOLM/klagomål/A 35280-2023.docx", "A 35280-2023")</f>
        <v/>
      </c>
      <c r="W755">
        <f>HYPERLINK("https://klasma.github.io/Logging_BJURHOLM/klagomålsmail/A 35280-2023.docx", "A 35280-2023")</f>
        <v/>
      </c>
      <c r="X755">
        <f>HYPERLINK("https://klasma.github.io/Logging_BJURHOLM/tillsyn/A 35280-2023.docx", "A 35280-2023")</f>
        <v/>
      </c>
      <c r="Y755">
        <f>HYPERLINK("https://klasma.github.io/Logging_BJURHOLM/tillsynsmail/A 35280-2023.docx", "A 35280-2023")</f>
        <v/>
      </c>
    </row>
    <row r="756" ht="15" customHeight="1">
      <c r="A756" t="inlineStr">
        <is>
          <t>A 35915-2023</t>
        </is>
      </c>
      <c r="B756" s="1" t="n">
        <v>45148</v>
      </c>
      <c r="C756" s="1" t="n">
        <v>45204</v>
      </c>
      <c r="D756" t="inlineStr">
        <is>
          <t>VÄSTERBOTTENS LÄN</t>
        </is>
      </c>
      <c r="E756" t="inlineStr">
        <is>
          <t>VINDELN</t>
        </is>
      </c>
      <c r="G756" t="n">
        <v>1.8</v>
      </c>
      <c r="H756" t="n">
        <v>1</v>
      </c>
      <c r="I756" t="n">
        <v>0</v>
      </c>
      <c r="J756" t="n">
        <v>1</v>
      </c>
      <c r="K756" t="n">
        <v>0</v>
      </c>
      <c r="L756" t="n">
        <v>0</v>
      </c>
      <c r="M756" t="n">
        <v>0</v>
      </c>
      <c r="N756" t="n">
        <v>0</v>
      </c>
      <c r="O756" t="n">
        <v>1</v>
      </c>
      <c r="P756" t="n">
        <v>0</v>
      </c>
      <c r="Q756" t="n">
        <v>1</v>
      </c>
      <c r="R756" s="2" t="inlineStr">
        <is>
          <t>Järpe</t>
        </is>
      </c>
      <c r="S756">
        <f>HYPERLINK("https://klasma.github.io/Logging_VINDELN/artfynd/A 35915-2023.xlsx", "A 35915-2023")</f>
        <v/>
      </c>
      <c r="T756">
        <f>HYPERLINK("https://klasma.github.io/Logging_VINDELN/kartor/A 35915-2023.png", "A 35915-2023")</f>
        <v/>
      </c>
      <c r="V756">
        <f>HYPERLINK("https://klasma.github.io/Logging_VINDELN/klagomål/A 35915-2023.docx", "A 35915-2023")</f>
        <v/>
      </c>
      <c r="W756">
        <f>HYPERLINK("https://klasma.github.io/Logging_VINDELN/klagomålsmail/A 35915-2023.docx", "A 35915-2023")</f>
        <v/>
      </c>
      <c r="X756">
        <f>HYPERLINK("https://klasma.github.io/Logging_VINDELN/tillsyn/A 35915-2023.docx", "A 35915-2023")</f>
        <v/>
      </c>
      <c r="Y756">
        <f>HYPERLINK("https://klasma.github.io/Logging_VINDELN/tillsynsmail/A 35915-2023.docx", "A 35915-2023")</f>
        <v/>
      </c>
    </row>
    <row r="757" ht="15" customHeight="1">
      <c r="A757" t="inlineStr">
        <is>
          <t>A 36218-2023</t>
        </is>
      </c>
      <c r="B757" s="1" t="n">
        <v>45149</v>
      </c>
      <c r="C757" s="1" t="n">
        <v>45204</v>
      </c>
      <c r="D757" t="inlineStr">
        <is>
          <t>VÄSTERBOTTENS LÄN</t>
        </is>
      </c>
      <c r="E757" t="inlineStr">
        <is>
          <t>VILHELMINA</t>
        </is>
      </c>
      <c r="F757" t="inlineStr">
        <is>
          <t>SCA</t>
        </is>
      </c>
      <c r="G757" t="n">
        <v>3.2</v>
      </c>
      <c r="H757" t="n">
        <v>0</v>
      </c>
      <c r="I757" t="n">
        <v>1</v>
      </c>
      <c r="J757" t="n">
        <v>0</v>
      </c>
      <c r="K757" t="n">
        <v>0</v>
      </c>
      <c r="L757" t="n">
        <v>0</v>
      </c>
      <c r="M757" t="n">
        <v>0</v>
      </c>
      <c r="N757" t="n">
        <v>0</v>
      </c>
      <c r="O757" t="n">
        <v>0</v>
      </c>
      <c r="P757" t="n">
        <v>0</v>
      </c>
      <c r="Q757" t="n">
        <v>1</v>
      </c>
      <c r="R757" s="2" t="inlineStr">
        <is>
          <t>Tibast</t>
        </is>
      </c>
      <c r="S757">
        <f>HYPERLINK("https://klasma.github.io/Logging_VILHELMINA/artfynd/A 36218-2023.xlsx", "A 36218-2023")</f>
        <v/>
      </c>
      <c r="T757">
        <f>HYPERLINK("https://klasma.github.io/Logging_VILHELMINA/kartor/A 36218-2023.png", "A 36218-2023")</f>
        <v/>
      </c>
      <c r="V757">
        <f>HYPERLINK("https://klasma.github.io/Logging_VILHELMINA/klagomål/A 36218-2023.docx", "A 36218-2023")</f>
        <v/>
      </c>
      <c r="W757">
        <f>HYPERLINK("https://klasma.github.io/Logging_VILHELMINA/klagomålsmail/A 36218-2023.docx", "A 36218-2023")</f>
        <v/>
      </c>
      <c r="X757">
        <f>HYPERLINK("https://klasma.github.io/Logging_VILHELMINA/tillsyn/A 36218-2023.docx", "A 36218-2023")</f>
        <v/>
      </c>
      <c r="Y757">
        <f>HYPERLINK("https://klasma.github.io/Logging_VILHELMINA/tillsynsmail/A 36218-2023.docx", "A 36218-2023")</f>
        <v/>
      </c>
    </row>
    <row r="758" ht="15" customHeight="1">
      <c r="A758" t="inlineStr">
        <is>
          <t>A 36528-2023</t>
        </is>
      </c>
      <c r="B758" s="1" t="n">
        <v>45152</v>
      </c>
      <c r="C758" s="1" t="n">
        <v>45204</v>
      </c>
      <c r="D758" t="inlineStr">
        <is>
          <t>VÄSTERBOTTENS LÄN</t>
        </is>
      </c>
      <c r="E758" t="inlineStr">
        <is>
          <t>UMEÅ</t>
        </is>
      </c>
      <c r="G758" t="n">
        <v>2.4</v>
      </c>
      <c r="H758" t="n">
        <v>1</v>
      </c>
      <c r="I758" t="n">
        <v>0</v>
      </c>
      <c r="J758" t="n">
        <v>0</v>
      </c>
      <c r="K758" t="n">
        <v>1</v>
      </c>
      <c r="L758" t="n">
        <v>0</v>
      </c>
      <c r="M758" t="n">
        <v>0</v>
      </c>
      <c r="N758" t="n">
        <v>0</v>
      </c>
      <c r="O758" t="n">
        <v>1</v>
      </c>
      <c r="P758" t="n">
        <v>1</v>
      </c>
      <c r="Q758" t="n">
        <v>1</v>
      </c>
      <c r="R758" s="2" t="inlineStr">
        <is>
          <t>Knärot</t>
        </is>
      </c>
      <c r="S758">
        <f>HYPERLINK("https://klasma.github.io/Logging_UMEA/artfynd/A 36528-2023.xlsx", "A 36528-2023")</f>
        <v/>
      </c>
      <c r="T758">
        <f>HYPERLINK("https://klasma.github.io/Logging_UMEA/kartor/A 36528-2023.png", "A 36528-2023")</f>
        <v/>
      </c>
      <c r="U758">
        <f>HYPERLINK("https://klasma.github.io/Logging_UMEA/knärot/A 36528-2023.png", "A 36528-2023")</f>
        <v/>
      </c>
      <c r="V758">
        <f>HYPERLINK("https://klasma.github.io/Logging_UMEA/klagomål/A 36528-2023.docx", "A 36528-2023")</f>
        <v/>
      </c>
      <c r="W758">
        <f>HYPERLINK("https://klasma.github.io/Logging_UMEA/klagomålsmail/A 36528-2023.docx", "A 36528-2023")</f>
        <v/>
      </c>
      <c r="X758">
        <f>HYPERLINK("https://klasma.github.io/Logging_UMEA/tillsyn/A 36528-2023.docx", "A 36528-2023")</f>
        <v/>
      </c>
      <c r="Y758">
        <f>HYPERLINK("https://klasma.github.io/Logging_UMEA/tillsynsmail/A 36528-2023.docx", "A 36528-2023")</f>
        <v/>
      </c>
    </row>
    <row r="759" ht="15" customHeight="1">
      <c r="A759" t="inlineStr">
        <is>
          <t>A 36628-2023</t>
        </is>
      </c>
      <c r="B759" s="1" t="n">
        <v>45153</v>
      </c>
      <c r="C759" s="1" t="n">
        <v>45204</v>
      </c>
      <c r="D759" t="inlineStr">
        <is>
          <t>VÄSTERBOTTENS LÄN</t>
        </is>
      </c>
      <c r="E759" t="inlineStr">
        <is>
          <t>SKELLEFTEÅ</t>
        </is>
      </c>
      <c r="F759" t="inlineStr">
        <is>
          <t>Holmen skog AB</t>
        </is>
      </c>
      <c r="G759" t="n">
        <v>4.6</v>
      </c>
      <c r="H759" t="n">
        <v>0</v>
      </c>
      <c r="I759" t="n">
        <v>0</v>
      </c>
      <c r="J759" t="n">
        <v>1</v>
      </c>
      <c r="K759" t="n">
        <v>0</v>
      </c>
      <c r="L759" t="n">
        <v>0</v>
      </c>
      <c r="M759" t="n">
        <v>0</v>
      </c>
      <c r="N759" t="n">
        <v>0</v>
      </c>
      <c r="O759" t="n">
        <v>1</v>
      </c>
      <c r="P759" t="n">
        <v>0</v>
      </c>
      <c r="Q759" t="n">
        <v>1</v>
      </c>
      <c r="R759" s="2" t="inlineStr">
        <is>
          <t>Gultoppig fingersvamp</t>
        </is>
      </c>
      <c r="S759">
        <f>HYPERLINK("https://klasma.github.io/Logging_SKELLEFTEA/artfynd/A 36628-2023.xlsx", "A 36628-2023")</f>
        <v/>
      </c>
      <c r="T759">
        <f>HYPERLINK("https://klasma.github.io/Logging_SKELLEFTEA/kartor/A 36628-2023.png", "A 36628-2023")</f>
        <v/>
      </c>
      <c r="V759">
        <f>HYPERLINK("https://klasma.github.io/Logging_SKELLEFTEA/klagomål/A 36628-2023.docx", "A 36628-2023")</f>
        <v/>
      </c>
      <c r="W759">
        <f>HYPERLINK("https://klasma.github.io/Logging_SKELLEFTEA/klagomålsmail/A 36628-2023.docx", "A 36628-2023")</f>
        <v/>
      </c>
      <c r="X759">
        <f>HYPERLINK("https://klasma.github.io/Logging_SKELLEFTEA/tillsyn/A 36628-2023.docx", "A 36628-2023")</f>
        <v/>
      </c>
      <c r="Y759">
        <f>HYPERLINK("https://klasma.github.io/Logging_SKELLEFTEA/tillsynsmail/A 36628-2023.docx", "A 36628-2023")</f>
        <v/>
      </c>
    </row>
    <row r="760" ht="15" customHeight="1">
      <c r="A760" t="inlineStr">
        <is>
          <t>A 37953-2023</t>
        </is>
      </c>
      <c r="B760" s="1" t="n">
        <v>45159</v>
      </c>
      <c r="C760" s="1" t="n">
        <v>45204</v>
      </c>
      <c r="D760" t="inlineStr">
        <is>
          <t>VÄSTERBOTTENS LÄN</t>
        </is>
      </c>
      <c r="E760" t="inlineStr">
        <is>
          <t>VINDELN</t>
        </is>
      </c>
      <c r="G760" t="n">
        <v>1.5</v>
      </c>
      <c r="H760" t="n">
        <v>1</v>
      </c>
      <c r="I760" t="n">
        <v>0</v>
      </c>
      <c r="J760" t="n">
        <v>0</v>
      </c>
      <c r="K760" t="n">
        <v>1</v>
      </c>
      <c r="L760" t="n">
        <v>0</v>
      </c>
      <c r="M760" t="n">
        <v>0</v>
      </c>
      <c r="N760" t="n">
        <v>0</v>
      </c>
      <c r="O760" t="n">
        <v>1</v>
      </c>
      <c r="P760" t="n">
        <v>1</v>
      </c>
      <c r="Q760" t="n">
        <v>1</v>
      </c>
      <c r="R760" s="2" t="inlineStr">
        <is>
          <t>Knärot</t>
        </is>
      </c>
      <c r="S760">
        <f>HYPERLINK("https://klasma.github.io/Logging_VINDELN/artfynd/A 37953-2023.xlsx", "A 37953-2023")</f>
        <v/>
      </c>
      <c r="T760">
        <f>HYPERLINK("https://klasma.github.io/Logging_VINDELN/kartor/A 37953-2023.png", "A 37953-2023")</f>
        <v/>
      </c>
      <c r="U760">
        <f>HYPERLINK("https://klasma.github.io/Logging_VINDELN/knärot/A 37953-2023.png", "A 37953-2023")</f>
        <v/>
      </c>
      <c r="V760">
        <f>HYPERLINK("https://klasma.github.io/Logging_VINDELN/klagomål/A 37953-2023.docx", "A 37953-2023")</f>
        <v/>
      </c>
      <c r="W760">
        <f>HYPERLINK("https://klasma.github.io/Logging_VINDELN/klagomålsmail/A 37953-2023.docx", "A 37953-2023")</f>
        <v/>
      </c>
      <c r="X760">
        <f>HYPERLINK("https://klasma.github.io/Logging_VINDELN/tillsyn/A 37953-2023.docx", "A 37953-2023")</f>
        <v/>
      </c>
      <c r="Y760">
        <f>HYPERLINK("https://klasma.github.io/Logging_VINDELN/tillsynsmail/A 37953-2023.docx", "A 37953-2023")</f>
        <v/>
      </c>
    </row>
    <row r="761" ht="15" customHeight="1">
      <c r="A761" t="inlineStr">
        <is>
          <t>A 37847-2023</t>
        </is>
      </c>
      <c r="B761" s="1" t="n">
        <v>45160</v>
      </c>
      <c r="C761" s="1" t="n">
        <v>45204</v>
      </c>
      <c r="D761" t="inlineStr">
        <is>
          <t>VÄSTERBOTTENS LÄN</t>
        </is>
      </c>
      <c r="E761" t="inlineStr">
        <is>
          <t>ROBERTSFORS</t>
        </is>
      </c>
      <c r="G761" t="n">
        <v>3</v>
      </c>
      <c r="H761" t="n">
        <v>1</v>
      </c>
      <c r="I761" t="n">
        <v>1</v>
      </c>
      <c r="J761" t="n">
        <v>0</v>
      </c>
      <c r="K761" t="n">
        <v>0</v>
      </c>
      <c r="L761" t="n">
        <v>0</v>
      </c>
      <c r="M761" t="n">
        <v>0</v>
      </c>
      <c r="N761" t="n">
        <v>0</v>
      </c>
      <c r="O761" t="n">
        <v>0</v>
      </c>
      <c r="P761" t="n">
        <v>0</v>
      </c>
      <c r="Q761" t="n">
        <v>1</v>
      </c>
      <c r="R761" s="2" t="inlineStr">
        <is>
          <t>Plattlummer</t>
        </is>
      </c>
      <c r="S761">
        <f>HYPERLINK("https://klasma.github.io/Logging_ROBERTSFORS/artfynd/A 37847-2023.xlsx", "A 37847-2023")</f>
        <v/>
      </c>
      <c r="T761">
        <f>HYPERLINK("https://klasma.github.io/Logging_ROBERTSFORS/kartor/A 37847-2023.png", "A 37847-2023")</f>
        <v/>
      </c>
      <c r="V761">
        <f>HYPERLINK("https://klasma.github.io/Logging_ROBERTSFORS/klagomål/A 37847-2023.docx", "A 37847-2023")</f>
        <v/>
      </c>
      <c r="W761">
        <f>HYPERLINK("https://klasma.github.io/Logging_ROBERTSFORS/klagomålsmail/A 37847-2023.docx", "A 37847-2023")</f>
        <v/>
      </c>
      <c r="X761">
        <f>HYPERLINK("https://klasma.github.io/Logging_ROBERTSFORS/tillsyn/A 37847-2023.docx", "A 37847-2023")</f>
        <v/>
      </c>
      <c r="Y761">
        <f>HYPERLINK("https://klasma.github.io/Logging_ROBERTSFORS/tillsynsmail/A 37847-2023.docx", "A 37847-2023")</f>
        <v/>
      </c>
    </row>
    <row r="762" ht="15" customHeight="1">
      <c r="A762" t="inlineStr">
        <is>
          <t>A 38313-2023</t>
        </is>
      </c>
      <c r="B762" s="1" t="n">
        <v>45161</v>
      </c>
      <c r="C762" s="1" t="n">
        <v>45204</v>
      </c>
      <c r="D762" t="inlineStr">
        <is>
          <t>VÄSTERBOTTENS LÄN</t>
        </is>
      </c>
      <c r="E762" t="inlineStr">
        <is>
          <t>MALÅ</t>
        </is>
      </c>
      <c r="F762" t="inlineStr">
        <is>
          <t>Kyrkan</t>
        </is>
      </c>
      <c r="G762" t="n">
        <v>19.7</v>
      </c>
      <c r="H762" t="n">
        <v>0</v>
      </c>
      <c r="I762" t="n">
        <v>1</v>
      </c>
      <c r="J762" t="n">
        <v>0</v>
      </c>
      <c r="K762" t="n">
        <v>0</v>
      </c>
      <c r="L762" t="n">
        <v>0</v>
      </c>
      <c r="M762" t="n">
        <v>0</v>
      </c>
      <c r="N762" t="n">
        <v>0</v>
      </c>
      <c r="O762" t="n">
        <v>0</v>
      </c>
      <c r="P762" t="n">
        <v>0</v>
      </c>
      <c r="Q762" t="n">
        <v>1</v>
      </c>
      <c r="R762" s="2" t="inlineStr">
        <is>
          <t>Skarp dropptaggsvamp</t>
        </is>
      </c>
      <c r="S762">
        <f>HYPERLINK("https://klasma.github.io/Logging_MALA/artfynd/A 38313-2023.xlsx", "A 38313-2023")</f>
        <v/>
      </c>
      <c r="T762">
        <f>HYPERLINK("https://klasma.github.io/Logging_MALA/kartor/A 38313-2023.png", "A 38313-2023")</f>
        <v/>
      </c>
      <c r="V762">
        <f>HYPERLINK("https://klasma.github.io/Logging_MALA/klagomål/A 38313-2023.docx", "A 38313-2023")</f>
        <v/>
      </c>
      <c r="W762">
        <f>HYPERLINK("https://klasma.github.io/Logging_MALA/klagomålsmail/A 38313-2023.docx", "A 38313-2023")</f>
        <v/>
      </c>
      <c r="X762">
        <f>HYPERLINK("https://klasma.github.io/Logging_MALA/tillsyn/A 38313-2023.docx", "A 38313-2023")</f>
        <v/>
      </c>
      <c r="Y762">
        <f>HYPERLINK("https://klasma.github.io/Logging_MALA/tillsynsmail/A 38313-2023.docx", "A 38313-2023")</f>
        <v/>
      </c>
    </row>
    <row r="763" ht="15" customHeight="1">
      <c r="A763" t="inlineStr">
        <is>
          <t>A 39118-2023</t>
        </is>
      </c>
      <c r="B763" s="1" t="n">
        <v>45165</v>
      </c>
      <c r="C763" s="1" t="n">
        <v>45204</v>
      </c>
      <c r="D763" t="inlineStr">
        <is>
          <t>VÄSTERBOTTENS LÄN</t>
        </is>
      </c>
      <c r="E763" t="inlineStr">
        <is>
          <t>UMEÅ</t>
        </is>
      </c>
      <c r="G763" t="n">
        <v>1.2</v>
      </c>
      <c r="H763" t="n">
        <v>0</v>
      </c>
      <c r="I763" t="n">
        <v>0</v>
      </c>
      <c r="J763" t="n">
        <v>1</v>
      </c>
      <c r="K763" t="n">
        <v>0</v>
      </c>
      <c r="L763" t="n">
        <v>0</v>
      </c>
      <c r="M763" t="n">
        <v>0</v>
      </c>
      <c r="N763" t="n">
        <v>0</v>
      </c>
      <c r="O763" t="n">
        <v>1</v>
      </c>
      <c r="P763" t="n">
        <v>0</v>
      </c>
      <c r="Q763" t="n">
        <v>1</v>
      </c>
      <c r="R763" s="2" t="inlineStr">
        <is>
          <t>Svartvit taggsvamp</t>
        </is>
      </c>
      <c r="S763">
        <f>HYPERLINK("https://klasma.github.io/Logging_UMEA/artfynd/A 39118-2023.xlsx", "A 39118-2023")</f>
        <v/>
      </c>
      <c r="T763">
        <f>HYPERLINK("https://klasma.github.io/Logging_UMEA/kartor/A 39118-2023.png", "A 39118-2023")</f>
        <v/>
      </c>
      <c r="V763">
        <f>HYPERLINK("https://klasma.github.io/Logging_UMEA/klagomål/A 39118-2023.docx", "A 39118-2023")</f>
        <v/>
      </c>
      <c r="W763">
        <f>HYPERLINK("https://klasma.github.io/Logging_UMEA/klagomålsmail/A 39118-2023.docx", "A 39118-2023")</f>
        <v/>
      </c>
      <c r="X763">
        <f>HYPERLINK("https://klasma.github.io/Logging_UMEA/tillsyn/A 39118-2023.docx", "A 39118-2023")</f>
        <v/>
      </c>
      <c r="Y763">
        <f>HYPERLINK("https://klasma.github.io/Logging_UMEA/tillsynsmail/A 39118-2023.docx", "A 39118-2023")</f>
        <v/>
      </c>
    </row>
    <row r="764" ht="15" customHeight="1">
      <c r="A764" t="inlineStr">
        <is>
          <t>A 40113-2023</t>
        </is>
      </c>
      <c r="B764" s="1" t="n">
        <v>45168</v>
      </c>
      <c r="C764" s="1" t="n">
        <v>45204</v>
      </c>
      <c r="D764" t="inlineStr">
        <is>
          <t>VÄSTERBOTTENS LÄN</t>
        </is>
      </c>
      <c r="E764" t="inlineStr">
        <is>
          <t>NORDMALING</t>
        </is>
      </c>
      <c r="F764" t="inlineStr">
        <is>
          <t>SCA</t>
        </is>
      </c>
      <c r="G764" t="n">
        <v>6.1</v>
      </c>
      <c r="H764" t="n">
        <v>0</v>
      </c>
      <c r="I764" t="n">
        <v>0</v>
      </c>
      <c r="J764" t="n">
        <v>1</v>
      </c>
      <c r="K764" t="n">
        <v>0</v>
      </c>
      <c r="L764" t="n">
        <v>0</v>
      </c>
      <c r="M764" t="n">
        <v>0</v>
      </c>
      <c r="N764" t="n">
        <v>0</v>
      </c>
      <c r="O764" t="n">
        <v>1</v>
      </c>
      <c r="P764" t="n">
        <v>0</v>
      </c>
      <c r="Q764" t="n">
        <v>1</v>
      </c>
      <c r="R764" s="2" t="inlineStr">
        <is>
          <t>Granticka</t>
        </is>
      </c>
      <c r="S764">
        <f>HYPERLINK("https://klasma.github.io/Logging_NORDMALING/artfynd/A 40113-2023.xlsx", "A 40113-2023")</f>
        <v/>
      </c>
      <c r="T764">
        <f>HYPERLINK("https://klasma.github.io/Logging_NORDMALING/kartor/A 40113-2023.png", "A 40113-2023")</f>
        <v/>
      </c>
      <c r="V764">
        <f>HYPERLINK("https://klasma.github.io/Logging_NORDMALING/klagomål/A 40113-2023.docx", "A 40113-2023")</f>
        <v/>
      </c>
      <c r="W764">
        <f>HYPERLINK("https://klasma.github.io/Logging_NORDMALING/klagomålsmail/A 40113-2023.docx", "A 40113-2023")</f>
        <v/>
      </c>
      <c r="X764">
        <f>HYPERLINK("https://klasma.github.io/Logging_NORDMALING/tillsyn/A 40113-2023.docx", "A 40113-2023")</f>
        <v/>
      </c>
      <c r="Y764">
        <f>HYPERLINK("https://klasma.github.io/Logging_NORDMALING/tillsynsmail/A 40113-2023.docx", "A 40113-2023")</f>
        <v/>
      </c>
    </row>
    <row r="765" ht="15" customHeight="1">
      <c r="A765" t="inlineStr">
        <is>
          <t>A 42891-2023</t>
        </is>
      </c>
      <c r="B765" s="1" t="n">
        <v>45182</v>
      </c>
      <c r="C765" s="1" t="n">
        <v>45204</v>
      </c>
      <c r="D765" t="inlineStr">
        <is>
          <t>VÄSTERBOTTENS LÄN</t>
        </is>
      </c>
      <c r="E765" t="inlineStr">
        <is>
          <t>ROBERTSFORS</t>
        </is>
      </c>
      <c r="F765" t="inlineStr">
        <is>
          <t>Holmen skog AB</t>
        </is>
      </c>
      <c r="G765" t="n">
        <v>3.8</v>
      </c>
      <c r="H765" t="n">
        <v>0</v>
      </c>
      <c r="I765" t="n">
        <v>0</v>
      </c>
      <c r="J765" t="n">
        <v>1</v>
      </c>
      <c r="K765" t="n">
        <v>0</v>
      </c>
      <c r="L765" t="n">
        <v>0</v>
      </c>
      <c r="M765" t="n">
        <v>0</v>
      </c>
      <c r="N765" t="n">
        <v>0</v>
      </c>
      <c r="O765" t="n">
        <v>1</v>
      </c>
      <c r="P765" t="n">
        <v>0</v>
      </c>
      <c r="Q765" t="n">
        <v>1</v>
      </c>
      <c r="R765" s="2" t="inlineStr">
        <is>
          <t>Garnlav</t>
        </is>
      </c>
      <c r="S765">
        <f>HYPERLINK("https://klasma.github.io/Logging_ROBERTSFORS/artfynd/A 42891-2023.xlsx", "A 42891-2023")</f>
        <v/>
      </c>
      <c r="T765">
        <f>HYPERLINK("https://klasma.github.io/Logging_ROBERTSFORS/kartor/A 42891-2023.png", "A 42891-2023")</f>
        <v/>
      </c>
      <c r="V765">
        <f>HYPERLINK("https://klasma.github.io/Logging_ROBERTSFORS/klagomål/A 42891-2023.docx", "A 42891-2023")</f>
        <v/>
      </c>
      <c r="W765">
        <f>HYPERLINK("https://klasma.github.io/Logging_ROBERTSFORS/klagomålsmail/A 42891-2023.docx", "A 42891-2023")</f>
        <v/>
      </c>
      <c r="X765">
        <f>HYPERLINK("https://klasma.github.io/Logging_ROBERTSFORS/tillsyn/A 42891-2023.docx", "A 42891-2023")</f>
        <v/>
      </c>
      <c r="Y765">
        <f>HYPERLINK("https://klasma.github.io/Logging_ROBERTSFORS/tillsynsmail/A 42891-2023.docx", "A 42891-2023")</f>
        <v/>
      </c>
    </row>
    <row r="766" ht="15" customHeight="1">
      <c r="A766" t="inlineStr">
        <is>
          <t>A 43097-2023</t>
        </is>
      </c>
      <c r="B766" s="1" t="n">
        <v>45182</v>
      </c>
      <c r="C766" s="1" t="n">
        <v>45204</v>
      </c>
      <c r="D766" t="inlineStr">
        <is>
          <t>VÄSTERBOTTENS LÄN</t>
        </is>
      </c>
      <c r="E766" t="inlineStr">
        <is>
          <t>ROBERTSFORS</t>
        </is>
      </c>
      <c r="G766" t="n">
        <v>3</v>
      </c>
      <c r="H766" t="n">
        <v>1</v>
      </c>
      <c r="I766" t="n">
        <v>0</v>
      </c>
      <c r="J766" t="n">
        <v>1</v>
      </c>
      <c r="K766" t="n">
        <v>0</v>
      </c>
      <c r="L766" t="n">
        <v>0</v>
      </c>
      <c r="M766" t="n">
        <v>0</v>
      </c>
      <c r="N766" t="n">
        <v>0</v>
      </c>
      <c r="O766" t="n">
        <v>1</v>
      </c>
      <c r="P766" t="n">
        <v>0</v>
      </c>
      <c r="Q766" t="n">
        <v>1</v>
      </c>
      <c r="R766" s="2" t="inlineStr">
        <is>
          <t>Talltita</t>
        </is>
      </c>
      <c r="S766">
        <f>HYPERLINK("https://klasma.github.io/Logging_ROBERTSFORS/artfynd/A 43097-2023.xlsx", "A 43097-2023")</f>
        <v/>
      </c>
      <c r="T766">
        <f>HYPERLINK("https://klasma.github.io/Logging_ROBERTSFORS/kartor/A 43097-2023.png", "A 43097-2023")</f>
        <v/>
      </c>
      <c r="V766">
        <f>HYPERLINK("https://klasma.github.io/Logging_ROBERTSFORS/klagomål/A 43097-2023.docx", "A 43097-2023")</f>
        <v/>
      </c>
      <c r="W766">
        <f>HYPERLINK("https://klasma.github.io/Logging_ROBERTSFORS/klagomålsmail/A 43097-2023.docx", "A 43097-2023")</f>
        <v/>
      </c>
      <c r="X766">
        <f>HYPERLINK("https://klasma.github.io/Logging_ROBERTSFORS/tillsyn/A 43097-2023.docx", "A 43097-2023")</f>
        <v/>
      </c>
      <c r="Y766">
        <f>HYPERLINK("https://klasma.github.io/Logging_ROBERTSFORS/tillsynsmail/A 43097-2023.docx", "A 43097-2023")</f>
        <v/>
      </c>
    </row>
    <row r="767" ht="15" customHeight="1">
      <c r="A767" t="inlineStr">
        <is>
          <t>A 43098-2023</t>
        </is>
      </c>
      <c r="B767" s="1" t="n">
        <v>45182</v>
      </c>
      <c r="C767" s="1" t="n">
        <v>45204</v>
      </c>
      <c r="D767" t="inlineStr">
        <is>
          <t>VÄSTERBOTTENS LÄN</t>
        </is>
      </c>
      <c r="E767" t="inlineStr">
        <is>
          <t>ROBERTSFORS</t>
        </is>
      </c>
      <c r="G767" t="n">
        <v>3.1</v>
      </c>
      <c r="H767" t="n">
        <v>1</v>
      </c>
      <c r="I767" t="n">
        <v>0</v>
      </c>
      <c r="J767" t="n">
        <v>1</v>
      </c>
      <c r="K767" t="n">
        <v>0</v>
      </c>
      <c r="L767" t="n">
        <v>0</v>
      </c>
      <c r="M767" t="n">
        <v>0</v>
      </c>
      <c r="N767" t="n">
        <v>0</v>
      </c>
      <c r="O767" t="n">
        <v>1</v>
      </c>
      <c r="P767" t="n">
        <v>0</v>
      </c>
      <c r="Q767" t="n">
        <v>1</v>
      </c>
      <c r="R767" s="2" t="inlineStr">
        <is>
          <t>Talltita</t>
        </is>
      </c>
      <c r="S767">
        <f>HYPERLINK("https://klasma.github.io/Logging_ROBERTSFORS/artfynd/A 43098-2023.xlsx", "A 43098-2023")</f>
        <v/>
      </c>
      <c r="T767">
        <f>HYPERLINK("https://klasma.github.io/Logging_ROBERTSFORS/kartor/A 43098-2023.png", "A 43098-2023")</f>
        <v/>
      </c>
      <c r="V767">
        <f>HYPERLINK("https://klasma.github.io/Logging_ROBERTSFORS/klagomål/A 43098-2023.docx", "A 43098-2023")</f>
        <v/>
      </c>
      <c r="W767">
        <f>HYPERLINK("https://klasma.github.io/Logging_ROBERTSFORS/klagomålsmail/A 43098-2023.docx", "A 43098-2023")</f>
        <v/>
      </c>
      <c r="X767">
        <f>HYPERLINK("https://klasma.github.io/Logging_ROBERTSFORS/tillsyn/A 43098-2023.docx", "A 43098-2023")</f>
        <v/>
      </c>
      <c r="Y767">
        <f>HYPERLINK("https://klasma.github.io/Logging_ROBERTSFORS/tillsynsmail/A 43098-2023.docx", "A 43098-2023")</f>
        <v/>
      </c>
    </row>
    <row r="768" ht="15" customHeight="1">
      <c r="A768" t="inlineStr">
        <is>
          <t>A 44194-2023</t>
        </is>
      </c>
      <c r="B768" s="1" t="n">
        <v>45188</v>
      </c>
      <c r="C768" s="1" t="n">
        <v>45204</v>
      </c>
      <c r="D768" t="inlineStr">
        <is>
          <t>VÄSTERBOTTENS LÄN</t>
        </is>
      </c>
      <c r="E768" t="inlineStr">
        <is>
          <t>LYCKSELE</t>
        </is>
      </c>
      <c r="F768" t="inlineStr">
        <is>
          <t>Sveaskog</t>
        </is>
      </c>
      <c r="G768" t="n">
        <v>12.5</v>
      </c>
      <c r="H768" t="n">
        <v>0</v>
      </c>
      <c r="I768" t="n">
        <v>0</v>
      </c>
      <c r="J768" t="n">
        <v>1</v>
      </c>
      <c r="K768" t="n">
        <v>0</v>
      </c>
      <c r="L768" t="n">
        <v>0</v>
      </c>
      <c r="M768" t="n">
        <v>0</v>
      </c>
      <c r="N768" t="n">
        <v>0</v>
      </c>
      <c r="O768" t="n">
        <v>1</v>
      </c>
      <c r="P768" t="n">
        <v>0</v>
      </c>
      <c r="Q768" t="n">
        <v>1</v>
      </c>
      <c r="R768" s="2" t="inlineStr">
        <is>
          <t>Kolflarnlav</t>
        </is>
      </c>
      <c r="S768">
        <f>HYPERLINK("https://klasma.github.io/Logging_LYCKSELE/artfynd/A 44194-2023.xlsx", "A 44194-2023")</f>
        <v/>
      </c>
      <c r="T768">
        <f>HYPERLINK("https://klasma.github.io/Logging_LYCKSELE/kartor/A 44194-2023.png", "A 44194-2023")</f>
        <v/>
      </c>
      <c r="V768">
        <f>HYPERLINK("https://klasma.github.io/Logging_LYCKSELE/klagomål/A 44194-2023.docx", "A 44194-2023")</f>
        <v/>
      </c>
      <c r="W768">
        <f>HYPERLINK("https://klasma.github.io/Logging_LYCKSELE/klagomålsmail/A 44194-2023.docx", "A 44194-2023")</f>
        <v/>
      </c>
      <c r="X768">
        <f>HYPERLINK("https://klasma.github.io/Logging_LYCKSELE/tillsyn/A 44194-2023.docx", "A 44194-2023")</f>
        <v/>
      </c>
      <c r="Y768">
        <f>HYPERLINK("https://klasma.github.io/Logging_LYCKSELE/tillsynsmail/A 44194-2023.docx", "A 44194-2023")</f>
        <v/>
      </c>
    </row>
    <row r="769" ht="15" customHeight="1">
      <c r="A769" t="inlineStr">
        <is>
          <t>A 46815-2023</t>
        </is>
      </c>
      <c r="B769" s="1" t="n">
        <v>45198</v>
      </c>
      <c r="C769" s="1" t="n">
        <v>45204</v>
      </c>
      <c r="D769" t="inlineStr">
        <is>
          <t>VÄSTERBOTTENS LÄN</t>
        </is>
      </c>
      <c r="E769" t="inlineStr">
        <is>
          <t>DOROTEA</t>
        </is>
      </c>
      <c r="F769" t="inlineStr">
        <is>
          <t>SCA</t>
        </is>
      </c>
      <c r="G769" t="n">
        <v>3.7</v>
      </c>
      <c r="H769" t="n">
        <v>0</v>
      </c>
      <c r="I769" t="n">
        <v>0</v>
      </c>
      <c r="J769" t="n">
        <v>1</v>
      </c>
      <c r="K769" t="n">
        <v>0</v>
      </c>
      <c r="L769" t="n">
        <v>0</v>
      </c>
      <c r="M769" t="n">
        <v>0</v>
      </c>
      <c r="N769" t="n">
        <v>0</v>
      </c>
      <c r="O769" t="n">
        <v>1</v>
      </c>
      <c r="P769" t="n">
        <v>0</v>
      </c>
      <c r="Q769" t="n">
        <v>1</v>
      </c>
      <c r="R769" s="2" t="inlineStr">
        <is>
          <t>Harticka</t>
        </is>
      </c>
      <c r="S769">
        <f>HYPERLINK("https://klasma.github.io/Logging_DOROTEA/artfynd/A 46815-2023.xlsx", "A 46815-2023")</f>
        <v/>
      </c>
      <c r="T769">
        <f>HYPERLINK("https://klasma.github.io/Logging_DOROTEA/kartor/A 46815-2023.png", "A 46815-2023")</f>
        <v/>
      </c>
      <c r="V769">
        <f>HYPERLINK("https://klasma.github.io/Logging_DOROTEA/klagomål/A 46815-2023.docx", "A 46815-2023")</f>
        <v/>
      </c>
      <c r="W769">
        <f>HYPERLINK("https://klasma.github.io/Logging_DOROTEA/klagomålsmail/A 46815-2023.docx", "A 46815-2023")</f>
        <v/>
      </c>
      <c r="X769">
        <f>HYPERLINK("https://klasma.github.io/Logging_DOROTEA/tillsyn/A 46815-2023.docx", "A 46815-2023")</f>
        <v/>
      </c>
      <c r="Y769">
        <f>HYPERLINK("https://klasma.github.io/Logging_DOROTEA/tillsynsmail/A 46815-2023.docx", "A 46815-2023")</f>
        <v/>
      </c>
    </row>
    <row r="770" ht="15" customHeight="1">
      <c r="A770" t="inlineStr">
        <is>
          <t>A 34038-2018</t>
        </is>
      </c>
      <c r="B770" s="1" t="n">
        <v>43315</v>
      </c>
      <c r="C770" s="1" t="n">
        <v>45204</v>
      </c>
      <c r="D770" t="inlineStr">
        <is>
          <t>VÄSTERBOTTENS LÄN</t>
        </is>
      </c>
      <c r="E770" t="inlineStr">
        <is>
          <t>VINDELN</t>
        </is>
      </c>
      <c r="F770" t="inlineStr">
        <is>
          <t>Holmen skog AB</t>
        </is>
      </c>
      <c r="G770" t="n">
        <v>20.7</v>
      </c>
      <c r="H770" t="n">
        <v>0</v>
      </c>
      <c r="I770" t="n">
        <v>0</v>
      </c>
      <c r="J770" t="n">
        <v>0</v>
      </c>
      <c r="K770" t="n">
        <v>0</v>
      </c>
      <c r="L770" t="n">
        <v>0</v>
      </c>
      <c r="M770" t="n">
        <v>0</v>
      </c>
      <c r="N770" t="n">
        <v>0</v>
      </c>
      <c r="O770" t="n">
        <v>0</v>
      </c>
      <c r="P770" t="n">
        <v>0</v>
      </c>
      <c r="Q770" t="n">
        <v>0</v>
      </c>
      <c r="R770" s="2" t="inlineStr"/>
    </row>
    <row r="771" ht="15" customHeight="1">
      <c r="A771" t="inlineStr">
        <is>
          <t>A 34230-2018</t>
        </is>
      </c>
      <c r="B771" s="1" t="n">
        <v>43318</v>
      </c>
      <c r="C771" s="1" t="n">
        <v>45204</v>
      </c>
      <c r="D771" t="inlineStr">
        <is>
          <t>VÄSTERBOTTENS LÄN</t>
        </is>
      </c>
      <c r="E771" t="inlineStr">
        <is>
          <t>SKELLEFTEÅ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34252-2018</t>
        </is>
      </c>
      <c r="B772" s="1" t="n">
        <v>43318</v>
      </c>
      <c r="C772" s="1" t="n">
        <v>45204</v>
      </c>
      <c r="D772" t="inlineStr">
        <is>
          <t>VÄSTERBOTTENS LÄN</t>
        </is>
      </c>
      <c r="E772" t="inlineStr">
        <is>
          <t>SKELLEFTEÅ</t>
        </is>
      </c>
      <c r="G772" t="n">
        <v>2</v>
      </c>
      <c r="H772" t="n">
        <v>0</v>
      </c>
      <c r="I772" t="n">
        <v>0</v>
      </c>
      <c r="J772" t="n">
        <v>0</v>
      </c>
      <c r="K772" t="n">
        <v>0</v>
      </c>
      <c r="L772" t="n">
        <v>0</v>
      </c>
      <c r="M772" t="n">
        <v>0</v>
      </c>
      <c r="N772" t="n">
        <v>0</v>
      </c>
      <c r="O772" t="n">
        <v>0</v>
      </c>
      <c r="P772" t="n">
        <v>0</v>
      </c>
      <c r="Q772" t="n">
        <v>0</v>
      </c>
      <c r="R772" s="2" t="inlineStr"/>
    </row>
    <row r="773" ht="15" customHeight="1">
      <c r="A773" t="inlineStr">
        <is>
          <t>A 34290-2018</t>
        </is>
      </c>
      <c r="B773" s="1" t="n">
        <v>43318</v>
      </c>
      <c r="C773" s="1" t="n">
        <v>45204</v>
      </c>
      <c r="D773" t="inlineStr">
        <is>
          <t>VÄSTERBOTTENS LÄN</t>
        </is>
      </c>
      <c r="E773" t="inlineStr">
        <is>
          <t>ÅSELE</t>
        </is>
      </c>
      <c r="G773" t="n">
        <v>0.9</v>
      </c>
      <c r="H773" t="n">
        <v>0</v>
      </c>
      <c r="I773" t="n">
        <v>0</v>
      </c>
      <c r="J773" t="n">
        <v>0</v>
      </c>
      <c r="K773" t="n">
        <v>0</v>
      </c>
      <c r="L773" t="n">
        <v>0</v>
      </c>
      <c r="M773" t="n">
        <v>0</v>
      </c>
      <c r="N773" t="n">
        <v>0</v>
      </c>
      <c r="O773" t="n">
        <v>0</v>
      </c>
      <c r="P773" t="n">
        <v>0</v>
      </c>
      <c r="Q773" t="n">
        <v>0</v>
      </c>
      <c r="R773" s="2" t="inlineStr"/>
    </row>
    <row r="774" ht="15" customHeight="1">
      <c r="A774" t="inlineStr">
        <is>
          <t>A 34232-2018</t>
        </is>
      </c>
      <c r="B774" s="1" t="n">
        <v>43318</v>
      </c>
      <c r="C774" s="1" t="n">
        <v>45204</v>
      </c>
      <c r="D774" t="inlineStr">
        <is>
          <t>VÄSTERBOTTENS LÄN</t>
        </is>
      </c>
      <c r="E774" t="inlineStr">
        <is>
          <t>SKELLEFTEÅ</t>
        </is>
      </c>
      <c r="G774" t="n">
        <v>3</v>
      </c>
      <c r="H774" t="n">
        <v>0</v>
      </c>
      <c r="I774" t="n">
        <v>0</v>
      </c>
      <c r="J774" t="n">
        <v>0</v>
      </c>
      <c r="K774" t="n">
        <v>0</v>
      </c>
      <c r="L774" t="n">
        <v>0</v>
      </c>
      <c r="M774" t="n">
        <v>0</v>
      </c>
      <c r="N774" t="n">
        <v>0</v>
      </c>
      <c r="O774" t="n">
        <v>0</v>
      </c>
      <c r="P774" t="n">
        <v>0</v>
      </c>
      <c r="Q774" t="n">
        <v>0</v>
      </c>
      <c r="R774" s="2" t="inlineStr"/>
    </row>
    <row r="775" ht="15" customHeight="1">
      <c r="A775" t="inlineStr">
        <is>
          <t>A 34257-2018</t>
        </is>
      </c>
      <c r="B775" s="1" t="n">
        <v>43318</v>
      </c>
      <c r="C775" s="1" t="n">
        <v>45204</v>
      </c>
      <c r="D775" t="inlineStr">
        <is>
          <t>VÄSTERBOTTENS LÄN</t>
        </is>
      </c>
      <c r="E775" t="inlineStr">
        <is>
          <t>NORSJÖ</t>
        </is>
      </c>
      <c r="G775" t="n">
        <v>0.7</v>
      </c>
      <c r="H775" t="n">
        <v>0</v>
      </c>
      <c r="I775" t="n">
        <v>0</v>
      </c>
      <c r="J775" t="n">
        <v>0</v>
      </c>
      <c r="K775" t="n">
        <v>0</v>
      </c>
      <c r="L775" t="n">
        <v>0</v>
      </c>
      <c r="M775" t="n">
        <v>0</v>
      </c>
      <c r="N775" t="n">
        <v>0</v>
      </c>
      <c r="O775" t="n">
        <v>0</v>
      </c>
      <c r="P775" t="n">
        <v>0</v>
      </c>
      <c r="Q775" t="n">
        <v>0</v>
      </c>
      <c r="R775" s="2" t="inlineStr"/>
    </row>
    <row r="776" ht="15" customHeight="1">
      <c r="A776" t="inlineStr">
        <is>
          <t>A 34396-2018</t>
        </is>
      </c>
      <c r="B776" s="1" t="n">
        <v>43319</v>
      </c>
      <c r="C776" s="1" t="n">
        <v>45204</v>
      </c>
      <c r="D776" t="inlineStr">
        <is>
          <t>VÄSTERBOTTENS LÄN</t>
        </is>
      </c>
      <c r="E776" t="inlineStr">
        <is>
          <t>SKELLEFTEÅ</t>
        </is>
      </c>
      <c r="G776" t="n">
        <v>15.8</v>
      </c>
      <c r="H776" t="n">
        <v>0</v>
      </c>
      <c r="I776" t="n">
        <v>0</v>
      </c>
      <c r="J776" t="n">
        <v>0</v>
      </c>
      <c r="K776" t="n">
        <v>0</v>
      </c>
      <c r="L776" t="n">
        <v>0</v>
      </c>
      <c r="M776" t="n">
        <v>0</v>
      </c>
      <c r="N776" t="n">
        <v>0</v>
      </c>
      <c r="O776" t="n">
        <v>0</v>
      </c>
      <c r="P776" t="n">
        <v>0</v>
      </c>
      <c r="Q776" t="n">
        <v>0</v>
      </c>
      <c r="R776" s="2" t="inlineStr"/>
    </row>
    <row r="777" ht="15" customHeight="1">
      <c r="A777" t="inlineStr">
        <is>
          <t>A 34544-2018</t>
        </is>
      </c>
      <c r="B777" s="1" t="n">
        <v>43320</v>
      </c>
      <c r="C777" s="1" t="n">
        <v>45204</v>
      </c>
      <c r="D777" t="inlineStr">
        <is>
          <t>VÄSTERBOTTENS LÄN</t>
        </is>
      </c>
      <c r="E777" t="inlineStr">
        <is>
          <t>VINDELN</t>
        </is>
      </c>
      <c r="G777" t="n">
        <v>4.8</v>
      </c>
      <c r="H777" t="n">
        <v>0</v>
      </c>
      <c r="I777" t="n">
        <v>0</v>
      </c>
      <c r="J777" t="n">
        <v>0</v>
      </c>
      <c r="K777" t="n">
        <v>0</v>
      </c>
      <c r="L777" t="n">
        <v>0</v>
      </c>
      <c r="M777" t="n">
        <v>0</v>
      </c>
      <c r="N777" t="n">
        <v>0</v>
      </c>
      <c r="O777" t="n">
        <v>0</v>
      </c>
      <c r="P777" t="n">
        <v>0</v>
      </c>
      <c r="Q777" t="n">
        <v>0</v>
      </c>
      <c r="R777" s="2" t="inlineStr"/>
    </row>
    <row r="778" ht="15" customHeight="1">
      <c r="A778" t="inlineStr">
        <is>
          <t>A 34746-2018</t>
        </is>
      </c>
      <c r="B778" s="1" t="n">
        <v>43320</v>
      </c>
      <c r="C778" s="1" t="n">
        <v>45204</v>
      </c>
      <c r="D778" t="inlineStr">
        <is>
          <t>VÄSTERBOTTENS LÄN</t>
        </is>
      </c>
      <c r="E778" t="inlineStr">
        <is>
          <t>DOROTEA</t>
        </is>
      </c>
      <c r="F778" t="inlineStr">
        <is>
          <t>SCA</t>
        </is>
      </c>
      <c r="G778" t="n">
        <v>6.3</v>
      </c>
      <c r="H778" t="n">
        <v>0</v>
      </c>
      <c r="I778" t="n">
        <v>0</v>
      </c>
      <c r="J778" t="n">
        <v>0</v>
      </c>
      <c r="K778" t="n">
        <v>0</v>
      </c>
      <c r="L778" t="n">
        <v>0</v>
      </c>
      <c r="M778" t="n">
        <v>0</v>
      </c>
      <c r="N778" t="n">
        <v>0</v>
      </c>
      <c r="O778" t="n">
        <v>0</v>
      </c>
      <c r="P778" t="n">
        <v>0</v>
      </c>
      <c r="Q778" t="n">
        <v>0</v>
      </c>
      <c r="R778" s="2" t="inlineStr"/>
    </row>
    <row r="779" ht="15" customHeight="1">
      <c r="A779" t="inlineStr">
        <is>
          <t>A 35255-2018</t>
        </is>
      </c>
      <c r="B779" s="1" t="n">
        <v>43320</v>
      </c>
      <c r="C779" s="1" t="n">
        <v>45204</v>
      </c>
      <c r="D779" t="inlineStr">
        <is>
          <t>VÄSTERBOTTENS LÄN</t>
        </is>
      </c>
      <c r="E779" t="inlineStr">
        <is>
          <t>NORSJÖ</t>
        </is>
      </c>
      <c r="G779" t="n">
        <v>0.8</v>
      </c>
      <c r="H779" t="n">
        <v>0</v>
      </c>
      <c r="I779" t="n">
        <v>0</v>
      </c>
      <c r="J779" t="n">
        <v>0</v>
      </c>
      <c r="K779" t="n">
        <v>0</v>
      </c>
      <c r="L779" t="n">
        <v>0</v>
      </c>
      <c r="M779" t="n">
        <v>0</v>
      </c>
      <c r="N779" t="n">
        <v>0</v>
      </c>
      <c r="O779" t="n">
        <v>0</v>
      </c>
      <c r="P779" t="n">
        <v>0</v>
      </c>
      <c r="Q779" t="n">
        <v>0</v>
      </c>
      <c r="R779" s="2" t="inlineStr"/>
    </row>
    <row r="780" ht="15" customHeight="1">
      <c r="A780" t="inlineStr">
        <is>
          <t>A 34901-2018</t>
        </is>
      </c>
      <c r="B780" s="1" t="n">
        <v>43321</v>
      </c>
      <c r="C780" s="1" t="n">
        <v>45204</v>
      </c>
      <c r="D780" t="inlineStr">
        <is>
          <t>VÄSTERBOTTENS LÄN</t>
        </is>
      </c>
      <c r="E780" t="inlineStr">
        <is>
          <t>MALÅ</t>
        </is>
      </c>
      <c r="G780" t="n">
        <v>7.7</v>
      </c>
      <c r="H780" t="n">
        <v>0</v>
      </c>
      <c r="I780" t="n">
        <v>0</v>
      </c>
      <c r="J780" t="n">
        <v>0</v>
      </c>
      <c r="K780" t="n">
        <v>0</v>
      </c>
      <c r="L780" t="n">
        <v>0</v>
      </c>
      <c r="M780" t="n">
        <v>0</v>
      </c>
      <c r="N780" t="n">
        <v>0</v>
      </c>
      <c r="O780" t="n">
        <v>0</v>
      </c>
      <c r="P780" t="n">
        <v>0</v>
      </c>
      <c r="Q780" t="n">
        <v>0</v>
      </c>
      <c r="R780" s="2" t="inlineStr"/>
    </row>
    <row r="781" ht="15" customHeight="1">
      <c r="A781" t="inlineStr">
        <is>
          <t>A 35291-2018</t>
        </is>
      </c>
      <c r="B781" s="1" t="n">
        <v>43322</v>
      </c>
      <c r="C781" s="1" t="n">
        <v>45204</v>
      </c>
      <c r="D781" t="inlineStr">
        <is>
          <t>VÄSTERBOTTENS LÄN</t>
        </is>
      </c>
      <c r="E781" t="inlineStr">
        <is>
          <t>NORDMALING</t>
        </is>
      </c>
      <c r="G781" t="n">
        <v>16.7</v>
      </c>
      <c r="H781" t="n">
        <v>0</v>
      </c>
      <c r="I781" t="n">
        <v>0</v>
      </c>
      <c r="J781" t="n">
        <v>0</v>
      </c>
      <c r="K781" t="n">
        <v>0</v>
      </c>
      <c r="L781" t="n">
        <v>0</v>
      </c>
      <c r="M781" t="n">
        <v>0</v>
      </c>
      <c r="N781" t="n">
        <v>0</v>
      </c>
      <c r="O781" t="n">
        <v>0</v>
      </c>
      <c r="P781" t="n">
        <v>0</v>
      </c>
      <c r="Q781" t="n">
        <v>0</v>
      </c>
      <c r="R781" s="2" t="inlineStr"/>
    </row>
    <row r="782" ht="15" customHeight="1">
      <c r="A782" t="inlineStr">
        <is>
          <t>A 35493-2018</t>
        </is>
      </c>
      <c r="B782" s="1" t="n">
        <v>43325</v>
      </c>
      <c r="C782" s="1" t="n">
        <v>45204</v>
      </c>
      <c r="D782" t="inlineStr">
        <is>
          <t>VÄSTERBOTTENS LÄN</t>
        </is>
      </c>
      <c r="E782" t="inlineStr">
        <is>
          <t>SKELLEFTEÅ</t>
        </is>
      </c>
      <c r="G782" t="n">
        <v>6.6</v>
      </c>
      <c r="H782" t="n">
        <v>0</v>
      </c>
      <c r="I782" t="n">
        <v>0</v>
      </c>
      <c r="J782" t="n">
        <v>0</v>
      </c>
      <c r="K782" t="n">
        <v>0</v>
      </c>
      <c r="L782" t="n">
        <v>0</v>
      </c>
      <c r="M782" t="n">
        <v>0</v>
      </c>
      <c r="N782" t="n">
        <v>0</v>
      </c>
      <c r="O782" t="n">
        <v>0</v>
      </c>
      <c r="P782" t="n">
        <v>0</v>
      </c>
      <c r="Q782" t="n">
        <v>0</v>
      </c>
      <c r="R782" s="2" t="inlineStr"/>
    </row>
    <row r="783" ht="15" customHeight="1">
      <c r="A783" t="inlineStr">
        <is>
          <t>A 35686-2018</t>
        </is>
      </c>
      <c r="B783" s="1" t="n">
        <v>43325</v>
      </c>
      <c r="C783" s="1" t="n">
        <v>45204</v>
      </c>
      <c r="D783" t="inlineStr">
        <is>
          <t>VÄSTERBOTTENS LÄN</t>
        </is>
      </c>
      <c r="E783" t="inlineStr">
        <is>
          <t>SORSELE</t>
        </is>
      </c>
      <c r="G783" t="n">
        <v>8.699999999999999</v>
      </c>
      <c r="H783" t="n">
        <v>0</v>
      </c>
      <c r="I783" t="n">
        <v>0</v>
      </c>
      <c r="J783" t="n">
        <v>0</v>
      </c>
      <c r="K783" t="n">
        <v>0</v>
      </c>
      <c r="L783" t="n">
        <v>0</v>
      </c>
      <c r="M783" t="n">
        <v>0</v>
      </c>
      <c r="N783" t="n">
        <v>0</v>
      </c>
      <c r="O783" t="n">
        <v>0</v>
      </c>
      <c r="P783" t="n">
        <v>0</v>
      </c>
      <c r="Q783" t="n">
        <v>0</v>
      </c>
      <c r="R783" s="2" t="inlineStr"/>
    </row>
    <row r="784" ht="15" customHeight="1">
      <c r="A784" t="inlineStr">
        <is>
          <t>A 35908-2018</t>
        </is>
      </c>
      <c r="B784" s="1" t="n">
        <v>43326</v>
      </c>
      <c r="C784" s="1" t="n">
        <v>45204</v>
      </c>
      <c r="D784" t="inlineStr">
        <is>
          <t>VÄSTERBOTTENS LÄN</t>
        </is>
      </c>
      <c r="E784" t="inlineStr">
        <is>
          <t>SKELLEFTEÅ</t>
        </is>
      </c>
      <c r="G784" t="n">
        <v>1.3</v>
      </c>
      <c r="H784" t="n">
        <v>0</v>
      </c>
      <c r="I784" t="n">
        <v>0</v>
      </c>
      <c r="J784" t="n">
        <v>0</v>
      </c>
      <c r="K784" t="n">
        <v>0</v>
      </c>
      <c r="L784" t="n">
        <v>0</v>
      </c>
      <c r="M784" t="n">
        <v>0</v>
      </c>
      <c r="N784" t="n">
        <v>0</v>
      </c>
      <c r="O784" t="n">
        <v>0</v>
      </c>
      <c r="P784" t="n">
        <v>0</v>
      </c>
      <c r="Q784" t="n">
        <v>0</v>
      </c>
      <c r="R784" s="2" t="inlineStr"/>
    </row>
    <row r="785" ht="15" customHeight="1">
      <c r="A785" t="inlineStr">
        <is>
          <t>A 35899-2018</t>
        </is>
      </c>
      <c r="B785" s="1" t="n">
        <v>43327</v>
      </c>
      <c r="C785" s="1" t="n">
        <v>45204</v>
      </c>
      <c r="D785" t="inlineStr">
        <is>
          <t>VÄSTERBOTTENS LÄN</t>
        </is>
      </c>
      <c r="E785" t="inlineStr">
        <is>
          <t>VINDELN</t>
        </is>
      </c>
      <c r="F785" t="inlineStr">
        <is>
          <t>Naturvårdsverket</t>
        </is>
      </c>
      <c r="G785" t="n">
        <v>6.7</v>
      </c>
      <c r="H785" t="n">
        <v>0</v>
      </c>
      <c r="I785" t="n">
        <v>0</v>
      </c>
      <c r="J785" t="n">
        <v>0</v>
      </c>
      <c r="K785" t="n">
        <v>0</v>
      </c>
      <c r="L785" t="n">
        <v>0</v>
      </c>
      <c r="M785" t="n">
        <v>0</v>
      </c>
      <c r="N785" t="n">
        <v>0</v>
      </c>
      <c r="O785" t="n">
        <v>0</v>
      </c>
      <c r="P785" t="n">
        <v>0</v>
      </c>
      <c r="Q785" t="n">
        <v>0</v>
      </c>
      <c r="R785" s="2" t="inlineStr"/>
    </row>
    <row r="786" ht="15" customHeight="1">
      <c r="A786" t="inlineStr">
        <is>
          <t>A 35938-2018</t>
        </is>
      </c>
      <c r="B786" s="1" t="n">
        <v>43327</v>
      </c>
      <c r="C786" s="1" t="n">
        <v>45204</v>
      </c>
      <c r="D786" t="inlineStr">
        <is>
          <t>VÄSTERBOTTENS LÄN</t>
        </is>
      </c>
      <c r="E786" t="inlineStr">
        <is>
          <t>SKELLEFTEÅ</t>
        </is>
      </c>
      <c r="G786" t="n">
        <v>0.8</v>
      </c>
      <c r="H786" t="n">
        <v>0</v>
      </c>
      <c r="I786" t="n">
        <v>0</v>
      </c>
      <c r="J786" t="n">
        <v>0</v>
      </c>
      <c r="K786" t="n">
        <v>0</v>
      </c>
      <c r="L786" t="n">
        <v>0</v>
      </c>
      <c r="M786" t="n">
        <v>0</v>
      </c>
      <c r="N786" t="n">
        <v>0</v>
      </c>
      <c r="O786" t="n">
        <v>0</v>
      </c>
      <c r="P786" t="n">
        <v>0</v>
      </c>
      <c r="Q786" t="n">
        <v>0</v>
      </c>
      <c r="R786" s="2" t="inlineStr"/>
    </row>
    <row r="787" ht="15" customHeight="1">
      <c r="A787" t="inlineStr">
        <is>
          <t>A 35994-2018</t>
        </is>
      </c>
      <c r="B787" s="1" t="n">
        <v>43327</v>
      </c>
      <c r="C787" s="1" t="n">
        <v>45204</v>
      </c>
      <c r="D787" t="inlineStr">
        <is>
          <t>VÄSTERBOTTENS LÄN</t>
        </is>
      </c>
      <c r="E787" t="inlineStr">
        <is>
          <t>SKELLEFTEÅ</t>
        </is>
      </c>
      <c r="G787" t="n">
        <v>3.4</v>
      </c>
      <c r="H787" t="n">
        <v>0</v>
      </c>
      <c r="I787" t="n">
        <v>0</v>
      </c>
      <c r="J787" t="n">
        <v>0</v>
      </c>
      <c r="K787" t="n">
        <v>0</v>
      </c>
      <c r="L787" t="n">
        <v>0</v>
      </c>
      <c r="M787" t="n">
        <v>0</v>
      </c>
      <c r="N787" t="n">
        <v>0</v>
      </c>
      <c r="O787" t="n">
        <v>0</v>
      </c>
      <c r="P787" t="n">
        <v>0</v>
      </c>
      <c r="Q787" t="n">
        <v>0</v>
      </c>
      <c r="R787" s="2" t="inlineStr"/>
    </row>
    <row r="788" ht="15" customHeight="1">
      <c r="A788" t="inlineStr">
        <is>
          <t>A 36544-2018</t>
        </is>
      </c>
      <c r="B788" s="1" t="n">
        <v>43328</v>
      </c>
      <c r="C788" s="1" t="n">
        <v>45204</v>
      </c>
      <c r="D788" t="inlineStr">
        <is>
          <t>VÄSTERBOTTENS LÄN</t>
        </is>
      </c>
      <c r="E788" t="inlineStr">
        <is>
          <t>LYCKSELE</t>
        </is>
      </c>
      <c r="G788" t="n">
        <v>5.2</v>
      </c>
      <c r="H788" t="n">
        <v>0</v>
      </c>
      <c r="I788" t="n">
        <v>0</v>
      </c>
      <c r="J788" t="n">
        <v>0</v>
      </c>
      <c r="K788" t="n">
        <v>0</v>
      </c>
      <c r="L788" t="n">
        <v>0</v>
      </c>
      <c r="M788" t="n">
        <v>0</v>
      </c>
      <c r="N788" t="n">
        <v>0</v>
      </c>
      <c r="O788" t="n">
        <v>0</v>
      </c>
      <c r="P788" t="n">
        <v>0</v>
      </c>
      <c r="Q788" t="n">
        <v>0</v>
      </c>
      <c r="R788" s="2" t="inlineStr"/>
    </row>
    <row r="789" ht="15" customHeight="1">
      <c r="A789" t="inlineStr">
        <is>
          <t>A 36413-2018</t>
        </is>
      </c>
      <c r="B789" s="1" t="n">
        <v>43329</v>
      </c>
      <c r="C789" s="1" t="n">
        <v>45204</v>
      </c>
      <c r="D789" t="inlineStr">
        <is>
          <t>VÄSTERBOTTENS LÄN</t>
        </is>
      </c>
      <c r="E789" t="inlineStr">
        <is>
          <t>SKELLEFTEÅ</t>
        </is>
      </c>
      <c r="G789" t="n">
        <v>1</v>
      </c>
      <c r="H789" t="n">
        <v>0</v>
      </c>
      <c r="I789" t="n">
        <v>0</v>
      </c>
      <c r="J789" t="n">
        <v>0</v>
      </c>
      <c r="K789" t="n">
        <v>0</v>
      </c>
      <c r="L789" t="n">
        <v>0</v>
      </c>
      <c r="M789" t="n">
        <v>0</v>
      </c>
      <c r="N789" t="n">
        <v>0</v>
      </c>
      <c r="O789" t="n">
        <v>0</v>
      </c>
      <c r="P789" t="n">
        <v>0</v>
      </c>
      <c r="Q789" t="n">
        <v>0</v>
      </c>
      <c r="R789" s="2" t="inlineStr"/>
    </row>
    <row r="790" ht="15" customHeight="1">
      <c r="A790" t="inlineStr">
        <is>
          <t>A 36536-2018</t>
        </is>
      </c>
      <c r="B790" s="1" t="n">
        <v>43329</v>
      </c>
      <c r="C790" s="1" t="n">
        <v>45204</v>
      </c>
      <c r="D790" t="inlineStr">
        <is>
          <t>VÄSTERBOTTENS LÄN</t>
        </is>
      </c>
      <c r="E790" t="inlineStr">
        <is>
          <t>NORSJÖ</t>
        </is>
      </c>
      <c r="G790" t="n">
        <v>1.5</v>
      </c>
      <c r="H790" t="n">
        <v>0</v>
      </c>
      <c r="I790" t="n">
        <v>0</v>
      </c>
      <c r="J790" t="n">
        <v>0</v>
      </c>
      <c r="K790" t="n">
        <v>0</v>
      </c>
      <c r="L790" t="n">
        <v>0</v>
      </c>
      <c r="M790" t="n">
        <v>0</v>
      </c>
      <c r="N790" t="n">
        <v>0</v>
      </c>
      <c r="O790" t="n">
        <v>0</v>
      </c>
      <c r="P790" t="n">
        <v>0</v>
      </c>
      <c r="Q790" t="n">
        <v>0</v>
      </c>
      <c r="R790" s="2" t="inlineStr"/>
    </row>
    <row r="791" ht="15" customHeight="1">
      <c r="A791" t="inlineStr">
        <is>
          <t>A 36369-2018</t>
        </is>
      </c>
      <c r="B791" s="1" t="n">
        <v>43329</v>
      </c>
      <c r="C791" s="1" t="n">
        <v>45204</v>
      </c>
      <c r="D791" t="inlineStr">
        <is>
          <t>VÄSTERBOTTENS LÄN</t>
        </is>
      </c>
      <c r="E791" t="inlineStr">
        <is>
          <t>SKELLEFTEÅ</t>
        </is>
      </c>
      <c r="G791" t="n">
        <v>2.3</v>
      </c>
      <c r="H791" t="n">
        <v>0</v>
      </c>
      <c r="I791" t="n">
        <v>0</v>
      </c>
      <c r="J791" t="n">
        <v>0</v>
      </c>
      <c r="K791" t="n">
        <v>0</v>
      </c>
      <c r="L791" t="n">
        <v>0</v>
      </c>
      <c r="M791" t="n">
        <v>0</v>
      </c>
      <c r="N791" t="n">
        <v>0</v>
      </c>
      <c r="O791" t="n">
        <v>0</v>
      </c>
      <c r="P791" t="n">
        <v>0</v>
      </c>
      <c r="Q791" t="n">
        <v>0</v>
      </c>
      <c r="R791" s="2" t="inlineStr"/>
    </row>
    <row r="792" ht="15" customHeight="1">
      <c r="A792" t="inlineStr">
        <is>
          <t>A 36803-2018</t>
        </is>
      </c>
      <c r="B792" s="1" t="n">
        <v>43329</v>
      </c>
      <c r="C792" s="1" t="n">
        <v>45204</v>
      </c>
      <c r="D792" t="inlineStr">
        <is>
          <t>VÄSTERBOTTENS LÄN</t>
        </is>
      </c>
      <c r="E792" t="inlineStr">
        <is>
          <t>SKELLEFTEÅ</t>
        </is>
      </c>
      <c r="G792" t="n">
        <v>1.3</v>
      </c>
      <c r="H792" t="n">
        <v>0</v>
      </c>
      <c r="I792" t="n">
        <v>0</v>
      </c>
      <c r="J792" t="n">
        <v>0</v>
      </c>
      <c r="K792" t="n">
        <v>0</v>
      </c>
      <c r="L792" t="n">
        <v>0</v>
      </c>
      <c r="M792" t="n">
        <v>0</v>
      </c>
      <c r="N792" t="n">
        <v>0</v>
      </c>
      <c r="O792" t="n">
        <v>0</v>
      </c>
      <c r="P792" t="n">
        <v>0</v>
      </c>
      <c r="Q792" t="n">
        <v>0</v>
      </c>
      <c r="R792" s="2" t="inlineStr"/>
    </row>
    <row r="793" ht="15" customHeight="1">
      <c r="A793" t="inlineStr">
        <is>
          <t>A 36912-2018</t>
        </is>
      </c>
      <c r="B793" s="1" t="n">
        <v>43332</v>
      </c>
      <c r="C793" s="1" t="n">
        <v>45204</v>
      </c>
      <c r="D793" t="inlineStr">
        <is>
          <t>VÄSTERBOTTENS LÄN</t>
        </is>
      </c>
      <c r="E793" t="inlineStr">
        <is>
          <t>UMEÅ</t>
        </is>
      </c>
      <c r="F793" t="inlineStr">
        <is>
          <t>Holmen skog AB</t>
        </is>
      </c>
      <c r="G793" t="n">
        <v>1.3</v>
      </c>
      <c r="H793" t="n">
        <v>0</v>
      </c>
      <c r="I793" t="n">
        <v>0</v>
      </c>
      <c r="J793" t="n">
        <v>0</v>
      </c>
      <c r="K793" t="n">
        <v>0</v>
      </c>
      <c r="L793" t="n">
        <v>0</v>
      </c>
      <c r="M793" t="n">
        <v>0</v>
      </c>
      <c r="N793" t="n">
        <v>0</v>
      </c>
      <c r="O793" t="n">
        <v>0</v>
      </c>
      <c r="P793" t="n">
        <v>0</v>
      </c>
      <c r="Q793" t="n">
        <v>0</v>
      </c>
      <c r="R793" s="2" t="inlineStr"/>
    </row>
    <row r="794" ht="15" customHeight="1">
      <c r="A794" t="inlineStr">
        <is>
          <t>A 37057-2018</t>
        </is>
      </c>
      <c r="B794" s="1" t="n">
        <v>43332</v>
      </c>
      <c r="C794" s="1" t="n">
        <v>45204</v>
      </c>
      <c r="D794" t="inlineStr">
        <is>
          <t>VÄSTERBOTTENS LÄN</t>
        </is>
      </c>
      <c r="E794" t="inlineStr">
        <is>
          <t>VILHELMINA</t>
        </is>
      </c>
      <c r="G794" t="n">
        <v>0.3</v>
      </c>
      <c r="H794" t="n">
        <v>0</v>
      </c>
      <c r="I794" t="n">
        <v>0</v>
      </c>
      <c r="J794" t="n">
        <v>0</v>
      </c>
      <c r="K794" t="n">
        <v>0</v>
      </c>
      <c r="L794" t="n">
        <v>0</v>
      </c>
      <c r="M794" t="n">
        <v>0</v>
      </c>
      <c r="N794" t="n">
        <v>0</v>
      </c>
      <c r="O794" t="n">
        <v>0</v>
      </c>
      <c r="P794" t="n">
        <v>0</v>
      </c>
      <c r="Q794" t="n">
        <v>0</v>
      </c>
      <c r="R794" s="2" t="inlineStr"/>
    </row>
    <row r="795" ht="15" customHeight="1">
      <c r="A795" t="inlineStr">
        <is>
          <t>A 37129-2018</t>
        </is>
      </c>
      <c r="B795" s="1" t="n">
        <v>43332</v>
      </c>
      <c r="C795" s="1" t="n">
        <v>45204</v>
      </c>
      <c r="D795" t="inlineStr">
        <is>
          <t>VÄSTERBOTTENS LÄN</t>
        </is>
      </c>
      <c r="E795" t="inlineStr">
        <is>
          <t>SKELLEFTEÅ</t>
        </is>
      </c>
      <c r="G795" t="n">
        <v>1.6</v>
      </c>
      <c r="H795" t="n">
        <v>0</v>
      </c>
      <c r="I795" t="n">
        <v>0</v>
      </c>
      <c r="J795" t="n">
        <v>0</v>
      </c>
      <c r="K795" t="n">
        <v>0</v>
      </c>
      <c r="L795" t="n">
        <v>0</v>
      </c>
      <c r="M795" t="n">
        <v>0</v>
      </c>
      <c r="N795" t="n">
        <v>0</v>
      </c>
      <c r="O795" t="n">
        <v>0</v>
      </c>
      <c r="P795" t="n">
        <v>0</v>
      </c>
      <c r="Q795" t="n">
        <v>0</v>
      </c>
      <c r="R795" s="2" t="inlineStr"/>
    </row>
    <row r="796" ht="15" customHeight="1">
      <c r="A796" t="inlineStr">
        <is>
          <t>A 37012-2018</t>
        </is>
      </c>
      <c r="B796" s="1" t="n">
        <v>43332</v>
      </c>
      <c r="C796" s="1" t="n">
        <v>45204</v>
      </c>
      <c r="D796" t="inlineStr">
        <is>
          <t>VÄSTERBOTTENS LÄN</t>
        </is>
      </c>
      <c r="E796" t="inlineStr">
        <is>
          <t>VILHELMINA</t>
        </is>
      </c>
      <c r="G796" t="n">
        <v>3.1</v>
      </c>
      <c r="H796" t="n">
        <v>0</v>
      </c>
      <c r="I796" t="n">
        <v>0</v>
      </c>
      <c r="J796" t="n">
        <v>0</v>
      </c>
      <c r="K796" t="n">
        <v>0</v>
      </c>
      <c r="L796" t="n">
        <v>0</v>
      </c>
      <c r="M796" t="n">
        <v>0</v>
      </c>
      <c r="N796" t="n">
        <v>0</v>
      </c>
      <c r="O796" t="n">
        <v>0</v>
      </c>
      <c r="P796" t="n">
        <v>0</v>
      </c>
      <c r="Q796" t="n">
        <v>0</v>
      </c>
      <c r="R796" s="2" t="inlineStr"/>
    </row>
    <row r="797" ht="15" customHeight="1">
      <c r="A797" t="inlineStr">
        <is>
          <t>A 36980-2018</t>
        </is>
      </c>
      <c r="B797" s="1" t="n">
        <v>43333</v>
      </c>
      <c r="C797" s="1" t="n">
        <v>45204</v>
      </c>
      <c r="D797" t="inlineStr">
        <is>
          <t>VÄSTERBOTTENS LÄN</t>
        </is>
      </c>
      <c r="E797" t="inlineStr">
        <is>
          <t>SORSELE</t>
        </is>
      </c>
      <c r="F797" t="inlineStr">
        <is>
          <t>Sveaskog</t>
        </is>
      </c>
      <c r="G797" t="n">
        <v>6</v>
      </c>
      <c r="H797" t="n">
        <v>0</v>
      </c>
      <c r="I797" t="n">
        <v>0</v>
      </c>
      <c r="J797" t="n">
        <v>0</v>
      </c>
      <c r="K797" t="n">
        <v>0</v>
      </c>
      <c r="L797" t="n">
        <v>0</v>
      </c>
      <c r="M797" t="n">
        <v>0</v>
      </c>
      <c r="N797" t="n">
        <v>0</v>
      </c>
      <c r="O797" t="n">
        <v>0</v>
      </c>
      <c r="P797" t="n">
        <v>0</v>
      </c>
      <c r="Q797" t="n">
        <v>0</v>
      </c>
      <c r="R797" s="2" t="inlineStr"/>
    </row>
    <row r="798" ht="15" customHeight="1">
      <c r="A798" t="inlineStr">
        <is>
          <t>A 37548-2018</t>
        </is>
      </c>
      <c r="B798" s="1" t="n">
        <v>43334</v>
      </c>
      <c r="C798" s="1" t="n">
        <v>45204</v>
      </c>
      <c r="D798" t="inlineStr">
        <is>
          <t>VÄSTERBOTTENS LÄN</t>
        </is>
      </c>
      <c r="E798" t="inlineStr">
        <is>
          <t>DOROTEA</t>
        </is>
      </c>
      <c r="F798" t="inlineStr">
        <is>
          <t>SCA</t>
        </is>
      </c>
      <c r="G798" t="n">
        <v>8.5</v>
      </c>
      <c r="H798" t="n">
        <v>0</v>
      </c>
      <c r="I798" t="n">
        <v>0</v>
      </c>
      <c r="J798" t="n">
        <v>0</v>
      </c>
      <c r="K798" t="n">
        <v>0</v>
      </c>
      <c r="L798" t="n">
        <v>0</v>
      </c>
      <c r="M798" t="n">
        <v>0</v>
      </c>
      <c r="N798" t="n">
        <v>0</v>
      </c>
      <c r="O798" t="n">
        <v>0</v>
      </c>
      <c r="P798" t="n">
        <v>0</v>
      </c>
      <c r="Q798" t="n">
        <v>0</v>
      </c>
      <c r="R798" s="2" t="inlineStr"/>
    </row>
    <row r="799" ht="15" customHeight="1">
      <c r="A799" t="inlineStr">
        <is>
          <t>A 37706-2018</t>
        </is>
      </c>
      <c r="B799" s="1" t="n">
        <v>43334</v>
      </c>
      <c r="C799" s="1" t="n">
        <v>45204</v>
      </c>
      <c r="D799" t="inlineStr">
        <is>
          <t>VÄSTERBOTTENS LÄN</t>
        </is>
      </c>
      <c r="E799" t="inlineStr">
        <is>
          <t>LYCKSELE</t>
        </is>
      </c>
      <c r="G799" t="n">
        <v>2</v>
      </c>
      <c r="H799" t="n">
        <v>0</v>
      </c>
      <c r="I799" t="n">
        <v>0</v>
      </c>
      <c r="J799" t="n">
        <v>0</v>
      </c>
      <c r="K799" t="n">
        <v>0</v>
      </c>
      <c r="L799" t="n">
        <v>0</v>
      </c>
      <c r="M799" t="n">
        <v>0</v>
      </c>
      <c r="N799" t="n">
        <v>0</v>
      </c>
      <c r="O799" t="n">
        <v>0</v>
      </c>
      <c r="P799" t="n">
        <v>0</v>
      </c>
      <c r="Q799" t="n">
        <v>0</v>
      </c>
      <c r="R799" s="2" t="inlineStr"/>
    </row>
    <row r="800" ht="15" customHeight="1">
      <c r="A800" t="inlineStr">
        <is>
          <t>A 38681-2018</t>
        </is>
      </c>
      <c r="B800" s="1" t="n">
        <v>43335</v>
      </c>
      <c r="C800" s="1" t="n">
        <v>45204</v>
      </c>
      <c r="D800" t="inlineStr">
        <is>
          <t>VÄSTERBOTTENS LÄN</t>
        </is>
      </c>
      <c r="E800" t="inlineStr">
        <is>
          <t>LYCKSELE</t>
        </is>
      </c>
      <c r="G800" t="n">
        <v>2.2</v>
      </c>
      <c r="H800" t="n">
        <v>0</v>
      </c>
      <c r="I800" t="n">
        <v>0</v>
      </c>
      <c r="J800" t="n">
        <v>0</v>
      </c>
      <c r="K800" t="n">
        <v>0</v>
      </c>
      <c r="L800" t="n">
        <v>0</v>
      </c>
      <c r="M800" t="n">
        <v>0</v>
      </c>
      <c r="N800" t="n">
        <v>0</v>
      </c>
      <c r="O800" t="n">
        <v>0</v>
      </c>
      <c r="P800" t="n">
        <v>0</v>
      </c>
      <c r="Q800" t="n">
        <v>0</v>
      </c>
      <c r="R800" s="2" t="inlineStr"/>
    </row>
    <row r="801" ht="15" customHeight="1">
      <c r="A801" t="inlineStr">
        <is>
          <t>A 37722-2018</t>
        </is>
      </c>
      <c r="B801" s="1" t="n">
        <v>43335</v>
      </c>
      <c r="C801" s="1" t="n">
        <v>45204</v>
      </c>
      <c r="D801" t="inlineStr">
        <is>
          <t>VÄSTERBOTTENS LÄN</t>
        </is>
      </c>
      <c r="E801" t="inlineStr">
        <is>
          <t>VILHELMINA</t>
        </is>
      </c>
      <c r="F801" t="inlineStr">
        <is>
          <t>Sveaskog</t>
        </is>
      </c>
      <c r="G801" t="n">
        <v>18</v>
      </c>
      <c r="H801" t="n">
        <v>0</v>
      </c>
      <c r="I801" t="n">
        <v>0</v>
      </c>
      <c r="J801" t="n">
        <v>0</v>
      </c>
      <c r="K801" t="n">
        <v>0</v>
      </c>
      <c r="L801" t="n">
        <v>0</v>
      </c>
      <c r="M801" t="n">
        <v>0</v>
      </c>
      <c r="N801" t="n">
        <v>0</v>
      </c>
      <c r="O801" t="n">
        <v>0</v>
      </c>
      <c r="P801" t="n">
        <v>0</v>
      </c>
      <c r="Q801" t="n">
        <v>0</v>
      </c>
      <c r="R801" s="2" t="inlineStr"/>
    </row>
    <row r="802" ht="15" customHeight="1">
      <c r="A802" t="inlineStr">
        <is>
          <t>A 38120-2018</t>
        </is>
      </c>
      <c r="B802" s="1" t="n">
        <v>43336</v>
      </c>
      <c r="C802" s="1" t="n">
        <v>45204</v>
      </c>
      <c r="D802" t="inlineStr">
        <is>
          <t>VÄSTERBOTTENS LÄN</t>
        </is>
      </c>
      <c r="E802" t="inlineStr">
        <is>
          <t>LYCKSELE</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38916-2018</t>
        </is>
      </c>
      <c r="B803" s="1" t="n">
        <v>43336</v>
      </c>
      <c r="C803" s="1" t="n">
        <v>45204</v>
      </c>
      <c r="D803" t="inlineStr">
        <is>
          <t>VÄSTERBOTTENS LÄN</t>
        </is>
      </c>
      <c r="E803" t="inlineStr">
        <is>
          <t>SKELLEFTEÅ</t>
        </is>
      </c>
      <c r="G803" t="n">
        <v>1</v>
      </c>
      <c r="H803" t="n">
        <v>0</v>
      </c>
      <c r="I803" t="n">
        <v>0</v>
      </c>
      <c r="J803" t="n">
        <v>0</v>
      </c>
      <c r="K803" t="n">
        <v>0</v>
      </c>
      <c r="L803" t="n">
        <v>0</v>
      </c>
      <c r="M803" t="n">
        <v>0</v>
      </c>
      <c r="N803" t="n">
        <v>0</v>
      </c>
      <c r="O803" t="n">
        <v>0</v>
      </c>
      <c r="P803" t="n">
        <v>0</v>
      </c>
      <c r="Q803" t="n">
        <v>0</v>
      </c>
      <c r="R803" s="2" t="inlineStr"/>
    </row>
    <row r="804" ht="15" customHeight="1">
      <c r="A804" t="inlineStr">
        <is>
          <t>A 38516-2018</t>
        </is>
      </c>
      <c r="B804" s="1" t="n">
        <v>43339</v>
      </c>
      <c r="C804" s="1" t="n">
        <v>45204</v>
      </c>
      <c r="D804" t="inlineStr">
        <is>
          <t>VÄSTERBOTTENS LÄN</t>
        </is>
      </c>
      <c r="E804" t="inlineStr">
        <is>
          <t>STORUMAN</t>
        </is>
      </c>
      <c r="G804" t="n">
        <v>20</v>
      </c>
      <c r="H804" t="n">
        <v>0</v>
      </c>
      <c r="I804" t="n">
        <v>0</v>
      </c>
      <c r="J804" t="n">
        <v>0</v>
      </c>
      <c r="K804" t="n">
        <v>0</v>
      </c>
      <c r="L804" t="n">
        <v>0</v>
      </c>
      <c r="M804" t="n">
        <v>0</v>
      </c>
      <c r="N804" t="n">
        <v>0</v>
      </c>
      <c r="O804" t="n">
        <v>0</v>
      </c>
      <c r="P804" t="n">
        <v>0</v>
      </c>
      <c r="Q804" t="n">
        <v>0</v>
      </c>
      <c r="R804" s="2" t="inlineStr"/>
    </row>
    <row r="805" ht="15" customHeight="1">
      <c r="A805" t="inlineStr">
        <is>
          <t>A 39112-2018</t>
        </is>
      </c>
      <c r="B805" s="1" t="n">
        <v>43339</v>
      </c>
      <c r="C805" s="1" t="n">
        <v>45204</v>
      </c>
      <c r="D805" t="inlineStr">
        <is>
          <t>VÄSTERBOTTENS LÄN</t>
        </is>
      </c>
      <c r="E805" t="inlineStr">
        <is>
          <t>NORDMALING</t>
        </is>
      </c>
      <c r="G805" t="n">
        <v>0.6</v>
      </c>
      <c r="H805" t="n">
        <v>0</v>
      </c>
      <c r="I805" t="n">
        <v>0</v>
      </c>
      <c r="J805" t="n">
        <v>0</v>
      </c>
      <c r="K805" t="n">
        <v>0</v>
      </c>
      <c r="L805" t="n">
        <v>0</v>
      </c>
      <c r="M805" t="n">
        <v>0</v>
      </c>
      <c r="N805" t="n">
        <v>0</v>
      </c>
      <c r="O805" t="n">
        <v>0</v>
      </c>
      <c r="P805" t="n">
        <v>0</v>
      </c>
      <c r="Q805" t="n">
        <v>0</v>
      </c>
      <c r="R805" s="2" t="inlineStr"/>
    </row>
    <row r="806" ht="15" customHeight="1">
      <c r="A806" t="inlineStr">
        <is>
          <t>A 38256-2018</t>
        </is>
      </c>
      <c r="B806" s="1" t="n">
        <v>43339</v>
      </c>
      <c r="C806" s="1" t="n">
        <v>45204</v>
      </c>
      <c r="D806" t="inlineStr">
        <is>
          <t>VÄSTERBOTTENS LÄN</t>
        </is>
      </c>
      <c r="E806" t="inlineStr">
        <is>
          <t>SKELLEFTEÅ</t>
        </is>
      </c>
      <c r="G806" t="n">
        <v>4.3</v>
      </c>
      <c r="H806" t="n">
        <v>0</v>
      </c>
      <c r="I806" t="n">
        <v>0</v>
      </c>
      <c r="J806" t="n">
        <v>0</v>
      </c>
      <c r="K806" t="n">
        <v>0</v>
      </c>
      <c r="L806" t="n">
        <v>0</v>
      </c>
      <c r="M806" t="n">
        <v>0</v>
      </c>
      <c r="N806" t="n">
        <v>0</v>
      </c>
      <c r="O806" t="n">
        <v>0</v>
      </c>
      <c r="P806" t="n">
        <v>0</v>
      </c>
      <c r="Q806" t="n">
        <v>0</v>
      </c>
      <c r="R806" s="2" t="inlineStr"/>
    </row>
    <row r="807" ht="15" customHeight="1">
      <c r="A807" t="inlineStr">
        <is>
          <t>A 38456-2018</t>
        </is>
      </c>
      <c r="B807" s="1" t="n">
        <v>43339</v>
      </c>
      <c r="C807" s="1" t="n">
        <v>45204</v>
      </c>
      <c r="D807" t="inlineStr">
        <is>
          <t>VÄSTERBOTTENS LÄN</t>
        </is>
      </c>
      <c r="E807" t="inlineStr">
        <is>
          <t>STORUMAN</t>
        </is>
      </c>
      <c r="G807" t="n">
        <v>1.4</v>
      </c>
      <c r="H807" t="n">
        <v>0</v>
      </c>
      <c r="I807" t="n">
        <v>0</v>
      </c>
      <c r="J807" t="n">
        <v>0</v>
      </c>
      <c r="K807" t="n">
        <v>0</v>
      </c>
      <c r="L807" t="n">
        <v>0</v>
      </c>
      <c r="M807" t="n">
        <v>0</v>
      </c>
      <c r="N807" t="n">
        <v>0</v>
      </c>
      <c r="O807" t="n">
        <v>0</v>
      </c>
      <c r="P807" t="n">
        <v>0</v>
      </c>
      <c r="Q807" t="n">
        <v>0</v>
      </c>
      <c r="R807" s="2" t="inlineStr"/>
    </row>
    <row r="808" ht="15" customHeight="1">
      <c r="A808" t="inlineStr">
        <is>
          <t>A 39188-2018</t>
        </is>
      </c>
      <c r="B808" s="1" t="n">
        <v>43339</v>
      </c>
      <c r="C808" s="1" t="n">
        <v>45204</v>
      </c>
      <c r="D808" t="inlineStr">
        <is>
          <t>VÄSTERBOTTENS LÄN</t>
        </is>
      </c>
      <c r="E808" t="inlineStr">
        <is>
          <t>ÅSELE</t>
        </is>
      </c>
      <c r="G808" t="n">
        <v>11.5</v>
      </c>
      <c r="H808" t="n">
        <v>0</v>
      </c>
      <c r="I808" t="n">
        <v>0</v>
      </c>
      <c r="J808" t="n">
        <v>0</v>
      </c>
      <c r="K808" t="n">
        <v>0</v>
      </c>
      <c r="L808" t="n">
        <v>0</v>
      </c>
      <c r="M808" t="n">
        <v>0</v>
      </c>
      <c r="N808" t="n">
        <v>0</v>
      </c>
      <c r="O808" t="n">
        <v>0</v>
      </c>
      <c r="P808" t="n">
        <v>0</v>
      </c>
      <c r="Q808" t="n">
        <v>0</v>
      </c>
      <c r="R808" s="2" t="inlineStr"/>
    </row>
    <row r="809" ht="15" customHeight="1">
      <c r="A809" t="inlineStr">
        <is>
          <t>A 39197-2018</t>
        </is>
      </c>
      <c r="B809" s="1" t="n">
        <v>43339</v>
      </c>
      <c r="C809" s="1" t="n">
        <v>45204</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39116-2018</t>
        </is>
      </c>
      <c r="B810" s="1" t="n">
        <v>43339</v>
      </c>
      <c r="C810" s="1" t="n">
        <v>45204</v>
      </c>
      <c r="D810" t="inlineStr">
        <is>
          <t>VÄSTERBOTTENS LÄN</t>
        </is>
      </c>
      <c r="E810" t="inlineStr">
        <is>
          <t>NORDMALING</t>
        </is>
      </c>
      <c r="G810" t="n">
        <v>1</v>
      </c>
      <c r="H810" t="n">
        <v>0</v>
      </c>
      <c r="I810" t="n">
        <v>0</v>
      </c>
      <c r="J810" t="n">
        <v>0</v>
      </c>
      <c r="K810" t="n">
        <v>0</v>
      </c>
      <c r="L810" t="n">
        <v>0</v>
      </c>
      <c r="M810" t="n">
        <v>0</v>
      </c>
      <c r="N810" t="n">
        <v>0</v>
      </c>
      <c r="O810" t="n">
        <v>0</v>
      </c>
      <c r="P810" t="n">
        <v>0</v>
      </c>
      <c r="Q810" t="n">
        <v>0</v>
      </c>
      <c r="R810" s="2" t="inlineStr"/>
    </row>
    <row r="811" ht="15" customHeight="1">
      <c r="A811" t="inlineStr">
        <is>
          <t>A 39175-2018</t>
        </is>
      </c>
      <c r="B811" s="1" t="n">
        <v>43339</v>
      </c>
      <c r="C811" s="1" t="n">
        <v>45204</v>
      </c>
      <c r="D811" t="inlineStr">
        <is>
          <t>VÄSTERBOTTENS LÄN</t>
        </is>
      </c>
      <c r="E811" t="inlineStr">
        <is>
          <t>NORDMALING</t>
        </is>
      </c>
      <c r="G811" t="n">
        <v>2.2</v>
      </c>
      <c r="H811" t="n">
        <v>0</v>
      </c>
      <c r="I811" t="n">
        <v>0</v>
      </c>
      <c r="J811" t="n">
        <v>0</v>
      </c>
      <c r="K811" t="n">
        <v>0</v>
      </c>
      <c r="L811" t="n">
        <v>0</v>
      </c>
      <c r="M811" t="n">
        <v>0</v>
      </c>
      <c r="N811" t="n">
        <v>0</v>
      </c>
      <c r="O811" t="n">
        <v>0</v>
      </c>
      <c r="P811" t="n">
        <v>0</v>
      </c>
      <c r="Q811" t="n">
        <v>0</v>
      </c>
      <c r="R811" s="2" t="inlineStr"/>
    </row>
    <row r="812" ht="15" customHeight="1">
      <c r="A812" t="inlineStr">
        <is>
          <t>A 39530-2018</t>
        </is>
      </c>
      <c r="B812" s="1" t="n">
        <v>43340</v>
      </c>
      <c r="C812" s="1" t="n">
        <v>45204</v>
      </c>
      <c r="D812" t="inlineStr">
        <is>
          <t>VÄSTERBOTTENS LÄN</t>
        </is>
      </c>
      <c r="E812" t="inlineStr">
        <is>
          <t>VILHELMINA</t>
        </is>
      </c>
      <c r="G812" t="n">
        <v>9</v>
      </c>
      <c r="H812" t="n">
        <v>0</v>
      </c>
      <c r="I812" t="n">
        <v>0</v>
      </c>
      <c r="J812" t="n">
        <v>0</v>
      </c>
      <c r="K812" t="n">
        <v>0</v>
      </c>
      <c r="L812" t="n">
        <v>0</v>
      </c>
      <c r="M812" t="n">
        <v>0</v>
      </c>
      <c r="N812" t="n">
        <v>0</v>
      </c>
      <c r="O812" t="n">
        <v>0</v>
      </c>
      <c r="P812" t="n">
        <v>0</v>
      </c>
      <c r="Q812" t="n">
        <v>0</v>
      </c>
      <c r="R812" s="2" t="inlineStr"/>
    </row>
    <row r="813" ht="15" customHeight="1">
      <c r="A813" t="inlineStr">
        <is>
          <t>A 39549-2018</t>
        </is>
      </c>
      <c r="B813" s="1" t="n">
        <v>43340</v>
      </c>
      <c r="C813" s="1" t="n">
        <v>45204</v>
      </c>
      <c r="D813" t="inlineStr">
        <is>
          <t>VÄSTERBOTTENS LÄN</t>
        </is>
      </c>
      <c r="E813" t="inlineStr">
        <is>
          <t>VILHELMINA</t>
        </is>
      </c>
      <c r="G813" t="n">
        <v>25.1</v>
      </c>
      <c r="H813" t="n">
        <v>0</v>
      </c>
      <c r="I813" t="n">
        <v>0</v>
      </c>
      <c r="J813" t="n">
        <v>0</v>
      </c>
      <c r="K813" t="n">
        <v>0</v>
      </c>
      <c r="L813" t="n">
        <v>0</v>
      </c>
      <c r="M813" t="n">
        <v>0</v>
      </c>
      <c r="N813" t="n">
        <v>0</v>
      </c>
      <c r="O813" t="n">
        <v>0</v>
      </c>
      <c r="P813" t="n">
        <v>0</v>
      </c>
      <c r="Q813" t="n">
        <v>0</v>
      </c>
      <c r="R813" s="2" t="inlineStr"/>
    </row>
    <row r="814" ht="15" customHeight="1">
      <c r="A814" t="inlineStr">
        <is>
          <t>A 38745-2018</t>
        </is>
      </c>
      <c r="B814" s="1" t="n">
        <v>43340</v>
      </c>
      <c r="C814" s="1" t="n">
        <v>45204</v>
      </c>
      <c r="D814" t="inlineStr">
        <is>
          <t>VÄSTERBOTTENS LÄN</t>
        </is>
      </c>
      <c r="E814" t="inlineStr">
        <is>
          <t>SORSELE</t>
        </is>
      </c>
      <c r="F814" t="inlineStr">
        <is>
          <t>Sveaskog</t>
        </is>
      </c>
      <c r="G814" t="n">
        <v>5.9</v>
      </c>
      <c r="H814" t="n">
        <v>0</v>
      </c>
      <c r="I814" t="n">
        <v>0</v>
      </c>
      <c r="J814" t="n">
        <v>0</v>
      </c>
      <c r="K814" t="n">
        <v>0</v>
      </c>
      <c r="L814" t="n">
        <v>0</v>
      </c>
      <c r="M814" t="n">
        <v>0</v>
      </c>
      <c r="N814" t="n">
        <v>0</v>
      </c>
      <c r="O814" t="n">
        <v>0</v>
      </c>
      <c r="P814" t="n">
        <v>0</v>
      </c>
      <c r="Q814" t="n">
        <v>0</v>
      </c>
      <c r="R814" s="2" t="inlineStr"/>
    </row>
    <row r="815" ht="15" customHeight="1">
      <c r="A815" t="inlineStr">
        <is>
          <t>A 39514-2018</t>
        </is>
      </c>
      <c r="B815" s="1" t="n">
        <v>43340</v>
      </c>
      <c r="C815" s="1" t="n">
        <v>45204</v>
      </c>
      <c r="D815" t="inlineStr">
        <is>
          <t>VÄSTERBOTTENS LÄN</t>
        </is>
      </c>
      <c r="E815" t="inlineStr">
        <is>
          <t>LYCKSELE</t>
        </is>
      </c>
      <c r="G815" t="n">
        <v>3.2</v>
      </c>
      <c r="H815" t="n">
        <v>0</v>
      </c>
      <c r="I815" t="n">
        <v>0</v>
      </c>
      <c r="J815" t="n">
        <v>0</v>
      </c>
      <c r="K815" t="n">
        <v>0</v>
      </c>
      <c r="L815" t="n">
        <v>0</v>
      </c>
      <c r="M815" t="n">
        <v>0</v>
      </c>
      <c r="N815" t="n">
        <v>0</v>
      </c>
      <c r="O815" t="n">
        <v>0</v>
      </c>
      <c r="P815" t="n">
        <v>0</v>
      </c>
      <c r="Q815" t="n">
        <v>0</v>
      </c>
      <c r="R815" s="2" t="inlineStr"/>
    </row>
    <row r="816" ht="15" customHeight="1">
      <c r="A816" t="inlineStr">
        <is>
          <t>A 39462-2018</t>
        </is>
      </c>
      <c r="B816" s="1" t="n">
        <v>43341</v>
      </c>
      <c r="C816" s="1" t="n">
        <v>45204</v>
      </c>
      <c r="D816" t="inlineStr">
        <is>
          <t>VÄSTERBOTTENS LÄN</t>
        </is>
      </c>
      <c r="E816" t="inlineStr">
        <is>
          <t>STORUMAN</t>
        </is>
      </c>
      <c r="G816" t="n">
        <v>3.8</v>
      </c>
      <c r="H816" t="n">
        <v>0</v>
      </c>
      <c r="I816" t="n">
        <v>0</v>
      </c>
      <c r="J816" t="n">
        <v>0</v>
      </c>
      <c r="K816" t="n">
        <v>0</v>
      </c>
      <c r="L816" t="n">
        <v>0</v>
      </c>
      <c r="M816" t="n">
        <v>0</v>
      </c>
      <c r="N816" t="n">
        <v>0</v>
      </c>
      <c r="O816" t="n">
        <v>0</v>
      </c>
      <c r="P816" t="n">
        <v>0</v>
      </c>
      <c r="Q816" t="n">
        <v>0</v>
      </c>
      <c r="R816" s="2" t="inlineStr"/>
    </row>
    <row r="817" ht="15" customHeight="1">
      <c r="A817" t="inlineStr">
        <is>
          <t>A 40466-2018</t>
        </is>
      </c>
      <c r="B817" s="1" t="n">
        <v>43342</v>
      </c>
      <c r="C817" s="1" t="n">
        <v>45204</v>
      </c>
      <c r="D817" t="inlineStr">
        <is>
          <t>VÄSTERBOTTENS LÄN</t>
        </is>
      </c>
      <c r="E817" t="inlineStr">
        <is>
          <t>SORSELE</t>
        </is>
      </c>
      <c r="G817" t="n">
        <v>20.4</v>
      </c>
      <c r="H817" t="n">
        <v>0</v>
      </c>
      <c r="I817" t="n">
        <v>0</v>
      </c>
      <c r="J817" t="n">
        <v>0</v>
      </c>
      <c r="K817" t="n">
        <v>0</v>
      </c>
      <c r="L817" t="n">
        <v>0</v>
      </c>
      <c r="M817" t="n">
        <v>0</v>
      </c>
      <c r="N817" t="n">
        <v>0</v>
      </c>
      <c r="O817" t="n">
        <v>0</v>
      </c>
      <c r="P817" t="n">
        <v>0</v>
      </c>
      <c r="Q817" t="n">
        <v>0</v>
      </c>
      <c r="R817" s="2" t="inlineStr"/>
    </row>
    <row r="818" ht="15" customHeight="1">
      <c r="A818" t="inlineStr">
        <is>
          <t>A 39924-2018</t>
        </is>
      </c>
      <c r="B818" s="1" t="n">
        <v>43342</v>
      </c>
      <c r="C818" s="1" t="n">
        <v>45204</v>
      </c>
      <c r="D818" t="inlineStr">
        <is>
          <t>VÄSTERBOTTENS LÄN</t>
        </is>
      </c>
      <c r="E818" t="inlineStr">
        <is>
          <t>SKELLEFTEÅ</t>
        </is>
      </c>
      <c r="G818" t="n">
        <v>3.5</v>
      </c>
      <c r="H818" t="n">
        <v>0</v>
      </c>
      <c r="I818" t="n">
        <v>0</v>
      </c>
      <c r="J818" t="n">
        <v>0</v>
      </c>
      <c r="K818" t="n">
        <v>0</v>
      </c>
      <c r="L818" t="n">
        <v>0</v>
      </c>
      <c r="M818" t="n">
        <v>0</v>
      </c>
      <c r="N818" t="n">
        <v>0</v>
      </c>
      <c r="O818" t="n">
        <v>0</v>
      </c>
      <c r="P818" t="n">
        <v>0</v>
      </c>
      <c r="Q818" t="n">
        <v>0</v>
      </c>
      <c r="R818" s="2" t="inlineStr"/>
    </row>
    <row r="819" ht="15" customHeight="1">
      <c r="A819" t="inlineStr">
        <is>
          <t>A 40460-2018</t>
        </is>
      </c>
      <c r="B819" s="1" t="n">
        <v>43342</v>
      </c>
      <c r="C819" s="1" t="n">
        <v>45204</v>
      </c>
      <c r="D819" t="inlineStr">
        <is>
          <t>VÄSTERBOTTENS LÄN</t>
        </is>
      </c>
      <c r="E819" t="inlineStr">
        <is>
          <t>SORSELE</t>
        </is>
      </c>
      <c r="G819" t="n">
        <v>24</v>
      </c>
      <c r="H819" t="n">
        <v>0</v>
      </c>
      <c r="I819" t="n">
        <v>0</v>
      </c>
      <c r="J819" t="n">
        <v>0</v>
      </c>
      <c r="K819" t="n">
        <v>0</v>
      </c>
      <c r="L819" t="n">
        <v>0</v>
      </c>
      <c r="M819" t="n">
        <v>0</v>
      </c>
      <c r="N819" t="n">
        <v>0</v>
      </c>
      <c r="O819" t="n">
        <v>0</v>
      </c>
      <c r="P819" t="n">
        <v>0</v>
      </c>
      <c r="Q819" t="n">
        <v>0</v>
      </c>
      <c r="R819" s="2" t="inlineStr"/>
    </row>
    <row r="820" ht="15" customHeight="1">
      <c r="A820" t="inlineStr">
        <is>
          <t>A 40641-2018</t>
        </is>
      </c>
      <c r="B820" s="1" t="n">
        <v>43343</v>
      </c>
      <c r="C820" s="1" t="n">
        <v>45204</v>
      </c>
      <c r="D820" t="inlineStr">
        <is>
          <t>VÄSTERBOTTENS LÄN</t>
        </is>
      </c>
      <c r="E820" t="inlineStr">
        <is>
          <t>NORDMALING</t>
        </is>
      </c>
      <c r="G820" t="n">
        <v>1.2</v>
      </c>
      <c r="H820" t="n">
        <v>0</v>
      </c>
      <c r="I820" t="n">
        <v>0</v>
      </c>
      <c r="J820" t="n">
        <v>0</v>
      </c>
      <c r="K820" t="n">
        <v>0</v>
      </c>
      <c r="L820" t="n">
        <v>0</v>
      </c>
      <c r="M820" t="n">
        <v>0</v>
      </c>
      <c r="N820" t="n">
        <v>0</v>
      </c>
      <c r="O820" t="n">
        <v>0</v>
      </c>
      <c r="P820" t="n">
        <v>0</v>
      </c>
      <c r="Q820" t="n">
        <v>0</v>
      </c>
      <c r="R820" s="2" t="inlineStr"/>
    </row>
    <row r="821" ht="15" customHeight="1">
      <c r="A821" t="inlineStr">
        <is>
          <t>A 40629-2018</t>
        </is>
      </c>
      <c r="B821" s="1" t="n">
        <v>43343</v>
      </c>
      <c r="C821" s="1" t="n">
        <v>45204</v>
      </c>
      <c r="D821" t="inlineStr">
        <is>
          <t>VÄSTERBOTTENS LÄN</t>
        </is>
      </c>
      <c r="E821" t="inlineStr">
        <is>
          <t>LYCKSELE</t>
        </is>
      </c>
      <c r="G821" t="n">
        <v>2</v>
      </c>
      <c r="H821" t="n">
        <v>0</v>
      </c>
      <c r="I821" t="n">
        <v>0</v>
      </c>
      <c r="J821" t="n">
        <v>0</v>
      </c>
      <c r="K821" t="n">
        <v>0</v>
      </c>
      <c r="L821" t="n">
        <v>0</v>
      </c>
      <c r="M821" t="n">
        <v>0</v>
      </c>
      <c r="N821" t="n">
        <v>0</v>
      </c>
      <c r="O821" t="n">
        <v>0</v>
      </c>
      <c r="P821" t="n">
        <v>0</v>
      </c>
      <c r="Q821" t="n">
        <v>0</v>
      </c>
      <c r="R821" s="2" t="inlineStr"/>
    </row>
    <row r="822" ht="15" customHeight="1">
      <c r="A822" t="inlineStr">
        <is>
          <t>A 41190-2018</t>
        </is>
      </c>
      <c r="B822" s="1" t="n">
        <v>43346</v>
      </c>
      <c r="C822" s="1" t="n">
        <v>45204</v>
      </c>
      <c r="D822" t="inlineStr">
        <is>
          <t>VÄSTERBOTTENS LÄN</t>
        </is>
      </c>
      <c r="E822" t="inlineStr">
        <is>
          <t>STORUMAN</t>
        </is>
      </c>
      <c r="G822" t="n">
        <v>7</v>
      </c>
      <c r="H822" t="n">
        <v>0</v>
      </c>
      <c r="I822" t="n">
        <v>0</v>
      </c>
      <c r="J822" t="n">
        <v>0</v>
      </c>
      <c r="K822" t="n">
        <v>0</v>
      </c>
      <c r="L822" t="n">
        <v>0</v>
      </c>
      <c r="M822" t="n">
        <v>0</v>
      </c>
      <c r="N822" t="n">
        <v>0</v>
      </c>
      <c r="O822" t="n">
        <v>0</v>
      </c>
      <c r="P822" t="n">
        <v>0</v>
      </c>
      <c r="Q822" t="n">
        <v>0</v>
      </c>
      <c r="R822" s="2" t="inlineStr"/>
    </row>
    <row r="823" ht="15" customHeight="1">
      <c r="A823" t="inlineStr">
        <is>
          <t>A 40844-2018</t>
        </is>
      </c>
      <c r="B823" s="1" t="n">
        <v>43346</v>
      </c>
      <c r="C823" s="1" t="n">
        <v>45204</v>
      </c>
      <c r="D823" t="inlineStr">
        <is>
          <t>VÄSTERBOTTENS LÄN</t>
        </is>
      </c>
      <c r="E823" t="inlineStr">
        <is>
          <t>MALÅ</t>
        </is>
      </c>
      <c r="G823" t="n">
        <v>2.1</v>
      </c>
      <c r="H823" t="n">
        <v>0</v>
      </c>
      <c r="I823" t="n">
        <v>0</v>
      </c>
      <c r="J823" t="n">
        <v>0</v>
      </c>
      <c r="K823" t="n">
        <v>0</v>
      </c>
      <c r="L823" t="n">
        <v>0</v>
      </c>
      <c r="M823" t="n">
        <v>0</v>
      </c>
      <c r="N823" t="n">
        <v>0</v>
      </c>
      <c r="O823" t="n">
        <v>0</v>
      </c>
      <c r="P823" t="n">
        <v>0</v>
      </c>
      <c r="Q823" t="n">
        <v>0</v>
      </c>
      <c r="R823" s="2" t="inlineStr"/>
    </row>
    <row r="824" ht="15" customHeight="1">
      <c r="A824" t="inlineStr">
        <is>
          <t>A 41203-2018</t>
        </is>
      </c>
      <c r="B824" s="1" t="n">
        <v>43346</v>
      </c>
      <c r="C824" s="1" t="n">
        <v>45204</v>
      </c>
      <c r="D824" t="inlineStr">
        <is>
          <t>VÄSTERBOTTENS LÄN</t>
        </is>
      </c>
      <c r="E824" t="inlineStr">
        <is>
          <t>UMEÅ</t>
        </is>
      </c>
      <c r="G824" t="n">
        <v>4.3</v>
      </c>
      <c r="H824" t="n">
        <v>0</v>
      </c>
      <c r="I824" t="n">
        <v>0</v>
      </c>
      <c r="J824" t="n">
        <v>0</v>
      </c>
      <c r="K824" t="n">
        <v>0</v>
      </c>
      <c r="L824" t="n">
        <v>0</v>
      </c>
      <c r="M824" t="n">
        <v>0</v>
      </c>
      <c r="N824" t="n">
        <v>0</v>
      </c>
      <c r="O824" t="n">
        <v>0</v>
      </c>
      <c r="P824" t="n">
        <v>0</v>
      </c>
      <c r="Q824" t="n">
        <v>0</v>
      </c>
      <c r="R824" s="2" t="inlineStr"/>
    </row>
    <row r="825" ht="15" customHeight="1">
      <c r="A825" t="inlineStr">
        <is>
          <t>A 40854-2018</t>
        </is>
      </c>
      <c r="B825" s="1" t="n">
        <v>43347</v>
      </c>
      <c r="C825" s="1" t="n">
        <v>45204</v>
      </c>
      <c r="D825" t="inlineStr">
        <is>
          <t>VÄSTERBOTTENS LÄN</t>
        </is>
      </c>
      <c r="E825" t="inlineStr">
        <is>
          <t>VILHELMINA</t>
        </is>
      </c>
      <c r="F825" t="inlineStr">
        <is>
          <t>Sveaskog</t>
        </is>
      </c>
      <c r="G825" t="n">
        <v>3.5</v>
      </c>
      <c r="H825" t="n">
        <v>0</v>
      </c>
      <c r="I825" t="n">
        <v>0</v>
      </c>
      <c r="J825" t="n">
        <v>0</v>
      </c>
      <c r="K825" t="n">
        <v>0</v>
      </c>
      <c r="L825" t="n">
        <v>0</v>
      </c>
      <c r="M825" t="n">
        <v>0</v>
      </c>
      <c r="N825" t="n">
        <v>0</v>
      </c>
      <c r="O825" t="n">
        <v>0</v>
      </c>
      <c r="P825" t="n">
        <v>0</v>
      </c>
      <c r="Q825" t="n">
        <v>0</v>
      </c>
      <c r="R825" s="2" t="inlineStr"/>
    </row>
    <row r="826" ht="15" customHeight="1">
      <c r="A826" t="inlineStr">
        <is>
          <t>A 41780-2018</t>
        </is>
      </c>
      <c r="B826" s="1" t="n">
        <v>43348</v>
      </c>
      <c r="C826" s="1" t="n">
        <v>45204</v>
      </c>
      <c r="D826" t="inlineStr">
        <is>
          <t>VÄSTERBOTTENS LÄN</t>
        </is>
      </c>
      <c r="E826" t="inlineStr">
        <is>
          <t>ROBERTSFORS</t>
        </is>
      </c>
      <c r="G826" t="n">
        <v>1.1</v>
      </c>
      <c r="H826" t="n">
        <v>0</v>
      </c>
      <c r="I826" t="n">
        <v>0</v>
      </c>
      <c r="J826" t="n">
        <v>0</v>
      </c>
      <c r="K826" t="n">
        <v>0</v>
      </c>
      <c r="L826" t="n">
        <v>0</v>
      </c>
      <c r="M826" t="n">
        <v>0</v>
      </c>
      <c r="N826" t="n">
        <v>0</v>
      </c>
      <c r="O826" t="n">
        <v>0</v>
      </c>
      <c r="P826" t="n">
        <v>0</v>
      </c>
      <c r="Q826" t="n">
        <v>0</v>
      </c>
      <c r="R826" s="2" t="inlineStr"/>
    </row>
    <row r="827" ht="15" customHeight="1">
      <c r="A827" t="inlineStr">
        <is>
          <t>A 41648-2018</t>
        </is>
      </c>
      <c r="B827" s="1" t="n">
        <v>43349</v>
      </c>
      <c r="C827" s="1" t="n">
        <v>45204</v>
      </c>
      <c r="D827" t="inlineStr">
        <is>
          <t>VÄSTERBOTTENS LÄN</t>
        </is>
      </c>
      <c r="E827" t="inlineStr">
        <is>
          <t>SORSELE</t>
        </is>
      </c>
      <c r="G827" t="n">
        <v>5.5</v>
      </c>
      <c r="H827" t="n">
        <v>0</v>
      </c>
      <c r="I827" t="n">
        <v>0</v>
      </c>
      <c r="J827" t="n">
        <v>0</v>
      </c>
      <c r="K827" t="n">
        <v>0</v>
      </c>
      <c r="L827" t="n">
        <v>0</v>
      </c>
      <c r="M827" t="n">
        <v>0</v>
      </c>
      <c r="N827" t="n">
        <v>0</v>
      </c>
      <c r="O827" t="n">
        <v>0</v>
      </c>
      <c r="P827" t="n">
        <v>0</v>
      </c>
      <c r="Q827" t="n">
        <v>0</v>
      </c>
      <c r="R827" s="2" t="inlineStr"/>
    </row>
    <row r="828" ht="15" customHeight="1">
      <c r="A828" t="inlineStr">
        <is>
          <t>A 42519-2018</t>
        </is>
      </c>
      <c r="B828" s="1" t="n">
        <v>43349</v>
      </c>
      <c r="C828" s="1" t="n">
        <v>45204</v>
      </c>
      <c r="D828" t="inlineStr">
        <is>
          <t>VÄSTERBOTTENS LÄN</t>
        </is>
      </c>
      <c r="E828" t="inlineStr">
        <is>
          <t>LYCKSELE</t>
        </is>
      </c>
      <c r="G828" t="n">
        <v>3.4</v>
      </c>
      <c r="H828" t="n">
        <v>0</v>
      </c>
      <c r="I828" t="n">
        <v>0</v>
      </c>
      <c r="J828" t="n">
        <v>0</v>
      </c>
      <c r="K828" t="n">
        <v>0</v>
      </c>
      <c r="L828" t="n">
        <v>0</v>
      </c>
      <c r="M828" t="n">
        <v>0</v>
      </c>
      <c r="N828" t="n">
        <v>0</v>
      </c>
      <c r="O828" t="n">
        <v>0</v>
      </c>
      <c r="P828" t="n">
        <v>0</v>
      </c>
      <c r="Q828" t="n">
        <v>0</v>
      </c>
      <c r="R828" s="2" t="inlineStr"/>
    </row>
    <row r="829" ht="15" customHeight="1">
      <c r="A829" t="inlineStr">
        <is>
          <t>A 41460-2018</t>
        </is>
      </c>
      <c r="B829" s="1" t="n">
        <v>43349</v>
      </c>
      <c r="C829" s="1" t="n">
        <v>45204</v>
      </c>
      <c r="D829" t="inlineStr">
        <is>
          <t>VÄSTERBOTTENS LÄN</t>
        </is>
      </c>
      <c r="E829" t="inlineStr">
        <is>
          <t>VÄNNÄS</t>
        </is>
      </c>
      <c r="G829" t="n">
        <v>3.9</v>
      </c>
      <c r="H829" t="n">
        <v>0</v>
      </c>
      <c r="I829" t="n">
        <v>0</v>
      </c>
      <c r="J829" t="n">
        <v>0</v>
      </c>
      <c r="K829" t="n">
        <v>0</v>
      </c>
      <c r="L829" t="n">
        <v>0</v>
      </c>
      <c r="M829" t="n">
        <v>0</v>
      </c>
      <c r="N829" t="n">
        <v>0</v>
      </c>
      <c r="O829" t="n">
        <v>0</v>
      </c>
      <c r="P829" t="n">
        <v>0</v>
      </c>
      <c r="Q829" t="n">
        <v>0</v>
      </c>
      <c r="R829" s="2" t="inlineStr"/>
    </row>
    <row r="830" ht="15" customHeight="1">
      <c r="A830" t="inlineStr">
        <is>
          <t>A 42535-2018</t>
        </is>
      </c>
      <c r="B830" s="1" t="n">
        <v>43349</v>
      </c>
      <c r="C830" s="1" t="n">
        <v>45204</v>
      </c>
      <c r="D830" t="inlineStr">
        <is>
          <t>VÄSTERBOTTENS LÄN</t>
        </is>
      </c>
      <c r="E830" t="inlineStr">
        <is>
          <t>SKELLEFTEÅ</t>
        </is>
      </c>
      <c r="G830" t="n">
        <v>5.1</v>
      </c>
      <c r="H830" t="n">
        <v>0</v>
      </c>
      <c r="I830" t="n">
        <v>0</v>
      </c>
      <c r="J830" t="n">
        <v>0</v>
      </c>
      <c r="K830" t="n">
        <v>0</v>
      </c>
      <c r="L830" t="n">
        <v>0</v>
      </c>
      <c r="M830" t="n">
        <v>0</v>
      </c>
      <c r="N830" t="n">
        <v>0</v>
      </c>
      <c r="O830" t="n">
        <v>0</v>
      </c>
      <c r="P830" t="n">
        <v>0</v>
      </c>
      <c r="Q830" t="n">
        <v>0</v>
      </c>
      <c r="R830" s="2" t="inlineStr"/>
    </row>
    <row r="831" ht="15" customHeight="1">
      <c r="A831" t="inlineStr">
        <is>
          <t>A 42366-2018</t>
        </is>
      </c>
      <c r="B831" s="1" t="n">
        <v>43349</v>
      </c>
      <c r="C831" s="1" t="n">
        <v>45204</v>
      </c>
      <c r="D831" t="inlineStr">
        <is>
          <t>VÄSTERBOTTENS LÄN</t>
        </is>
      </c>
      <c r="E831" t="inlineStr">
        <is>
          <t>LYCKSELE</t>
        </is>
      </c>
      <c r="G831" t="n">
        <v>10</v>
      </c>
      <c r="H831" t="n">
        <v>0</v>
      </c>
      <c r="I831" t="n">
        <v>0</v>
      </c>
      <c r="J831" t="n">
        <v>0</v>
      </c>
      <c r="K831" t="n">
        <v>0</v>
      </c>
      <c r="L831" t="n">
        <v>0</v>
      </c>
      <c r="M831" t="n">
        <v>0</v>
      </c>
      <c r="N831" t="n">
        <v>0</v>
      </c>
      <c r="O831" t="n">
        <v>0</v>
      </c>
      <c r="P831" t="n">
        <v>0</v>
      </c>
      <c r="Q831" t="n">
        <v>0</v>
      </c>
      <c r="R831" s="2" t="inlineStr"/>
    </row>
    <row r="832" ht="15" customHeight="1">
      <c r="A832" t="inlineStr">
        <is>
          <t>A 42527-2018</t>
        </is>
      </c>
      <c r="B832" s="1" t="n">
        <v>43349</v>
      </c>
      <c r="C832" s="1" t="n">
        <v>45204</v>
      </c>
      <c r="D832" t="inlineStr">
        <is>
          <t>VÄSTERBOTTENS LÄN</t>
        </is>
      </c>
      <c r="E832" t="inlineStr">
        <is>
          <t>SKELLEFTEÅ</t>
        </is>
      </c>
      <c r="G832" t="n">
        <v>0.5</v>
      </c>
      <c r="H832" t="n">
        <v>0</v>
      </c>
      <c r="I832" t="n">
        <v>0</v>
      </c>
      <c r="J832" t="n">
        <v>0</v>
      </c>
      <c r="K832" t="n">
        <v>0</v>
      </c>
      <c r="L832" t="n">
        <v>0</v>
      </c>
      <c r="M832" t="n">
        <v>0</v>
      </c>
      <c r="N832" t="n">
        <v>0</v>
      </c>
      <c r="O832" t="n">
        <v>0</v>
      </c>
      <c r="P832" t="n">
        <v>0</v>
      </c>
      <c r="Q832" t="n">
        <v>0</v>
      </c>
      <c r="R832" s="2" t="inlineStr"/>
    </row>
    <row r="833" ht="15" customHeight="1">
      <c r="A833" t="inlineStr">
        <is>
          <t>A 42583-2018</t>
        </is>
      </c>
      <c r="B833" s="1" t="n">
        <v>43350</v>
      </c>
      <c r="C833" s="1" t="n">
        <v>45204</v>
      </c>
      <c r="D833" t="inlineStr">
        <is>
          <t>VÄSTERBOTTENS LÄN</t>
        </is>
      </c>
      <c r="E833" t="inlineStr">
        <is>
          <t>VILHELMINA</t>
        </is>
      </c>
      <c r="G833" t="n">
        <v>3.5</v>
      </c>
      <c r="H833" t="n">
        <v>0</v>
      </c>
      <c r="I833" t="n">
        <v>0</v>
      </c>
      <c r="J833" t="n">
        <v>0</v>
      </c>
      <c r="K833" t="n">
        <v>0</v>
      </c>
      <c r="L833" t="n">
        <v>0</v>
      </c>
      <c r="M833" t="n">
        <v>0</v>
      </c>
      <c r="N833" t="n">
        <v>0</v>
      </c>
      <c r="O833" t="n">
        <v>0</v>
      </c>
      <c r="P833" t="n">
        <v>0</v>
      </c>
      <c r="Q833" t="n">
        <v>0</v>
      </c>
      <c r="R833" s="2" t="inlineStr"/>
    </row>
    <row r="834" ht="15" customHeight="1">
      <c r="A834" t="inlineStr">
        <is>
          <t>A 42534-2018</t>
        </is>
      </c>
      <c r="B834" s="1" t="n">
        <v>43350</v>
      </c>
      <c r="C834" s="1" t="n">
        <v>45204</v>
      </c>
      <c r="D834" t="inlineStr">
        <is>
          <t>VÄSTERBOTTENS LÄN</t>
        </is>
      </c>
      <c r="E834" t="inlineStr">
        <is>
          <t>UMEÅ</t>
        </is>
      </c>
      <c r="G834" t="n">
        <v>1.5</v>
      </c>
      <c r="H834" t="n">
        <v>0</v>
      </c>
      <c r="I834" t="n">
        <v>0</v>
      </c>
      <c r="J834" t="n">
        <v>0</v>
      </c>
      <c r="K834" t="n">
        <v>0</v>
      </c>
      <c r="L834" t="n">
        <v>0</v>
      </c>
      <c r="M834" t="n">
        <v>0</v>
      </c>
      <c r="N834" t="n">
        <v>0</v>
      </c>
      <c r="O834" t="n">
        <v>0</v>
      </c>
      <c r="P834" t="n">
        <v>0</v>
      </c>
      <c r="Q834" t="n">
        <v>0</v>
      </c>
      <c r="R834" s="2" t="inlineStr"/>
    </row>
    <row r="835" ht="15" customHeight="1">
      <c r="A835" t="inlineStr">
        <is>
          <t>A 43334-2018</t>
        </is>
      </c>
      <c r="B835" s="1" t="n">
        <v>43353</v>
      </c>
      <c r="C835" s="1" t="n">
        <v>45204</v>
      </c>
      <c r="D835" t="inlineStr">
        <is>
          <t>VÄSTERBOTTENS LÄN</t>
        </is>
      </c>
      <c r="E835" t="inlineStr">
        <is>
          <t>SKELLEFTEÅ</t>
        </is>
      </c>
      <c r="G835" t="n">
        <v>1.8</v>
      </c>
      <c r="H835" t="n">
        <v>0</v>
      </c>
      <c r="I835" t="n">
        <v>0</v>
      </c>
      <c r="J835" t="n">
        <v>0</v>
      </c>
      <c r="K835" t="n">
        <v>0</v>
      </c>
      <c r="L835" t="n">
        <v>0</v>
      </c>
      <c r="M835" t="n">
        <v>0</v>
      </c>
      <c r="N835" t="n">
        <v>0</v>
      </c>
      <c r="O835" t="n">
        <v>0</v>
      </c>
      <c r="P835" t="n">
        <v>0</v>
      </c>
      <c r="Q835" t="n">
        <v>0</v>
      </c>
      <c r="R835" s="2" t="inlineStr"/>
    </row>
    <row r="836" ht="15" customHeight="1">
      <c r="A836" t="inlineStr">
        <is>
          <t>A 42439-2018</t>
        </is>
      </c>
      <c r="B836" s="1" t="n">
        <v>43353</v>
      </c>
      <c r="C836" s="1" t="n">
        <v>45204</v>
      </c>
      <c r="D836" t="inlineStr">
        <is>
          <t>VÄSTERBOTTENS LÄN</t>
        </is>
      </c>
      <c r="E836" t="inlineStr">
        <is>
          <t>MALÅ</t>
        </is>
      </c>
      <c r="F836" t="inlineStr">
        <is>
          <t>Sveaskog</t>
        </is>
      </c>
      <c r="G836" t="n">
        <v>4.6</v>
      </c>
      <c r="H836" t="n">
        <v>0</v>
      </c>
      <c r="I836" t="n">
        <v>0</v>
      </c>
      <c r="J836" t="n">
        <v>0</v>
      </c>
      <c r="K836" t="n">
        <v>0</v>
      </c>
      <c r="L836" t="n">
        <v>0</v>
      </c>
      <c r="M836" t="n">
        <v>0</v>
      </c>
      <c r="N836" t="n">
        <v>0</v>
      </c>
      <c r="O836" t="n">
        <v>0</v>
      </c>
      <c r="P836" t="n">
        <v>0</v>
      </c>
      <c r="Q836" t="n">
        <v>0</v>
      </c>
      <c r="R836" s="2" t="inlineStr"/>
    </row>
    <row r="837" ht="15" customHeight="1">
      <c r="A837" t="inlineStr">
        <is>
          <t>A 42471-2018</t>
        </is>
      </c>
      <c r="B837" s="1" t="n">
        <v>43353</v>
      </c>
      <c r="C837" s="1" t="n">
        <v>45204</v>
      </c>
      <c r="D837" t="inlineStr">
        <is>
          <t>VÄSTERBOTTENS LÄN</t>
        </is>
      </c>
      <c r="E837" t="inlineStr">
        <is>
          <t>UMEÅ</t>
        </is>
      </c>
      <c r="F837" t="inlineStr">
        <is>
          <t>Holmen skog AB</t>
        </is>
      </c>
      <c r="G837" t="n">
        <v>4.6</v>
      </c>
      <c r="H837" t="n">
        <v>0</v>
      </c>
      <c r="I837" t="n">
        <v>0</v>
      </c>
      <c r="J837" t="n">
        <v>0</v>
      </c>
      <c r="K837" t="n">
        <v>0</v>
      </c>
      <c r="L837" t="n">
        <v>0</v>
      </c>
      <c r="M837" t="n">
        <v>0</v>
      </c>
      <c r="N837" t="n">
        <v>0</v>
      </c>
      <c r="O837" t="n">
        <v>0</v>
      </c>
      <c r="P837" t="n">
        <v>0</v>
      </c>
      <c r="Q837" t="n">
        <v>0</v>
      </c>
      <c r="R837" s="2" t="inlineStr"/>
    </row>
    <row r="838" ht="15" customHeight="1">
      <c r="A838" t="inlineStr">
        <is>
          <t>A 43274-2018</t>
        </is>
      </c>
      <c r="B838" s="1" t="n">
        <v>43353</v>
      </c>
      <c r="C838" s="1" t="n">
        <v>45204</v>
      </c>
      <c r="D838" t="inlineStr">
        <is>
          <t>VÄSTERBOTTENS LÄN</t>
        </is>
      </c>
      <c r="E838" t="inlineStr">
        <is>
          <t>ROBERTSFORS</t>
        </is>
      </c>
      <c r="G838" t="n">
        <v>0.6</v>
      </c>
      <c r="H838" t="n">
        <v>0</v>
      </c>
      <c r="I838" t="n">
        <v>0</v>
      </c>
      <c r="J838" t="n">
        <v>0</v>
      </c>
      <c r="K838" t="n">
        <v>0</v>
      </c>
      <c r="L838" t="n">
        <v>0</v>
      </c>
      <c r="M838" t="n">
        <v>0</v>
      </c>
      <c r="N838" t="n">
        <v>0</v>
      </c>
      <c r="O838" t="n">
        <v>0</v>
      </c>
      <c r="P838" t="n">
        <v>0</v>
      </c>
      <c r="Q838" t="n">
        <v>0</v>
      </c>
      <c r="R838" s="2" t="inlineStr"/>
    </row>
    <row r="839" ht="15" customHeight="1">
      <c r="A839" t="inlineStr">
        <is>
          <t>A 42998-2018</t>
        </is>
      </c>
      <c r="B839" s="1" t="n">
        <v>43353</v>
      </c>
      <c r="C839" s="1" t="n">
        <v>45204</v>
      </c>
      <c r="D839" t="inlineStr">
        <is>
          <t>VÄSTERBOTTENS LÄN</t>
        </is>
      </c>
      <c r="E839" t="inlineStr">
        <is>
          <t>UMEÅ</t>
        </is>
      </c>
      <c r="G839" t="n">
        <v>0.8</v>
      </c>
      <c r="H839" t="n">
        <v>0</v>
      </c>
      <c r="I839" t="n">
        <v>0</v>
      </c>
      <c r="J839" t="n">
        <v>0</v>
      </c>
      <c r="K839" t="n">
        <v>0</v>
      </c>
      <c r="L839" t="n">
        <v>0</v>
      </c>
      <c r="M839" t="n">
        <v>0</v>
      </c>
      <c r="N839" t="n">
        <v>0</v>
      </c>
      <c r="O839" t="n">
        <v>0</v>
      </c>
      <c r="P839" t="n">
        <v>0</v>
      </c>
      <c r="Q839" t="n">
        <v>0</v>
      </c>
      <c r="R839" s="2" t="inlineStr"/>
    </row>
    <row r="840" ht="15" customHeight="1">
      <c r="A840" t="inlineStr">
        <is>
          <t>A 46700-2018</t>
        </is>
      </c>
      <c r="B840" s="1" t="n">
        <v>43354</v>
      </c>
      <c r="C840" s="1" t="n">
        <v>45204</v>
      </c>
      <c r="D840" t="inlineStr">
        <is>
          <t>VÄSTERBOTTENS LÄN</t>
        </is>
      </c>
      <c r="E840" t="inlineStr">
        <is>
          <t>VINDELN</t>
        </is>
      </c>
      <c r="G840" t="n">
        <v>0.8</v>
      </c>
      <c r="H840" t="n">
        <v>0</v>
      </c>
      <c r="I840" t="n">
        <v>0</v>
      </c>
      <c r="J840" t="n">
        <v>0</v>
      </c>
      <c r="K840" t="n">
        <v>0</v>
      </c>
      <c r="L840" t="n">
        <v>0</v>
      </c>
      <c r="M840" t="n">
        <v>0</v>
      </c>
      <c r="N840" t="n">
        <v>0</v>
      </c>
      <c r="O840" t="n">
        <v>0</v>
      </c>
      <c r="P840" t="n">
        <v>0</v>
      </c>
      <c r="Q840" t="n">
        <v>0</v>
      </c>
      <c r="R840" s="2" t="inlineStr"/>
    </row>
    <row r="841" ht="15" customHeight="1">
      <c r="A841" t="inlineStr">
        <is>
          <t>A 43435-2018</t>
        </is>
      </c>
      <c r="B841" s="1" t="n">
        <v>43354</v>
      </c>
      <c r="C841" s="1" t="n">
        <v>45204</v>
      </c>
      <c r="D841" t="inlineStr">
        <is>
          <t>VÄSTERBOTTENS LÄN</t>
        </is>
      </c>
      <c r="E841" t="inlineStr">
        <is>
          <t>MALÅ</t>
        </is>
      </c>
      <c r="G841" t="n">
        <v>10</v>
      </c>
      <c r="H841" t="n">
        <v>0</v>
      </c>
      <c r="I841" t="n">
        <v>0</v>
      </c>
      <c r="J841" t="n">
        <v>0</v>
      </c>
      <c r="K841" t="n">
        <v>0</v>
      </c>
      <c r="L841" t="n">
        <v>0</v>
      </c>
      <c r="M841" t="n">
        <v>0</v>
      </c>
      <c r="N841" t="n">
        <v>0</v>
      </c>
      <c r="O841" t="n">
        <v>0</v>
      </c>
      <c r="P841" t="n">
        <v>0</v>
      </c>
      <c r="Q841" t="n">
        <v>0</v>
      </c>
      <c r="R841" s="2" t="inlineStr"/>
    </row>
    <row r="842" ht="15" customHeight="1">
      <c r="A842" t="inlineStr">
        <is>
          <t>A 43482-2018</t>
        </is>
      </c>
      <c r="B842" s="1" t="n">
        <v>43354</v>
      </c>
      <c r="C842" s="1" t="n">
        <v>45204</v>
      </c>
      <c r="D842" t="inlineStr">
        <is>
          <t>VÄSTERBOTTENS LÄN</t>
        </is>
      </c>
      <c r="E842" t="inlineStr">
        <is>
          <t>VINDELN</t>
        </is>
      </c>
      <c r="G842" t="n">
        <v>6</v>
      </c>
      <c r="H842" t="n">
        <v>0</v>
      </c>
      <c r="I842" t="n">
        <v>0</v>
      </c>
      <c r="J842" t="n">
        <v>0</v>
      </c>
      <c r="K842" t="n">
        <v>0</v>
      </c>
      <c r="L842" t="n">
        <v>0</v>
      </c>
      <c r="M842" t="n">
        <v>0</v>
      </c>
      <c r="N842" t="n">
        <v>0</v>
      </c>
      <c r="O842" t="n">
        <v>0</v>
      </c>
      <c r="P842" t="n">
        <v>0</v>
      </c>
      <c r="Q842" t="n">
        <v>0</v>
      </c>
      <c r="R842" s="2" t="inlineStr"/>
    </row>
    <row r="843" ht="15" customHeight="1">
      <c r="A843" t="inlineStr">
        <is>
          <t>A 43396-2018</t>
        </is>
      </c>
      <c r="B843" s="1" t="n">
        <v>43354</v>
      </c>
      <c r="C843" s="1" t="n">
        <v>45204</v>
      </c>
      <c r="D843" t="inlineStr">
        <is>
          <t>VÄSTERBOTTENS LÄN</t>
        </is>
      </c>
      <c r="E843" t="inlineStr">
        <is>
          <t>UMEÅ</t>
        </is>
      </c>
      <c r="G843" t="n">
        <v>10.5</v>
      </c>
      <c r="H843" t="n">
        <v>0</v>
      </c>
      <c r="I843" t="n">
        <v>0</v>
      </c>
      <c r="J843" t="n">
        <v>0</v>
      </c>
      <c r="K843" t="n">
        <v>0</v>
      </c>
      <c r="L843" t="n">
        <v>0</v>
      </c>
      <c r="M843" t="n">
        <v>0</v>
      </c>
      <c r="N843" t="n">
        <v>0</v>
      </c>
      <c r="O843" t="n">
        <v>0</v>
      </c>
      <c r="P843" t="n">
        <v>0</v>
      </c>
      <c r="Q843" t="n">
        <v>0</v>
      </c>
      <c r="R843" s="2" t="inlineStr"/>
    </row>
    <row r="844" ht="15" customHeight="1">
      <c r="A844" t="inlineStr">
        <is>
          <t>A 44196-2018</t>
        </is>
      </c>
      <c r="B844" s="1" t="n">
        <v>43355</v>
      </c>
      <c r="C844" s="1" t="n">
        <v>45204</v>
      </c>
      <c r="D844" t="inlineStr">
        <is>
          <t>VÄSTERBOTTENS LÄN</t>
        </is>
      </c>
      <c r="E844" t="inlineStr">
        <is>
          <t>UMEÅ</t>
        </is>
      </c>
      <c r="G844" t="n">
        <v>1</v>
      </c>
      <c r="H844" t="n">
        <v>0</v>
      </c>
      <c r="I844" t="n">
        <v>0</v>
      </c>
      <c r="J844" t="n">
        <v>0</v>
      </c>
      <c r="K844" t="n">
        <v>0</v>
      </c>
      <c r="L844" t="n">
        <v>0</v>
      </c>
      <c r="M844" t="n">
        <v>0</v>
      </c>
      <c r="N844" t="n">
        <v>0</v>
      </c>
      <c r="O844" t="n">
        <v>0</v>
      </c>
      <c r="P844" t="n">
        <v>0</v>
      </c>
      <c r="Q844" t="n">
        <v>0</v>
      </c>
      <c r="R844" s="2" t="inlineStr"/>
    </row>
    <row r="845" ht="15" customHeight="1">
      <c r="A845" t="inlineStr">
        <is>
          <t>A 43421-2018</t>
        </is>
      </c>
      <c r="B845" s="1" t="n">
        <v>43356</v>
      </c>
      <c r="C845" s="1" t="n">
        <v>45204</v>
      </c>
      <c r="D845" t="inlineStr">
        <is>
          <t>VÄSTERBOTTENS LÄN</t>
        </is>
      </c>
      <c r="E845" t="inlineStr">
        <is>
          <t>LYCKSELE</t>
        </is>
      </c>
      <c r="F845" t="inlineStr">
        <is>
          <t>Holmen skog AB</t>
        </is>
      </c>
      <c r="G845" t="n">
        <v>2.9</v>
      </c>
      <c r="H845" t="n">
        <v>0</v>
      </c>
      <c r="I845" t="n">
        <v>0</v>
      </c>
      <c r="J845" t="n">
        <v>0</v>
      </c>
      <c r="K845" t="n">
        <v>0</v>
      </c>
      <c r="L845" t="n">
        <v>0</v>
      </c>
      <c r="M845" t="n">
        <v>0</v>
      </c>
      <c r="N845" t="n">
        <v>0</v>
      </c>
      <c r="O845" t="n">
        <v>0</v>
      </c>
      <c r="P845" t="n">
        <v>0</v>
      </c>
      <c r="Q845" t="n">
        <v>0</v>
      </c>
      <c r="R845" s="2" t="inlineStr"/>
    </row>
    <row r="846" ht="15" customHeight="1">
      <c r="A846" t="inlineStr">
        <is>
          <t>A 43397-2018</t>
        </is>
      </c>
      <c r="B846" s="1" t="n">
        <v>43356</v>
      </c>
      <c r="C846" s="1" t="n">
        <v>45204</v>
      </c>
      <c r="D846" t="inlineStr">
        <is>
          <t>VÄSTERBOTTENS LÄN</t>
        </is>
      </c>
      <c r="E846" t="inlineStr">
        <is>
          <t>LYCKSELE</t>
        </is>
      </c>
      <c r="F846" t="inlineStr">
        <is>
          <t>Holmen skog AB</t>
        </is>
      </c>
      <c r="G846" t="n">
        <v>3.3</v>
      </c>
      <c r="H846" t="n">
        <v>0</v>
      </c>
      <c r="I846" t="n">
        <v>0</v>
      </c>
      <c r="J846" t="n">
        <v>0</v>
      </c>
      <c r="K846" t="n">
        <v>0</v>
      </c>
      <c r="L846" t="n">
        <v>0</v>
      </c>
      <c r="M846" t="n">
        <v>0</v>
      </c>
      <c r="N846" t="n">
        <v>0</v>
      </c>
      <c r="O846" t="n">
        <v>0</v>
      </c>
      <c r="P846" t="n">
        <v>0</v>
      </c>
      <c r="Q846" t="n">
        <v>0</v>
      </c>
      <c r="R846" s="2" t="inlineStr"/>
    </row>
    <row r="847" ht="15" customHeight="1">
      <c r="A847" t="inlineStr">
        <is>
          <t>A 43408-2018</t>
        </is>
      </c>
      <c r="B847" s="1" t="n">
        <v>43356</v>
      </c>
      <c r="C847" s="1" t="n">
        <v>45204</v>
      </c>
      <c r="D847" t="inlineStr">
        <is>
          <t>VÄSTERBOTTENS LÄN</t>
        </is>
      </c>
      <c r="E847" t="inlineStr">
        <is>
          <t>SKELLEFTEÅ</t>
        </is>
      </c>
      <c r="G847" t="n">
        <v>0.7</v>
      </c>
      <c r="H847" t="n">
        <v>0</v>
      </c>
      <c r="I847" t="n">
        <v>0</v>
      </c>
      <c r="J847" t="n">
        <v>0</v>
      </c>
      <c r="K847" t="n">
        <v>0</v>
      </c>
      <c r="L847" t="n">
        <v>0</v>
      </c>
      <c r="M847" t="n">
        <v>0</v>
      </c>
      <c r="N847" t="n">
        <v>0</v>
      </c>
      <c r="O847" t="n">
        <v>0</v>
      </c>
      <c r="P847" t="n">
        <v>0</v>
      </c>
      <c r="Q847" t="n">
        <v>0</v>
      </c>
      <c r="R847" s="2" t="inlineStr"/>
    </row>
    <row r="848" ht="15" customHeight="1">
      <c r="A848" t="inlineStr">
        <is>
          <t>A 43867-2018</t>
        </is>
      </c>
      <c r="B848" s="1" t="n">
        <v>43357</v>
      </c>
      <c r="C848" s="1" t="n">
        <v>45204</v>
      </c>
      <c r="D848" t="inlineStr">
        <is>
          <t>VÄSTERBOTTENS LÄN</t>
        </is>
      </c>
      <c r="E848" t="inlineStr">
        <is>
          <t>SKELLEFTEÅ</t>
        </is>
      </c>
      <c r="G848" t="n">
        <v>7.3</v>
      </c>
      <c r="H848" t="n">
        <v>0</v>
      </c>
      <c r="I848" t="n">
        <v>0</v>
      </c>
      <c r="J848" t="n">
        <v>0</v>
      </c>
      <c r="K848" t="n">
        <v>0</v>
      </c>
      <c r="L848" t="n">
        <v>0</v>
      </c>
      <c r="M848" t="n">
        <v>0</v>
      </c>
      <c r="N848" t="n">
        <v>0</v>
      </c>
      <c r="O848" t="n">
        <v>0</v>
      </c>
      <c r="P848" t="n">
        <v>0</v>
      </c>
      <c r="Q848" t="n">
        <v>0</v>
      </c>
      <c r="R848" s="2" t="inlineStr"/>
    </row>
    <row r="849" ht="15" customHeight="1">
      <c r="A849" t="inlineStr">
        <is>
          <t>A 44602-2018</t>
        </is>
      </c>
      <c r="B849" s="1" t="n">
        <v>43357</v>
      </c>
      <c r="C849" s="1" t="n">
        <v>45204</v>
      </c>
      <c r="D849" t="inlineStr">
        <is>
          <t>VÄSTERBOTTENS LÄN</t>
        </is>
      </c>
      <c r="E849" t="inlineStr">
        <is>
          <t>SKELLEFTEÅ</t>
        </is>
      </c>
      <c r="G849" t="n">
        <v>8</v>
      </c>
      <c r="H849" t="n">
        <v>0</v>
      </c>
      <c r="I849" t="n">
        <v>0</v>
      </c>
      <c r="J849" t="n">
        <v>0</v>
      </c>
      <c r="K849" t="n">
        <v>0</v>
      </c>
      <c r="L849" t="n">
        <v>0</v>
      </c>
      <c r="M849" t="n">
        <v>0</v>
      </c>
      <c r="N849" t="n">
        <v>0</v>
      </c>
      <c r="O849" t="n">
        <v>0</v>
      </c>
      <c r="P849" t="n">
        <v>0</v>
      </c>
      <c r="Q849" t="n">
        <v>0</v>
      </c>
      <c r="R849" s="2" t="inlineStr"/>
    </row>
    <row r="850" ht="15" customHeight="1">
      <c r="A850" t="inlineStr">
        <is>
          <t>A 44568-2018</t>
        </is>
      </c>
      <c r="B850" s="1" t="n">
        <v>43357</v>
      </c>
      <c r="C850" s="1" t="n">
        <v>45204</v>
      </c>
      <c r="D850" t="inlineStr">
        <is>
          <t>VÄSTERBOTTENS LÄN</t>
        </is>
      </c>
      <c r="E850" t="inlineStr">
        <is>
          <t>SKELLEFTEÅ</t>
        </is>
      </c>
      <c r="G850" t="n">
        <v>12.8</v>
      </c>
      <c r="H850" t="n">
        <v>0</v>
      </c>
      <c r="I850" t="n">
        <v>0</v>
      </c>
      <c r="J850" t="n">
        <v>0</v>
      </c>
      <c r="K850" t="n">
        <v>0</v>
      </c>
      <c r="L850" t="n">
        <v>0</v>
      </c>
      <c r="M850" t="n">
        <v>0</v>
      </c>
      <c r="N850" t="n">
        <v>0</v>
      </c>
      <c r="O850" t="n">
        <v>0</v>
      </c>
      <c r="P850" t="n">
        <v>0</v>
      </c>
      <c r="Q850" t="n">
        <v>0</v>
      </c>
      <c r="R850" s="2" t="inlineStr"/>
    </row>
    <row r="851" ht="15" customHeight="1">
      <c r="A851" t="inlineStr">
        <is>
          <t>A 44679-2018</t>
        </is>
      </c>
      <c r="B851" s="1" t="n">
        <v>43357</v>
      </c>
      <c r="C851" s="1" t="n">
        <v>45204</v>
      </c>
      <c r="D851" t="inlineStr">
        <is>
          <t>VÄSTERBOTTENS LÄN</t>
        </is>
      </c>
      <c r="E851" t="inlineStr">
        <is>
          <t>SKELLEFTEÅ</t>
        </is>
      </c>
      <c r="G851" t="n">
        <v>1</v>
      </c>
      <c r="H851" t="n">
        <v>0</v>
      </c>
      <c r="I851" t="n">
        <v>0</v>
      </c>
      <c r="J851" t="n">
        <v>0</v>
      </c>
      <c r="K851" t="n">
        <v>0</v>
      </c>
      <c r="L851" t="n">
        <v>0</v>
      </c>
      <c r="M851" t="n">
        <v>0</v>
      </c>
      <c r="N851" t="n">
        <v>0</v>
      </c>
      <c r="O851" t="n">
        <v>0</v>
      </c>
      <c r="P851" t="n">
        <v>0</v>
      </c>
      <c r="Q851" t="n">
        <v>0</v>
      </c>
      <c r="R851" s="2" t="inlineStr"/>
    </row>
    <row r="852" ht="15" customHeight="1">
      <c r="A852" t="inlineStr">
        <is>
          <t>A 44970-2018</t>
        </is>
      </c>
      <c r="B852" s="1" t="n">
        <v>43360</v>
      </c>
      <c r="C852" s="1" t="n">
        <v>45204</v>
      </c>
      <c r="D852" t="inlineStr">
        <is>
          <t>VÄSTERBOTTENS LÄN</t>
        </is>
      </c>
      <c r="E852" t="inlineStr">
        <is>
          <t>VILHELMINA</t>
        </is>
      </c>
      <c r="G852" t="n">
        <v>35</v>
      </c>
      <c r="H852" t="n">
        <v>0</v>
      </c>
      <c r="I852" t="n">
        <v>0</v>
      </c>
      <c r="J852" t="n">
        <v>0</v>
      </c>
      <c r="K852" t="n">
        <v>0</v>
      </c>
      <c r="L852" t="n">
        <v>0</v>
      </c>
      <c r="M852" t="n">
        <v>0</v>
      </c>
      <c r="N852" t="n">
        <v>0</v>
      </c>
      <c r="O852" t="n">
        <v>0</v>
      </c>
      <c r="P852" t="n">
        <v>0</v>
      </c>
      <c r="Q852" t="n">
        <v>0</v>
      </c>
      <c r="R852" s="2" t="inlineStr"/>
    </row>
    <row r="853" ht="15" customHeight="1">
      <c r="A853" t="inlineStr">
        <is>
          <t>A 44351-2018</t>
        </is>
      </c>
      <c r="B853" s="1" t="n">
        <v>43360</v>
      </c>
      <c r="C853" s="1" t="n">
        <v>45204</v>
      </c>
      <c r="D853" t="inlineStr">
        <is>
          <t>VÄSTERBOTTENS LÄN</t>
        </is>
      </c>
      <c r="E853" t="inlineStr">
        <is>
          <t>LYCKSELE</t>
        </is>
      </c>
      <c r="F853" t="inlineStr">
        <is>
          <t>SCA</t>
        </is>
      </c>
      <c r="G853" t="n">
        <v>3.6</v>
      </c>
      <c r="H853" t="n">
        <v>0</v>
      </c>
      <c r="I853" t="n">
        <v>0</v>
      </c>
      <c r="J853" t="n">
        <v>0</v>
      </c>
      <c r="K853" t="n">
        <v>0</v>
      </c>
      <c r="L853" t="n">
        <v>0</v>
      </c>
      <c r="M853" t="n">
        <v>0</v>
      </c>
      <c r="N853" t="n">
        <v>0</v>
      </c>
      <c r="O853" t="n">
        <v>0</v>
      </c>
      <c r="P853" t="n">
        <v>0</v>
      </c>
      <c r="Q853" t="n">
        <v>0</v>
      </c>
      <c r="R853" s="2" t="inlineStr"/>
    </row>
    <row r="854" ht="15" customHeight="1">
      <c r="A854" t="inlineStr">
        <is>
          <t>A 44212-2018</t>
        </is>
      </c>
      <c r="B854" s="1" t="n">
        <v>43360</v>
      </c>
      <c r="C854" s="1" t="n">
        <v>45204</v>
      </c>
      <c r="D854" t="inlineStr">
        <is>
          <t>VÄSTERBOTTENS LÄN</t>
        </is>
      </c>
      <c r="E854" t="inlineStr">
        <is>
          <t>SKELLEFTEÅ</t>
        </is>
      </c>
      <c r="F854" t="inlineStr">
        <is>
          <t>Holmen skog AB</t>
        </is>
      </c>
      <c r="G854" t="n">
        <v>3.9</v>
      </c>
      <c r="H854" t="n">
        <v>0</v>
      </c>
      <c r="I854" t="n">
        <v>0</v>
      </c>
      <c r="J854" t="n">
        <v>0</v>
      </c>
      <c r="K854" t="n">
        <v>0</v>
      </c>
      <c r="L854" t="n">
        <v>0</v>
      </c>
      <c r="M854" t="n">
        <v>0</v>
      </c>
      <c r="N854" t="n">
        <v>0</v>
      </c>
      <c r="O854" t="n">
        <v>0</v>
      </c>
      <c r="P854" t="n">
        <v>0</v>
      </c>
      <c r="Q854" t="n">
        <v>0</v>
      </c>
      <c r="R854" s="2" t="inlineStr"/>
    </row>
    <row r="855" ht="15" customHeight="1">
      <c r="A855" t="inlineStr">
        <is>
          <t>A 45332-2018</t>
        </is>
      </c>
      <c r="B855" s="1" t="n">
        <v>43361</v>
      </c>
      <c r="C855" s="1" t="n">
        <v>45204</v>
      </c>
      <c r="D855" t="inlineStr">
        <is>
          <t>VÄSTERBOTTENS LÄN</t>
        </is>
      </c>
      <c r="E855" t="inlineStr">
        <is>
          <t>SKELLEFTEÅ</t>
        </is>
      </c>
      <c r="G855" t="n">
        <v>2.3</v>
      </c>
      <c r="H855" t="n">
        <v>0</v>
      </c>
      <c r="I855" t="n">
        <v>0</v>
      </c>
      <c r="J855" t="n">
        <v>0</v>
      </c>
      <c r="K855" t="n">
        <v>0</v>
      </c>
      <c r="L855" t="n">
        <v>0</v>
      </c>
      <c r="M855" t="n">
        <v>0</v>
      </c>
      <c r="N855" t="n">
        <v>0</v>
      </c>
      <c r="O855" t="n">
        <v>0</v>
      </c>
      <c r="P855" t="n">
        <v>0</v>
      </c>
      <c r="Q855" t="n">
        <v>0</v>
      </c>
      <c r="R855" s="2" t="inlineStr"/>
    </row>
    <row r="856" ht="15" customHeight="1">
      <c r="A856" t="inlineStr">
        <is>
          <t>A 44553-2018</t>
        </is>
      </c>
      <c r="B856" s="1" t="n">
        <v>43361</v>
      </c>
      <c r="C856" s="1" t="n">
        <v>45204</v>
      </c>
      <c r="D856" t="inlineStr">
        <is>
          <t>VÄSTERBOTTENS LÄN</t>
        </is>
      </c>
      <c r="E856" t="inlineStr">
        <is>
          <t>NORSJÖ</t>
        </is>
      </c>
      <c r="G856" t="n">
        <v>1.8</v>
      </c>
      <c r="H856" t="n">
        <v>0</v>
      </c>
      <c r="I856" t="n">
        <v>0</v>
      </c>
      <c r="J856" t="n">
        <v>0</v>
      </c>
      <c r="K856" t="n">
        <v>0</v>
      </c>
      <c r="L856" t="n">
        <v>0</v>
      </c>
      <c r="M856" t="n">
        <v>0</v>
      </c>
      <c r="N856" t="n">
        <v>0</v>
      </c>
      <c r="O856" t="n">
        <v>0</v>
      </c>
      <c r="P856" t="n">
        <v>0</v>
      </c>
      <c r="Q856" t="n">
        <v>0</v>
      </c>
      <c r="R856" s="2" t="inlineStr"/>
    </row>
    <row r="857" ht="15" customHeight="1">
      <c r="A857" t="inlineStr">
        <is>
          <t>A 44907-2018</t>
        </is>
      </c>
      <c r="B857" s="1" t="n">
        <v>43362</v>
      </c>
      <c r="C857" s="1" t="n">
        <v>45204</v>
      </c>
      <c r="D857" t="inlineStr">
        <is>
          <t>VÄSTERBOTTENS LÄN</t>
        </is>
      </c>
      <c r="E857" t="inlineStr">
        <is>
          <t>STORUMAN</t>
        </is>
      </c>
      <c r="G857" t="n">
        <v>6.6</v>
      </c>
      <c r="H857" t="n">
        <v>0</v>
      </c>
      <c r="I857" t="n">
        <v>0</v>
      </c>
      <c r="J857" t="n">
        <v>0</v>
      </c>
      <c r="K857" t="n">
        <v>0</v>
      </c>
      <c r="L857" t="n">
        <v>0</v>
      </c>
      <c r="M857" t="n">
        <v>0</v>
      </c>
      <c r="N857" t="n">
        <v>0</v>
      </c>
      <c r="O857" t="n">
        <v>0</v>
      </c>
      <c r="P857" t="n">
        <v>0</v>
      </c>
      <c r="Q857" t="n">
        <v>0</v>
      </c>
      <c r="R857" s="2" t="inlineStr"/>
    </row>
    <row r="858" ht="15" customHeight="1">
      <c r="A858" t="inlineStr">
        <is>
          <t>A 45743-2018</t>
        </is>
      </c>
      <c r="B858" s="1" t="n">
        <v>43362</v>
      </c>
      <c r="C858" s="1" t="n">
        <v>45204</v>
      </c>
      <c r="D858" t="inlineStr">
        <is>
          <t>VÄSTERBOTTENS LÄN</t>
        </is>
      </c>
      <c r="E858" t="inlineStr">
        <is>
          <t>SKELLEFTEÅ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45847-2018</t>
        </is>
      </c>
      <c r="B859" s="1" t="n">
        <v>43362</v>
      </c>
      <c r="C859" s="1" t="n">
        <v>45204</v>
      </c>
      <c r="D859" t="inlineStr">
        <is>
          <t>VÄSTERBOTTENS LÄN</t>
        </is>
      </c>
      <c r="E859" t="inlineStr">
        <is>
          <t>SKELLEFTEÅ</t>
        </is>
      </c>
      <c r="G859" t="n">
        <v>2.4</v>
      </c>
      <c r="H859" t="n">
        <v>0</v>
      </c>
      <c r="I859" t="n">
        <v>0</v>
      </c>
      <c r="J859" t="n">
        <v>0</v>
      </c>
      <c r="K859" t="n">
        <v>0</v>
      </c>
      <c r="L859" t="n">
        <v>0</v>
      </c>
      <c r="M859" t="n">
        <v>0</v>
      </c>
      <c r="N859" t="n">
        <v>0</v>
      </c>
      <c r="O859" t="n">
        <v>0</v>
      </c>
      <c r="P859" t="n">
        <v>0</v>
      </c>
      <c r="Q859" t="n">
        <v>0</v>
      </c>
      <c r="R859" s="2" t="inlineStr"/>
    </row>
    <row r="860" ht="15" customHeight="1">
      <c r="A860" t="inlineStr">
        <is>
          <t>A 45176-2018</t>
        </is>
      </c>
      <c r="B860" s="1" t="n">
        <v>43362</v>
      </c>
      <c r="C860" s="1" t="n">
        <v>45204</v>
      </c>
      <c r="D860" t="inlineStr">
        <is>
          <t>VÄSTERBOTTENS LÄN</t>
        </is>
      </c>
      <c r="E860" t="inlineStr">
        <is>
          <t>SKELLEFTEÅ</t>
        </is>
      </c>
      <c r="G860" t="n">
        <v>16.7</v>
      </c>
      <c r="H860" t="n">
        <v>0</v>
      </c>
      <c r="I860" t="n">
        <v>0</v>
      </c>
      <c r="J860" t="n">
        <v>0</v>
      </c>
      <c r="K860" t="n">
        <v>0</v>
      </c>
      <c r="L860" t="n">
        <v>0</v>
      </c>
      <c r="M860" t="n">
        <v>0</v>
      </c>
      <c r="N860" t="n">
        <v>0</v>
      </c>
      <c r="O860" t="n">
        <v>0</v>
      </c>
      <c r="P860" t="n">
        <v>0</v>
      </c>
      <c r="Q860" t="n">
        <v>0</v>
      </c>
      <c r="R860" s="2" t="inlineStr"/>
    </row>
    <row r="861" ht="15" customHeight="1">
      <c r="A861" t="inlineStr">
        <is>
          <t>A 44883-2018</t>
        </is>
      </c>
      <c r="B861" s="1" t="n">
        <v>43362</v>
      </c>
      <c r="C861" s="1" t="n">
        <v>45204</v>
      </c>
      <c r="D861" t="inlineStr">
        <is>
          <t>VÄSTERBOTTENS LÄN</t>
        </is>
      </c>
      <c r="E861" t="inlineStr">
        <is>
          <t>STORUMAN</t>
        </is>
      </c>
      <c r="G861" t="n">
        <v>4.7</v>
      </c>
      <c r="H861" t="n">
        <v>0</v>
      </c>
      <c r="I861" t="n">
        <v>0</v>
      </c>
      <c r="J861" t="n">
        <v>0</v>
      </c>
      <c r="K861" t="n">
        <v>0</v>
      </c>
      <c r="L861" t="n">
        <v>0</v>
      </c>
      <c r="M861" t="n">
        <v>0</v>
      </c>
      <c r="N861" t="n">
        <v>0</v>
      </c>
      <c r="O861" t="n">
        <v>0</v>
      </c>
      <c r="P861" t="n">
        <v>0</v>
      </c>
      <c r="Q861" t="n">
        <v>0</v>
      </c>
      <c r="R861" s="2" t="inlineStr"/>
    </row>
    <row r="862" ht="15" customHeight="1">
      <c r="A862" t="inlineStr">
        <is>
          <t>A 45763-2018</t>
        </is>
      </c>
      <c r="B862" s="1" t="n">
        <v>43362</v>
      </c>
      <c r="C862" s="1" t="n">
        <v>45204</v>
      </c>
      <c r="D862" t="inlineStr">
        <is>
          <t>VÄSTERBOTTENS LÄN</t>
        </is>
      </c>
      <c r="E862" t="inlineStr">
        <is>
          <t>BJURHOLM</t>
        </is>
      </c>
      <c r="G862" t="n">
        <v>2.8</v>
      </c>
      <c r="H862" t="n">
        <v>0</v>
      </c>
      <c r="I862" t="n">
        <v>0</v>
      </c>
      <c r="J862" t="n">
        <v>0</v>
      </c>
      <c r="K862" t="n">
        <v>0</v>
      </c>
      <c r="L862" t="n">
        <v>0</v>
      </c>
      <c r="M862" t="n">
        <v>0</v>
      </c>
      <c r="N862" t="n">
        <v>0</v>
      </c>
      <c r="O862" t="n">
        <v>0</v>
      </c>
      <c r="P862" t="n">
        <v>0</v>
      </c>
      <c r="Q862" t="n">
        <v>0</v>
      </c>
      <c r="R862" s="2" t="inlineStr"/>
    </row>
    <row r="863" ht="15" customHeight="1">
      <c r="A863" t="inlineStr">
        <is>
          <t>A 45724-2018</t>
        </is>
      </c>
      <c r="B863" s="1" t="n">
        <v>43362</v>
      </c>
      <c r="C863" s="1" t="n">
        <v>45204</v>
      </c>
      <c r="D863" t="inlineStr">
        <is>
          <t>VÄSTERBOTTENS LÄN</t>
        </is>
      </c>
      <c r="E863" t="inlineStr">
        <is>
          <t>SKELLEFTEÅ</t>
        </is>
      </c>
      <c r="G863" t="n">
        <v>1.6</v>
      </c>
      <c r="H863" t="n">
        <v>0</v>
      </c>
      <c r="I863" t="n">
        <v>0</v>
      </c>
      <c r="J863" t="n">
        <v>0</v>
      </c>
      <c r="K863" t="n">
        <v>0</v>
      </c>
      <c r="L863" t="n">
        <v>0</v>
      </c>
      <c r="M863" t="n">
        <v>0</v>
      </c>
      <c r="N863" t="n">
        <v>0</v>
      </c>
      <c r="O863" t="n">
        <v>0</v>
      </c>
      <c r="P863" t="n">
        <v>0</v>
      </c>
      <c r="Q863" t="n">
        <v>0</v>
      </c>
      <c r="R863" s="2" t="inlineStr"/>
    </row>
    <row r="864" ht="15" customHeight="1">
      <c r="A864" t="inlineStr">
        <is>
          <t>A 46430-2018</t>
        </is>
      </c>
      <c r="B864" s="1" t="n">
        <v>43363</v>
      </c>
      <c r="C864" s="1" t="n">
        <v>45204</v>
      </c>
      <c r="D864" t="inlineStr">
        <is>
          <t>VÄSTERBOTTENS LÄN</t>
        </is>
      </c>
      <c r="E864" t="inlineStr">
        <is>
          <t>SKELLEFTEÅ</t>
        </is>
      </c>
      <c r="G864" t="n">
        <v>2.4</v>
      </c>
      <c r="H864" t="n">
        <v>0</v>
      </c>
      <c r="I864" t="n">
        <v>0</v>
      </c>
      <c r="J864" t="n">
        <v>0</v>
      </c>
      <c r="K864" t="n">
        <v>0</v>
      </c>
      <c r="L864" t="n">
        <v>0</v>
      </c>
      <c r="M864" t="n">
        <v>0</v>
      </c>
      <c r="N864" t="n">
        <v>0</v>
      </c>
      <c r="O864" t="n">
        <v>0</v>
      </c>
      <c r="P864" t="n">
        <v>0</v>
      </c>
      <c r="Q864" t="n">
        <v>0</v>
      </c>
      <c r="R864" s="2" t="inlineStr"/>
    </row>
    <row r="865" ht="15" customHeight="1">
      <c r="A865" t="inlineStr">
        <is>
          <t>A 45385-2018</t>
        </is>
      </c>
      <c r="B865" s="1" t="n">
        <v>43363</v>
      </c>
      <c r="C865" s="1" t="n">
        <v>45204</v>
      </c>
      <c r="D865" t="inlineStr">
        <is>
          <t>VÄSTERBOTTENS LÄN</t>
        </is>
      </c>
      <c r="E865" t="inlineStr">
        <is>
          <t>STORUMAN</t>
        </is>
      </c>
      <c r="G865" t="n">
        <v>8.699999999999999</v>
      </c>
      <c r="H865" t="n">
        <v>0</v>
      </c>
      <c r="I865" t="n">
        <v>0</v>
      </c>
      <c r="J865" t="n">
        <v>0</v>
      </c>
      <c r="K865" t="n">
        <v>0</v>
      </c>
      <c r="L865" t="n">
        <v>0</v>
      </c>
      <c r="M865" t="n">
        <v>0</v>
      </c>
      <c r="N865" t="n">
        <v>0</v>
      </c>
      <c r="O865" t="n">
        <v>0</v>
      </c>
      <c r="P865" t="n">
        <v>0</v>
      </c>
      <c r="Q865" t="n">
        <v>0</v>
      </c>
      <c r="R865" s="2" t="inlineStr"/>
    </row>
    <row r="866" ht="15" customHeight="1">
      <c r="A866" t="inlineStr">
        <is>
          <t>A 46535-2018</t>
        </is>
      </c>
      <c r="B866" s="1" t="n">
        <v>43363</v>
      </c>
      <c r="C866" s="1" t="n">
        <v>45204</v>
      </c>
      <c r="D866" t="inlineStr">
        <is>
          <t>VÄSTERBOTTENS LÄN</t>
        </is>
      </c>
      <c r="E866" t="inlineStr">
        <is>
          <t>MALÅ</t>
        </is>
      </c>
      <c r="G866" t="n">
        <v>31.5</v>
      </c>
      <c r="H866" t="n">
        <v>0</v>
      </c>
      <c r="I866" t="n">
        <v>0</v>
      </c>
      <c r="J866" t="n">
        <v>0</v>
      </c>
      <c r="K866" t="n">
        <v>0</v>
      </c>
      <c r="L866" t="n">
        <v>0</v>
      </c>
      <c r="M866" t="n">
        <v>0</v>
      </c>
      <c r="N866" t="n">
        <v>0</v>
      </c>
      <c r="O866" t="n">
        <v>0</v>
      </c>
      <c r="P866" t="n">
        <v>0</v>
      </c>
      <c r="Q866" t="n">
        <v>0</v>
      </c>
      <c r="R866" s="2" t="inlineStr"/>
    </row>
    <row r="867" ht="15" customHeight="1">
      <c r="A867" t="inlineStr">
        <is>
          <t>A 45831-2018</t>
        </is>
      </c>
      <c r="B867" s="1" t="n">
        <v>43363</v>
      </c>
      <c r="C867" s="1" t="n">
        <v>45204</v>
      </c>
      <c r="D867" t="inlineStr">
        <is>
          <t>VÄSTERBOTTENS LÄN</t>
        </is>
      </c>
      <c r="E867" t="inlineStr">
        <is>
          <t>VINDELN</t>
        </is>
      </c>
      <c r="G867" t="n">
        <v>5.6</v>
      </c>
      <c r="H867" t="n">
        <v>0</v>
      </c>
      <c r="I867" t="n">
        <v>0</v>
      </c>
      <c r="J867" t="n">
        <v>0</v>
      </c>
      <c r="K867" t="n">
        <v>0</v>
      </c>
      <c r="L867" t="n">
        <v>0</v>
      </c>
      <c r="M867" t="n">
        <v>0</v>
      </c>
      <c r="N867" t="n">
        <v>0</v>
      </c>
      <c r="O867" t="n">
        <v>0</v>
      </c>
      <c r="P867" t="n">
        <v>0</v>
      </c>
      <c r="Q867" t="n">
        <v>0</v>
      </c>
      <c r="R867" s="2" t="inlineStr"/>
    </row>
    <row r="868" ht="15" customHeight="1">
      <c r="A868" t="inlineStr">
        <is>
          <t>A 46332-2018</t>
        </is>
      </c>
      <c r="B868" s="1" t="n">
        <v>43363</v>
      </c>
      <c r="C868" s="1" t="n">
        <v>45204</v>
      </c>
      <c r="D868" t="inlineStr">
        <is>
          <t>VÄSTERBOTTENS LÄN</t>
        </is>
      </c>
      <c r="E868" t="inlineStr">
        <is>
          <t>SKELLEFTEÅ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46771-2018</t>
        </is>
      </c>
      <c r="B869" s="1" t="n">
        <v>43364</v>
      </c>
      <c r="C869" s="1" t="n">
        <v>45204</v>
      </c>
      <c r="D869" t="inlineStr">
        <is>
          <t>VÄSTERBOTTENS LÄN</t>
        </is>
      </c>
      <c r="E869" t="inlineStr">
        <is>
          <t>SKELLEFTEÅ</t>
        </is>
      </c>
      <c r="G869" t="n">
        <v>3.1</v>
      </c>
      <c r="H869" t="n">
        <v>0</v>
      </c>
      <c r="I869" t="n">
        <v>0</v>
      </c>
      <c r="J869" t="n">
        <v>0</v>
      </c>
      <c r="K869" t="n">
        <v>0</v>
      </c>
      <c r="L869" t="n">
        <v>0</v>
      </c>
      <c r="M869" t="n">
        <v>0</v>
      </c>
      <c r="N869" t="n">
        <v>0</v>
      </c>
      <c r="O869" t="n">
        <v>0</v>
      </c>
      <c r="P869" t="n">
        <v>0</v>
      </c>
      <c r="Q869" t="n">
        <v>0</v>
      </c>
      <c r="R869" s="2" t="inlineStr"/>
    </row>
    <row r="870" ht="15" customHeight="1">
      <c r="A870" t="inlineStr">
        <is>
          <t>A 45678-2018</t>
        </is>
      </c>
      <c r="B870" s="1" t="n">
        <v>43364</v>
      </c>
      <c r="C870" s="1" t="n">
        <v>45204</v>
      </c>
      <c r="D870" t="inlineStr">
        <is>
          <t>VÄSTERBOTTENS LÄN</t>
        </is>
      </c>
      <c r="E870" t="inlineStr">
        <is>
          <t>VINDELN</t>
        </is>
      </c>
      <c r="G870" t="n">
        <v>8.4</v>
      </c>
      <c r="H870" t="n">
        <v>0</v>
      </c>
      <c r="I870" t="n">
        <v>0</v>
      </c>
      <c r="J870" t="n">
        <v>0</v>
      </c>
      <c r="K870" t="n">
        <v>0</v>
      </c>
      <c r="L870" t="n">
        <v>0</v>
      </c>
      <c r="M870" t="n">
        <v>0</v>
      </c>
      <c r="N870" t="n">
        <v>0</v>
      </c>
      <c r="O870" t="n">
        <v>0</v>
      </c>
      <c r="P870" t="n">
        <v>0</v>
      </c>
      <c r="Q870" t="n">
        <v>0</v>
      </c>
      <c r="R870" s="2" t="inlineStr"/>
    </row>
    <row r="871" ht="15" customHeight="1">
      <c r="A871" t="inlineStr">
        <is>
          <t>A 47104-2018</t>
        </is>
      </c>
      <c r="B871" s="1" t="n">
        <v>43364</v>
      </c>
      <c r="C871" s="1" t="n">
        <v>45204</v>
      </c>
      <c r="D871" t="inlineStr">
        <is>
          <t>VÄSTERBOTTENS LÄN</t>
        </is>
      </c>
      <c r="E871" t="inlineStr">
        <is>
          <t>LYCKSELE</t>
        </is>
      </c>
      <c r="G871" t="n">
        <v>0.8</v>
      </c>
      <c r="H871" t="n">
        <v>0</v>
      </c>
      <c r="I871" t="n">
        <v>0</v>
      </c>
      <c r="J871" t="n">
        <v>0</v>
      </c>
      <c r="K871" t="n">
        <v>0</v>
      </c>
      <c r="L871" t="n">
        <v>0</v>
      </c>
      <c r="M871" t="n">
        <v>0</v>
      </c>
      <c r="N871" t="n">
        <v>0</v>
      </c>
      <c r="O871" t="n">
        <v>0</v>
      </c>
      <c r="P871" t="n">
        <v>0</v>
      </c>
      <c r="Q871" t="n">
        <v>0</v>
      </c>
      <c r="R871" s="2" t="inlineStr"/>
    </row>
    <row r="872" ht="15" customHeight="1">
      <c r="A872" t="inlineStr">
        <is>
          <t>A 46699-2018</t>
        </is>
      </c>
      <c r="B872" s="1" t="n">
        <v>43364</v>
      </c>
      <c r="C872" s="1" t="n">
        <v>45204</v>
      </c>
      <c r="D872" t="inlineStr">
        <is>
          <t>VÄSTERBOTTENS LÄN</t>
        </is>
      </c>
      <c r="E872" t="inlineStr">
        <is>
          <t>UMEÅ</t>
        </is>
      </c>
      <c r="G872" t="n">
        <v>1.3</v>
      </c>
      <c r="H872" t="n">
        <v>0</v>
      </c>
      <c r="I872" t="n">
        <v>0</v>
      </c>
      <c r="J872" t="n">
        <v>0</v>
      </c>
      <c r="K872" t="n">
        <v>0</v>
      </c>
      <c r="L872" t="n">
        <v>0</v>
      </c>
      <c r="M872" t="n">
        <v>0</v>
      </c>
      <c r="N872" t="n">
        <v>0</v>
      </c>
      <c r="O872" t="n">
        <v>0</v>
      </c>
      <c r="P872" t="n">
        <v>0</v>
      </c>
      <c r="Q872" t="n">
        <v>0</v>
      </c>
      <c r="R872" s="2" t="inlineStr"/>
    </row>
    <row r="873" ht="15" customHeight="1">
      <c r="A873" t="inlineStr">
        <is>
          <t>A 46069-2018</t>
        </is>
      </c>
      <c r="B873" s="1" t="n">
        <v>43366</v>
      </c>
      <c r="C873" s="1" t="n">
        <v>45204</v>
      </c>
      <c r="D873" t="inlineStr">
        <is>
          <t>VÄSTERBOTTENS LÄN</t>
        </is>
      </c>
      <c r="E873" t="inlineStr">
        <is>
          <t>NORDMALING</t>
        </is>
      </c>
      <c r="G873" t="n">
        <v>3.9</v>
      </c>
      <c r="H873" t="n">
        <v>0</v>
      </c>
      <c r="I873" t="n">
        <v>0</v>
      </c>
      <c r="J873" t="n">
        <v>0</v>
      </c>
      <c r="K873" t="n">
        <v>0</v>
      </c>
      <c r="L873" t="n">
        <v>0</v>
      </c>
      <c r="M873" t="n">
        <v>0</v>
      </c>
      <c r="N873" t="n">
        <v>0</v>
      </c>
      <c r="O873" t="n">
        <v>0</v>
      </c>
      <c r="P873" t="n">
        <v>0</v>
      </c>
      <c r="Q873" t="n">
        <v>0</v>
      </c>
      <c r="R873" s="2" t="inlineStr"/>
    </row>
    <row r="874" ht="15" customHeight="1">
      <c r="A874" t="inlineStr">
        <is>
          <t>A 47114-2018</t>
        </is>
      </c>
      <c r="B874" s="1" t="n">
        <v>43367</v>
      </c>
      <c r="C874" s="1" t="n">
        <v>45204</v>
      </c>
      <c r="D874" t="inlineStr">
        <is>
          <t>VÄSTERBOTTENS LÄN</t>
        </is>
      </c>
      <c r="E874" t="inlineStr">
        <is>
          <t>NORDMALING</t>
        </is>
      </c>
      <c r="G874" t="n">
        <v>2.2</v>
      </c>
      <c r="H874" t="n">
        <v>0</v>
      </c>
      <c r="I874" t="n">
        <v>0</v>
      </c>
      <c r="J874" t="n">
        <v>0</v>
      </c>
      <c r="K874" t="n">
        <v>0</v>
      </c>
      <c r="L874" t="n">
        <v>0</v>
      </c>
      <c r="M874" t="n">
        <v>0</v>
      </c>
      <c r="N874" t="n">
        <v>0</v>
      </c>
      <c r="O874" t="n">
        <v>0</v>
      </c>
      <c r="P874" t="n">
        <v>0</v>
      </c>
      <c r="Q874" t="n">
        <v>0</v>
      </c>
      <c r="R874" s="2" t="inlineStr"/>
    </row>
    <row r="875" ht="15" customHeight="1">
      <c r="A875" t="inlineStr">
        <is>
          <t>A 47620-2018</t>
        </is>
      </c>
      <c r="B875" s="1" t="n">
        <v>43368</v>
      </c>
      <c r="C875" s="1" t="n">
        <v>45204</v>
      </c>
      <c r="D875" t="inlineStr">
        <is>
          <t>VÄSTERBOTTENS LÄN</t>
        </is>
      </c>
      <c r="E875" t="inlineStr">
        <is>
          <t>UMEÅ</t>
        </is>
      </c>
      <c r="G875" t="n">
        <v>0.6</v>
      </c>
      <c r="H875" t="n">
        <v>0</v>
      </c>
      <c r="I875" t="n">
        <v>0</v>
      </c>
      <c r="J875" t="n">
        <v>0</v>
      </c>
      <c r="K875" t="n">
        <v>0</v>
      </c>
      <c r="L875" t="n">
        <v>0</v>
      </c>
      <c r="M875" t="n">
        <v>0</v>
      </c>
      <c r="N875" t="n">
        <v>0</v>
      </c>
      <c r="O875" t="n">
        <v>0</v>
      </c>
      <c r="P875" t="n">
        <v>0</v>
      </c>
      <c r="Q875" t="n">
        <v>0</v>
      </c>
      <c r="R875" s="2" t="inlineStr"/>
    </row>
    <row r="876" ht="15" customHeight="1">
      <c r="A876" t="inlineStr">
        <is>
          <t>A 47734-2018</t>
        </is>
      </c>
      <c r="B876" s="1" t="n">
        <v>43368</v>
      </c>
      <c r="C876" s="1" t="n">
        <v>45204</v>
      </c>
      <c r="D876" t="inlineStr">
        <is>
          <t>VÄSTERBOTTENS LÄN</t>
        </is>
      </c>
      <c r="E876" t="inlineStr">
        <is>
          <t>SKELLEFTEÅ</t>
        </is>
      </c>
      <c r="G876" t="n">
        <v>3.5</v>
      </c>
      <c r="H876" t="n">
        <v>0</v>
      </c>
      <c r="I876" t="n">
        <v>0</v>
      </c>
      <c r="J876" t="n">
        <v>0</v>
      </c>
      <c r="K876" t="n">
        <v>0</v>
      </c>
      <c r="L876" t="n">
        <v>0</v>
      </c>
      <c r="M876" t="n">
        <v>0</v>
      </c>
      <c r="N876" t="n">
        <v>0</v>
      </c>
      <c r="O876" t="n">
        <v>0</v>
      </c>
      <c r="P876" t="n">
        <v>0</v>
      </c>
      <c r="Q876" t="n">
        <v>0</v>
      </c>
      <c r="R876" s="2" t="inlineStr"/>
    </row>
    <row r="877" ht="15" customHeight="1">
      <c r="A877" t="inlineStr">
        <is>
          <t>A 47505-2018</t>
        </is>
      </c>
      <c r="B877" s="1" t="n">
        <v>43368</v>
      </c>
      <c r="C877" s="1" t="n">
        <v>45204</v>
      </c>
      <c r="D877" t="inlineStr">
        <is>
          <t>VÄSTERBOTTENS LÄN</t>
        </is>
      </c>
      <c r="E877" t="inlineStr">
        <is>
          <t>VÄNNÄS</t>
        </is>
      </c>
      <c r="G877" t="n">
        <v>3.4</v>
      </c>
      <c r="H877" t="n">
        <v>0</v>
      </c>
      <c r="I877" t="n">
        <v>0</v>
      </c>
      <c r="J877" t="n">
        <v>0</v>
      </c>
      <c r="K877" t="n">
        <v>0</v>
      </c>
      <c r="L877" t="n">
        <v>0</v>
      </c>
      <c r="M877" t="n">
        <v>0</v>
      </c>
      <c r="N877" t="n">
        <v>0</v>
      </c>
      <c r="O877" t="n">
        <v>0</v>
      </c>
      <c r="P877" t="n">
        <v>0</v>
      </c>
      <c r="Q877" t="n">
        <v>0</v>
      </c>
      <c r="R877" s="2" t="inlineStr"/>
    </row>
    <row r="878" ht="15" customHeight="1">
      <c r="A878" t="inlineStr">
        <is>
          <t>A 47610-2018</t>
        </is>
      </c>
      <c r="B878" s="1" t="n">
        <v>43368</v>
      </c>
      <c r="C878" s="1" t="n">
        <v>45204</v>
      </c>
      <c r="D878" t="inlineStr">
        <is>
          <t>VÄSTERBOTTENS LÄN</t>
        </is>
      </c>
      <c r="E878" t="inlineStr">
        <is>
          <t>UMEÅ</t>
        </is>
      </c>
      <c r="G878" t="n">
        <v>0.7</v>
      </c>
      <c r="H878" t="n">
        <v>0</v>
      </c>
      <c r="I878" t="n">
        <v>0</v>
      </c>
      <c r="J878" t="n">
        <v>0</v>
      </c>
      <c r="K878" t="n">
        <v>0</v>
      </c>
      <c r="L878" t="n">
        <v>0</v>
      </c>
      <c r="M878" t="n">
        <v>0</v>
      </c>
      <c r="N878" t="n">
        <v>0</v>
      </c>
      <c r="O878" t="n">
        <v>0</v>
      </c>
      <c r="P878" t="n">
        <v>0</v>
      </c>
      <c r="Q878" t="n">
        <v>0</v>
      </c>
      <c r="R878" s="2" t="inlineStr"/>
    </row>
    <row r="879" ht="15" customHeight="1">
      <c r="A879" t="inlineStr">
        <is>
          <t>A 47523-2018</t>
        </is>
      </c>
      <c r="B879" s="1" t="n">
        <v>43368</v>
      </c>
      <c r="C879" s="1" t="n">
        <v>45204</v>
      </c>
      <c r="D879" t="inlineStr">
        <is>
          <t>VÄSTERBOTTENS LÄN</t>
        </is>
      </c>
      <c r="E879" t="inlineStr">
        <is>
          <t>UMEÅ</t>
        </is>
      </c>
      <c r="G879" t="n">
        <v>5.1</v>
      </c>
      <c r="H879" t="n">
        <v>0</v>
      </c>
      <c r="I879" t="n">
        <v>0</v>
      </c>
      <c r="J879" t="n">
        <v>0</v>
      </c>
      <c r="K879" t="n">
        <v>0</v>
      </c>
      <c r="L879" t="n">
        <v>0</v>
      </c>
      <c r="M879" t="n">
        <v>0</v>
      </c>
      <c r="N879" t="n">
        <v>0</v>
      </c>
      <c r="O879" t="n">
        <v>0</v>
      </c>
      <c r="P879" t="n">
        <v>0</v>
      </c>
      <c r="Q879" t="n">
        <v>0</v>
      </c>
      <c r="R879" s="2" t="inlineStr"/>
    </row>
    <row r="880" ht="15" customHeight="1">
      <c r="A880" t="inlineStr">
        <is>
          <t>A 47588-2018</t>
        </is>
      </c>
      <c r="B880" s="1" t="n">
        <v>43368</v>
      </c>
      <c r="C880" s="1" t="n">
        <v>45204</v>
      </c>
      <c r="D880" t="inlineStr">
        <is>
          <t>VÄSTERBOTTENS LÄN</t>
        </is>
      </c>
      <c r="E880" t="inlineStr">
        <is>
          <t>UMEÅ</t>
        </is>
      </c>
      <c r="G880" t="n">
        <v>1.8</v>
      </c>
      <c r="H880" t="n">
        <v>0</v>
      </c>
      <c r="I880" t="n">
        <v>0</v>
      </c>
      <c r="J880" t="n">
        <v>0</v>
      </c>
      <c r="K880" t="n">
        <v>0</v>
      </c>
      <c r="L880" t="n">
        <v>0</v>
      </c>
      <c r="M880" t="n">
        <v>0</v>
      </c>
      <c r="N880" t="n">
        <v>0</v>
      </c>
      <c r="O880" t="n">
        <v>0</v>
      </c>
      <c r="P880" t="n">
        <v>0</v>
      </c>
      <c r="Q880" t="n">
        <v>0</v>
      </c>
      <c r="R880" s="2" t="inlineStr"/>
    </row>
    <row r="881" ht="15" customHeight="1">
      <c r="A881" t="inlineStr">
        <is>
          <t>A 47429-2018</t>
        </is>
      </c>
      <c r="B881" s="1" t="n">
        <v>43369</v>
      </c>
      <c r="C881" s="1" t="n">
        <v>45204</v>
      </c>
      <c r="D881" t="inlineStr">
        <is>
          <t>VÄSTERBOTTENS LÄN</t>
        </is>
      </c>
      <c r="E881" t="inlineStr">
        <is>
          <t>DOROTEA</t>
        </is>
      </c>
      <c r="F881" t="inlineStr">
        <is>
          <t>SCA</t>
        </is>
      </c>
      <c r="G881" t="n">
        <v>4.2</v>
      </c>
      <c r="H881" t="n">
        <v>0</v>
      </c>
      <c r="I881" t="n">
        <v>0</v>
      </c>
      <c r="J881" t="n">
        <v>0</v>
      </c>
      <c r="K881" t="n">
        <v>0</v>
      </c>
      <c r="L881" t="n">
        <v>0</v>
      </c>
      <c r="M881" t="n">
        <v>0</v>
      </c>
      <c r="N881" t="n">
        <v>0</v>
      </c>
      <c r="O881" t="n">
        <v>0</v>
      </c>
      <c r="P881" t="n">
        <v>0</v>
      </c>
      <c r="Q881" t="n">
        <v>0</v>
      </c>
      <c r="R881" s="2" t="inlineStr"/>
    </row>
    <row r="882" ht="15" customHeight="1">
      <c r="A882" t="inlineStr">
        <is>
          <t>A 47757-2018</t>
        </is>
      </c>
      <c r="B882" s="1" t="n">
        <v>43369</v>
      </c>
      <c r="C882" s="1" t="n">
        <v>45204</v>
      </c>
      <c r="D882" t="inlineStr">
        <is>
          <t>VÄSTERBOTTENS LÄN</t>
        </is>
      </c>
      <c r="E882" t="inlineStr">
        <is>
          <t>STORUMAN</t>
        </is>
      </c>
      <c r="G882" t="n">
        <v>2.4</v>
      </c>
      <c r="H882" t="n">
        <v>0</v>
      </c>
      <c r="I882" t="n">
        <v>0</v>
      </c>
      <c r="J882" t="n">
        <v>0</v>
      </c>
      <c r="K882" t="n">
        <v>0</v>
      </c>
      <c r="L882" t="n">
        <v>0</v>
      </c>
      <c r="M882" t="n">
        <v>0</v>
      </c>
      <c r="N882" t="n">
        <v>0</v>
      </c>
      <c r="O882" t="n">
        <v>0</v>
      </c>
      <c r="P882" t="n">
        <v>0</v>
      </c>
      <c r="Q882" t="n">
        <v>0</v>
      </c>
      <c r="R882" s="2" t="inlineStr"/>
    </row>
    <row r="883" ht="15" customHeight="1">
      <c r="A883" t="inlineStr">
        <is>
          <t>A 47760-2018</t>
        </is>
      </c>
      <c r="B883" s="1" t="n">
        <v>43369</v>
      </c>
      <c r="C883" s="1" t="n">
        <v>45204</v>
      </c>
      <c r="D883" t="inlineStr">
        <is>
          <t>VÄSTERBOTTENS LÄN</t>
        </is>
      </c>
      <c r="E883" t="inlineStr">
        <is>
          <t>STORUMAN</t>
        </is>
      </c>
      <c r="G883" t="n">
        <v>1</v>
      </c>
      <c r="H883" t="n">
        <v>0</v>
      </c>
      <c r="I883" t="n">
        <v>0</v>
      </c>
      <c r="J883" t="n">
        <v>0</v>
      </c>
      <c r="K883" t="n">
        <v>0</v>
      </c>
      <c r="L883" t="n">
        <v>0</v>
      </c>
      <c r="M883" t="n">
        <v>0</v>
      </c>
      <c r="N883" t="n">
        <v>0</v>
      </c>
      <c r="O883" t="n">
        <v>0</v>
      </c>
      <c r="P883" t="n">
        <v>0</v>
      </c>
      <c r="Q883" t="n">
        <v>0</v>
      </c>
      <c r="R883" s="2" t="inlineStr"/>
    </row>
    <row r="884" ht="15" customHeight="1">
      <c r="A884" t="inlineStr">
        <is>
          <t>A 47546-2018</t>
        </is>
      </c>
      <c r="B884" s="1" t="n">
        <v>43370</v>
      </c>
      <c r="C884" s="1" t="n">
        <v>45204</v>
      </c>
      <c r="D884" t="inlineStr">
        <is>
          <t>VÄSTERBOTTENS LÄN</t>
        </is>
      </c>
      <c r="E884" t="inlineStr">
        <is>
          <t>SKELLEFTEÅ</t>
        </is>
      </c>
      <c r="G884" t="n">
        <v>4.7</v>
      </c>
      <c r="H884" t="n">
        <v>0</v>
      </c>
      <c r="I884" t="n">
        <v>0</v>
      </c>
      <c r="J884" t="n">
        <v>0</v>
      </c>
      <c r="K884" t="n">
        <v>0</v>
      </c>
      <c r="L884" t="n">
        <v>0</v>
      </c>
      <c r="M884" t="n">
        <v>0</v>
      </c>
      <c r="N884" t="n">
        <v>0</v>
      </c>
      <c r="O884" t="n">
        <v>0</v>
      </c>
      <c r="P884" t="n">
        <v>0</v>
      </c>
      <c r="Q884" t="n">
        <v>0</v>
      </c>
      <c r="R884" s="2" t="inlineStr"/>
    </row>
    <row r="885" ht="15" customHeight="1">
      <c r="A885" t="inlineStr">
        <is>
          <t>A 48177-2018</t>
        </is>
      </c>
      <c r="B885" s="1" t="n">
        <v>43370</v>
      </c>
      <c r="C885" s="1" t="n">
        <v>45204</v>
      </c>
      <c r="D885" t="inlineStr">
        <is>
          <t>VÄSTERBOTTENS LÄN</t>
        </is>
      </c>
      <c r="E885" t="inlineStr">
        <is>
          <t>UMEÅ</t>
        </is>
      </c>
      <c r="G885" t="n">
        <v>1.1</v>
      </c>
      <c r="H885" t="n">
        <v>0</v>
      </c>
      <c r="I885" t="n">
        <v>0</v>
      </c>
      <c r="J885" t="n">
        <v>0</v>
      </c>
      <c r="K885" t="n">
        <v>0</v>
      </c>
      <c r="L885" t="n">
        <v>0</v>
      </c>
      <c r="M885" t="n">
        <v>0</v>
      </c>
      <c r="N885" t="n">
        <v>0</v>
      </c>
      <c r="O885" t="n">
        <v>0</v>
      </c>
      <c r="P885" t="n">
        <v>0</v>
      </c>
      <c r="Q885" t="n">
        <v>0</v>
      </c>
      <c r="R885" s="2" t="inlineStr"/>
    </row>
    <row r="886" ht="15" customHeight="1">
      <c r="A886" t="inlineStr">
        <is>
          <t>A 48469-2018</t>
        </is>
      </c>
      <c r="B886" s="1" t="n">
        <v>43370</v>
      </c>
      <c r="C886" s="1" t="n">
        <v>45204</v>
      </c>
      <c r="D886" t="inlineStr">
        <is>
          <t>VÄSTERBOTTENS LÄN</t>
        </is>
      </c>
      <c r="E886" t="inlineStr">
        <is>
          <t>SKELLEFTEÅ</t>
        </is>
      </c>
      <c r="G886" t="n">
        <v>4.1</v>
      </c>
      <c r="H886" t="n">
        <v>0</v>
      </c>
      <c r="I886" t="n">
        <v>0</v>
      </c>
      <c r="J886" t="n">
        <v>0</v>
      </c>
      <c r="K886" t="n">
        <v>0</v>
      </c>
      <c r="L886" t="n">
        <v>0</v>
      </c>
      <c r="M886" t="n">
        <v>0</v>
      </c>
      <c r="N886" t="n">
        <v>0</v>
      </c>
      <c r="O886" t="n">
        <v>0</v>
      </c>
      <c r="P886" t="n">
        <v>0</v>
      </c>
      <c r="Q886" t="n">
        <v>0</v>
      </c>
      <c r="R886" s="2" t="inlineStr"/>
    </row>
    <row r="887" ht="15" customHeight="1">
      <c r="A887" t="inlineStr">
        <is>
          <t>A 66949-2018</t>
        </is>
      </c>
      <c r="B887" s="1" t="n">
        <v>43370</v>
      </c>
      <c r="C887" s="1" t="n">
        <v>45204</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47503-2018</t>
        </is>
      </c>
      <c r="B888" s="1" t="n">
        <v>43370</v>
      </c>
      <c r="C888" s="1" t="n">
        <v>45204</v>
      </c>
      <c r="D888" t="inlineStr">
        <is>
          <t>VÄSTERBOTTENS LÄN</t>
        </is>
      </c>
      <c r="E888" t="inlineStr">
        <is>
          <t>MALÅ</t>
        </is>
      </c>
      <c r="G888" t="n">
        <v>2.2</v>
      </c>
      <c r="H888" t="n">
        <v>0</v>
      </c>
      <c r="I888" t="n">
        <v>0</v>
      </c>
      <c r="J888" t="n">
        <v>0</v>
      </c>
      <c r="K888" t="n">
        <v>0</v>
      </c>
      <c r="L888" t="n">
        <v>0</v>
      </c>
      <c r="M888" t="n">
        <v>0</v>
      </c>
      <c r="N888" t="n">
        <v>0</v>
      </c>
      <c r="O888" t="n">
        <v>0</v>
      </c>
      <c r="P888" t="n">
        <v>0</v>
      </c>
      <c r="Q888" t="n">
        <v>0</v>
      </c>
      <c r="R888" s="2" t="inlineStr"/>
    </row>
    <row r="889" ht="15" customHeight="1">
      <c r="A889" t="inlineStr">
        <is>
          <t>A 48186-2018</t>
        </is>
      </c>
      <c r="B889" s="1" t="n">
        <v>43370</v>
      </c>
      <c r="C889" s="1" t="n">
        <v>45204</v>
      </c>
      <c r="D889" t="inlineStr">
        <is>
          <t>VÄSTERBOTTENS LÄN</t>
        </is>
      </c>
      <c r="E889" t="inlineStr">
        <is>
          <t>UMEÅ</t>
        </is>
      </c>
      <c r="G889" t="n">
        <v>0.8</v>
      </c>
      <c r="H889" t="n">
        <v>0</v>
      </c>
      <c r="I889" t="n">
        <v>0</v>
      </c>
      <c r="J889" t="n">
        <v>0</v>
      </c>
      <c r="K889" t="n">
        <v>0</v>
      </c>
      <c r="L889" t="n">
        <v>0</v>
      </c>
      <c r="M889" t="n">
        <v>0</v>
      </c>
      <c r="N889" t="n">
        <v>0</v>
      </c>
      <c r="O889" t="n">
        <v>0</v>
      </c>
      <c r="P889" t="n">
        <v>0</v>
      </c>
      <c r="Q889" t="n">
        <v>0</v>
      </c>
      <c r="R889" s="2" t="inlineStr"/>
    </row>
    <row r="890" ht="15" customHeight="1">
      <c r="A890" t="inlineStr">
        <is>
          <t>A 48459-2018</t>
        </is>
      </c>
      <c r="B890" s="1" t="n">
        <v>43370</v>
      </c>
      <c r="C890" s="1" t="n">
        <v>45204</v>
      </c>
      <c r="D890" t="inlineStr">
        <is>
          <t>VÄSTERBOTTENS LÄN</t>
        </is>
      </c>
      <c r="E890" t="inlineStr">
        <is>
          <t>SKELLEFTEÅ</t>
        </is>
      </c>
      <c r="G890" t="n">
        <v>5.5</v>
      </c>
      <c r="H890" t="n">
        <v>0</v>
      </c>
      <c r="I890" t="n">
        <v>0</v>
      </c>
      <c r="J890" t="n">
        <v>0</v>
      </c>
      <c r="K890" t="n">
        <v>0</v>
      </c>
      <c r="L890" t="n">
        <v>0</v>
      </c>
      <c r="M890" t="n">
        <v>0</v>
      </c>
      <c r="N890" t="n">
        <v>0</v>
      </c>
      <c r="O890" t="n">
        <v>0</v>
      </c>
      <c r="P890" t="n">
        <v>0</v>
      </c>
      <c r="Q890" t="n">
        <v>0</v>
      </c>
      <c r="R890" s="2" t="inlineStr"/>
    </row>
    <row r="891" ht="15" customHeight="1">
      <c r="A891" t="inlineStr">
        <is>
          <t>A 50082-2018</t>
        </is>
      </c>
      <c r="B891" s="1" t="n">
        <v>43370</v>
      </c>
      <c r="C891" s="1" t="n">
        <v>45204</v>
      </c>
      <c r="D891" t="inlineStr">
        <is>
          <t>VÄSTERBOTTENS LÄN</t>
        </is>
      </c>
      <c r="E891" t="inlineStr">
        <is>
          <t>VILHELMINA</t>
        </is>
      </c>
      <c r="G891" t="n">
        <v>2.7</v>
      </c>
      <c r="H891" t="n">
        <v>0</v>
      </c>
      <c r="I891" t="n">
        <v>0</v>
      </c>
      <c r="J891" t="n">
        <v>0</v>
      </c>
      <c r="K891" t="n">
        <v>0</v>
      </c>
      <c r="L891" t="n">
        <v>0</v>
      </c>
      <c r="M891" t="n">
        <v>0</v>
      </c>
      <c r="N891" t="n">
        <v>0</v>
      </c>
      <c r="O891" t="n">
        <v>0</v>
      </c>
      <c r="P891" t="n">
        <v>0</v>
      </c>
      <c r="Q891" t="n">
        <v>0</v>
      </c>
      <c r="R891" s="2" t="inlineStr"/>
    </row>
    <row r="892" ht="15" customHeight="1">
      <c r="A892" t="inlineStr">
        <is>
          <t>A 50084-2018</t>
        </is>
      </c>
      <c r="B892" s="1" t="n">
        <v>43370</v>
      </c>
      <c r="C892" s="1" t="n">
        <v>45204</v>
      </c>
      <c r="D892" t="inlineStr">
        <is>
          <t>VÄSTERBOTTENS LÄN</t>
        </is>
      </c>
      <c r="E892" t="inlineStr">
        <is>
          <t>VILHELMINA</t>
        </is>
      </c>
      <c r="G892" t="n">
        <v>0.5</v>
      </c>
      <c r="H892" t="n">
        <v>0</v>
      </c>
      <c r="I892" t="n">
        <v>0</v>
      </c>
      <c r="J892" t="n">
        <v>0</v>
      </c>
      <c r="K892" t="n">
        <v>0</v>
      </c>
      <c r="L892" t="n">
        <v>0</v>
      </c>
      <c r="M892" t="n">
        <v>0</v>
      </c>
      <c r="N892" t="n">
        <v>0</v>
      </c>
      <c r="O892" t="n">
        <v>0</v>
      </c>
      <c r="P892" t="n">
        <v>0</v>
      </c>
      <c r="Q892" t="n">
        <v>0</v>
      </c>
      <c r="R892" s="2" t="inlineStr"/>
    </row>
    <row r="893" ht="15" customHeight="1">
      <c r="A893" t="inlineStr">
        <is>
          <t>A 48024-2018</t>
        </is>
      </c>
      <c r="B893" s="1" t="n">
        <v>43370</v>
      </c>
      <c r="C893" s="1" t="n">
        <v>45204</v>
      </c>
      <c r="D893" t="inlineStr">
        <is>
          <t>VÄSTERBOTTENS LÄN</t>
        </is>
      </c>
      <c r="E893" t="inlineStr">
        <is>
          <t>VILHELMINA</t>
        </is>
      </c>
      <c r="G893" t="n">
        <v>14.1</v>
      </c>
      <c r="H893" t="n">
        <v>0</v>
      </c>
      <c r="I893" t="n">
        <v>0</v>
      </c>
      <c r="J893" t="n">
        <v>0</v>
      </c>
      <c r="K893" t="n">
        <v>0</v>
      </c>
      <c r="L893" t="n">
        <v>0</v>
      </c>
      <c r="M893" t="n">
        <v>0</v>
      </c>
      <c r="N893" t="n">
        <v>0</v>
      </c>
      <c r="O893" t="n">
        <v>0</v>
      </c>
      <c r="P893" t="n">
        <v>0</v>
      </c>
      <c r="Q893" t="n">
        <v>0</v>
      </c>
      <c r="R893" s="2" t="inlineStr"/>
    </row>
    <row r="894" ht="15" customHeight="1">
      <c r="A894" t="inlineStr">
        <is>
          <t>A 48665-2018</t>
        </is>
      </c>
      <c r="B894" s="1" t="n">
        <v>43371</v>
      </c>
      <c r="C894" s="1" t="n">
        <v>45204</v>
      </c>
      <c r="D894" t="inlineStr">
        <is>
          <t>VÄSTERBOTTENS LÄN</t>
        </is>
      </c>
      <c r="E894" t="inlineStr">
        <is>
          <t>ROBERTSFORS</t>
        </is>
      </c>
      <c r="G894" t="n">
        <v>0.8</v>
      </c>
      <c r="H894" t="n">
        <v>0</v>
      </c>
      <c r="I894" t="n">
        <v>0</v>
      </c>
      <c r="J894" t="n">
        <v>0</v>
      </c>
      <c r="K894" t="n">
        <v>0</v>
      </c>
      <c r="L894" t="n">
        <v>0</v>
      </c>
      <c r="M894" t="n">
        <v>0</v>
      </c>
      <c r="N894" t="n">
        <v>0</v>
      </c>
      <c r="O894" t="n">
        <v>0</v>
      </c>
      <c r="P894" t="n">
        <v>0</v>
      </c>
      <c r="Q894" t="n">
        <v>0</v>
      </c>
      <c r="R894" s="2" t="inlineStr"/>
    </row>
    <row r="895" ht="15" customHeight="1">
      <c r="A895" t="inlineStr">
        <is>
          <t>A 48956-2018</t>
        </is>
      </c>
      <c r="B895" s="1" t="n">
        <v>43371</v>
      </c>
      <c r="C895" s="1" t="n">
        <v>45204</v>
      </c>
      <c r="D895" t="inlineStr">
        <is>
          <t>VÄSTERBOTTENS LÄN</t>
        </is>
      </c>
      <c r="E895" t="inlineStr">
        <is>
          <t>SKELLEFTEÅ</t>
        </is>
      </c>
      <c r="G895" t="n">
        <v>1.2</v>
      </c>
      <c r="H895" t="n">
        <v>0</v>
      </c>
      <c r="I895" t="n">
        <v>0</v>
      </c>
      <c r="J895" t="n">
        <v>0</v>
      </c>
      <c r="K895" t="n">
        <v>0</v>
      </c>
      <c r="L895" t="n">
        <v>0</v>
      </c>
      <c r="M895" t="n">
        <v>0</v>
      </c>
      <c r="N895" t="n">
        <v>0</v>
      </c>
      <c r="O895" t="n">
        <v>0</v>
      </c>
      <c r="P895" t="n">
        <v>0</v>
      </c>
      <c r="Q895" t="n">
        <v>0</v>
      </c>
      <c r="R895" s="2" t="inlineStr"/>
    </row>
    <row r="896" ht="15" customHeight="1">
      <c r="A896" t="inlineStr">
        <is>
          <t>A 49418-2018</t>
        </is>
      </c>
      <c r="B896" s="1" t="n">
        <v>43374</v>
      </c>
      <c r="C896" s="1" t="n">
        <v>45204</v>
      </c>
      <c r="D896" t="inlineStr">
        <is>
          <t>VÄSTERBOTTENS LÄN</t>
        </is>
      </c>
      <c r="E896" t="inlineStr">
        <is>
          <t>ÅSELE</t>
        </is>
      </c>
      <c r="G896" t="n">
        <v>5.2</v>
      </c>
      <c r="H896" t="n">
        <v>0</v>
      </c>
      <c r="I896" t="n">
        <v>0</v>
      </c>
      <c r="J896" t="n">
        <v>0</v>
      </c>
      <c r="K896" t="n">
        <v>0</v>
      </c>
      <c r="L896" t="n">
        <v>0</v>
      </c>
      <c r="M896" t="n">
        <v>0</v>
      </c>
      <c r="N896" t="n">
        <v>0</v>
      </c>
      <c r="O896" t="n">
        <v>0</v>
      </c>
      <c r="P896" t="n">
        <v>0</v>
      </c>
      <c r="Q896" t="n">
        <v>0</v>
      </c>
      <c r="R896" s="2" t="inlineStr"/>
    </row>
    <row r="897" ht="15" customHeight="1">
      <c r="A897" t="inlineStr">
        <is>
          <t>A 48590-2018</t>
        </is>
      </c>
      <c r="B897" s="1" t="n">
        <v>43374</v>
      </c>
      <c r="C897" s="1" t="n">
        <v>45204</v>
      </c>
      <c r="D897" t="inlineStr">
        <is>
          <t>VÄSTERBOTTENS LÄN</t>
        </is>
      </c>
      <c r="E897" t="inlineStr">
        <is>
          <t>SKELLEFTEÅ</t>
        </is>
      </c>
      <c r="G897" t="n">
        <v>2.3</v>
      </c>
      <c r="H897" t="n">
        <v>0</v>
      </c>
      <c r="I897" t="n">
        <v>0</v>
      </c>
      <c r="J897" t="n">
        <v>0</v>
      </c>
      <c r="K897" t="n">
        <v>0</v>
      </c>
      <c r="L897" t="n">
        <v>0</v>
      </c>
      <c r="M897" t="n">
        <v>0</v>
      </c>
      <c r="N897" t="n">
        <v>0</v>
      </c>
      <c r="O897" t="n">
        <v>0</v>
      </c>
      <c r="P897" t="n">
        <v>0</v>
      </c>
      <c r="Q897" t="n">
        <v>0</v>
      </c>
      <c r="R897" s="2" t="inlineStr"/>
    </row>
    <row r="898" ht="15" customHeight="1">
      <c r="A898" t="inlineStr">
        <is>
          <t>A 48997-2018</t>
        </is>
      </c>
      <c r="B898" s="1" t="n">
        <v>43374</v>
      </c>
      <c r="C898" s="1" t="n">
        <v>45204</v>
      </c>
      <c r="D898" t="inlineStr">
        <is>
          <t>VÄSTERBOTTENS LÄN</t>
        </is>
      </c>
      <c r="E898" t="inlineStr">
        <is>
          <t>UMEÅ</t>
        </is>
      </c>
      <c r="G898" t="n">
        <v>30.2</v>
      </c>
      <c r="H898" t="n">
        <v>0</v>
      </c>
      <c r="I898" t="n">
        <v>0</v>
      </c>
      <c r="J898" t="n">
        <v>0</v>
      </c>
      <c r="K898" t="n">
        <v>0</v>
      </c>
      <c r="L898" t="n">
        <v>0</v>
      </c>
      <c r="M898" t="n">
        <v>0</v>
      </c>
      <c r="N898" t="n">
        <v>0</v>
      </c>
      <c r="O898" t="n">
        <v>0</v>
      </c>
      <c r="P898" t="n">
        <v>0</v>
      </c>
      <c r="Q898" t="n">
        <v>0</v>
      </c>
      <c r="R898" s="2" t="inlineStr"/>
    </row>
    <row r="899" ht="15" customHeight="1">
      <c r="A899" t="inlineStr">
        <is>
          <t>A 49859-2018</t>
        </is>
      </c>
      <c r="B899" s="1" t="n">
        <v>43375</v>
      </c>
      <c r="C899" s="1" t="n">
        <v>45204</v>
      </c>
      <c r="D899" t="inlineStr">
        <is>
          <t>VÄSTERBOTTENS LÄN</t>
        </is>
      </c>
      <c r="E899" t="inlineStr">
        <is>
          <t>DOROTEA</t>
        </is>
      </c>
      <c r="G899" t="n">
        <v>2.5</v>
      </c>
      <c r="H899" t="n">
        <v>0</v>
      </c>
      <c r="I899" t="n">
        <v>0</v>
      </c>
      <c r="J899" t="n">
        <v>0</v>
      </c>
      <c r="K899" t="n">
        <v>0</v>
      </c>
      <c r="L899" t="n">
        <v>0</v>
      </c>
      <c r="M899" t="n">
        <v>0</v>
      </c>
      <c r="N899" t="n">
        <v>0</v>
      </c>
      <c r="O899" t="n">
        <v>0</v>
      </c>
      <c r="P899" t="n">
        <v>0</v>
      </c>
      <c r="Q899" t="n">
        <v>0</v>
      </c>
      <c r="R899" s="2" t="inlineStr"/>
    </row>
    <row r="900" ht="15" customHeight="1">
      <c r="A900" t="inlineStr">
        <is>
          <t>A 50122-2018</t>
        </is>
      </c>
      <c r="B900" s="1" t="n">
        <v>43375</v>
      </c>
      <c r="C900" s="1" t="n">
        <v>45204</v>
      </c>
      <c r="D900" t="inlineStr">
        <is>
          <t>VÄSTERBOTTENS LÄN</t>
        </is>
      </c>
      <c r="E900" t="inlineStr">
        <is>
          <t>SKELLEFTEÅ</t>
        </is>
      </c>
      <c r="G900" t="n">
        <v>0.5</v>
      </c>
      <c r="H900" t="n">
        <v>0</v>
      </c>
      <c r="I900" t="n">
        <v>0</v>
      </c>
      <c r="J900" t="n">
        <v>0</v>
      </c>
      <c r="K900" t="n">
        <v>0</v>
      </c>
      <c r="L900" t="n">
        <v>0</v>
      </c>
      <c r="M900" t="n">
        <v>0</v>
      </c>
      <c r="N900" t="n">
        <v>0</v>
      </c>
      <c r="O900" t="n">
        <v>0</v>
      </c>
      <c r="P900" t="n">
        <v>0</v>
      </c>
      <c r="Q900" t="n">
        <v>0</v>
      </c>
      <c r="R900" s="2" t="inlineStr"/>
    </row>
    <row r="901" ht="15" customHeight="1">
      <c r="A901" t="inlineStr">
        <is>
          <t>A 49848-2018</t>
        </is>
      </c>
      <c r="B901" s="1" t="n">
        <v>43375</v>
      </c>
      <c r="C901" s="1" t="n">
        <v>45204</v>
      </c>
      <c r="D901" t="inlineStr">
        <is>
          <t>VÄSTERBOTTENS LÄN</t>
        </is>
      </c>
      <c r="E901" t="inlineStr">
        <is>
          <t>DOROTEA</t>
        </is>
      </c>
      <c r="G901" t="n">
        <v>4.9</v>
      </c>
      <c r="H901" t="n">
        <v>0</v>
      </c>
      <c r="I901" t="n">
        <v>0</v>
      </c>
      <c r="J901" t="n">
        <v>0</v>
      </c>
      <c r="K901" t="n">
        <v>0</v>
      </c>
      <c r="L901" t="n">
        <v>0</v>
      </c>
      <c r="M901" t="n">
        <v>0</v>
      </c>
      <c r="N901" t="n">
        <v>0</v>
      </c>
      <c r="O901" t="n">
        <v>0</v>
      </c>
      <c r="P901" t="n">
        <v>0</v>
      </c>
      <c r="Q901" t="n">
        <v>0</v>
      </c>
      <c r="R901" s="2" t="inlineStr"/>
    </row>
    <row r="902" ht="15" customHeight="1">
      <c r="A902" t="inlineStr">
        <is>
          <t>A 48833-2018</t>
        </is>
      </c>
      <c r="B902" s="1" t="n">
        <v>43375</v>
      </c>
      <c r="C902" s="1" t="n">
        <v>45204</v>
      </c>
      <c r="D902" t="inlineStr">
        <is>
          <t>VÄSTERBOTTENS LÄN</t>
        </is>
      </c>
      <c r="E902" t="inlineStr">
        <is>
          <t>NORDMALING</t>
        </is>
      </c>
      <c r="F902" t="inlineStr">
        <is>
          <t>SCA</t>
        </is>
      </c>
      <c r="G902" t="n">
        <v>1.5</v>
      </c>
      <c r="H902" t="n">
        <v>0</v>
      </c>
      <c r="I902" t="n">
        <v>0</v>
      </c>
      <c r="J902" t="n">
        <v>0</v>
      </c>
      <c r="K902" t="n">
        <v>0</v>
      </c>
      <c r="L902" t="n">
        <v>0</v>
      </c>
      <c r="M902" t="n">
        <v>0</v>
      </c>
      <c r="N902" t="n">
        <v>0</v>
      </c>
      <c r="O902" t="n">
        <v>0</v>
      </c>
      <c r="P902" t="n">
        <v>0</v>
      </c>
      <c r="Q902" t="n">
        <v>0</v>
      </c>
      <c r="R902" s="2" t="inlineStr"/>
    </row>
    <row r="903" ht="15" customHeight="1">
      <c r="A903" t="inlineStr">
        <is>
          <t>A 49183-2018</t>
        </is>
      </c>
      <c r="B903" s="1" t="n">
        <v>43375</v>
      </c>
      <c r="C903" s="1" t="n">
        <v>45204</v>
      </c>
      <c r="D903" t="inlineStr">
        <is>
          <t>VÄSTERBOTTENS LÄN</t>
        </is>
      </c>
      <c r="E903" t="inlineStr">
        <is>
          <t>VILHELMINA</t>
        </is>
      </c>
      <c r="F903" t="inlineStr">
        <is>
          <t>SCA</t>
        </is>
      </c>
      <c r="G903" t="n">
        <v>2</v>
      </c>
      <c r="H903" t="n">
        <v>0</v>
      </c>
      <c r="I903" t="n">
        <v>0</v>
      </c>
      <c r="J903" t="n">
        <v>0</v>
      </c>
      <c r="K903" t="n">
        <v>0</v>
      </c>
      <c r="L903" t="n">
        <v>0</v>
      </c>
      <c r="M903" t="n">
        <v>0</v>
      </c>
      <c r="N903" t="n">
        <v>0</v>
      </c>
      <c r="O903" t="n">
        <v>0</v>
      </c>
      <c r="P903" t="n">
        <v>0</v>
      </c>
      <c r="Q903" t="n">
        <v>0</v>
      </c>
      <c r="R903" s="2" t="inlineStr"/>
    </row>
    <row r="904" ht="15" customHeight="1">
      <c r="A904" t="inlineStr">
        <is>
          <t>A 49196-2018</t>
        </is>
      </c>
      <c r="B904" s="1" t="n">
        <v>43375</v>
      </c>
      <c r="C904" s="1" t="n">
        <v>45204</v>
      </c>
      <c r="D904" t="inlineStr">
        <is>
          <t>VÄSTERBOTTENS LÄN</t>
        </is>
      </c>
      <c r="E904" t="inlineStr">
        <is>
          <t>VILHELMINA</t>
        </is>
      </c>
      <c r="F904" t="inlineStr">
        <is>
          <t>SCA</t>
        </is>
      </c>
      <c r="G904" t="n">
        <v>1.8</v>
      </c>
      <c r="H904" t="n">
        <v>0</v>
      </c>
      <c r="I904" t="n">
        <v>0</v>
      </c>
      <c r="J904" t="n">
        <v>0</v>
      </c>
      <c r="K904" t="n">
        <v>0</v>
      </c>
      <c r="L904" t="n">
        <v>0</v>
      </c>
      <c r="M904" t="n">
        <v>0</v>
      </c>
      <c r="N904" t="n">
        <v>0</v>
      </c>
      <c r="O904" t="n">
        <v>0</v>
      </c>
      <c r="P904" t="n">
        <v>0</v>
      </c>
      <c r="Q904" t="n">
        <v>0</v>
      </c>
      <c r="R904" s="2" t="inlineStr"/>
    </row>
    <row r="905" ht="15" customHeight="1">
      <c r="A905" t="inlineStr">
        <is>
          <t>A 49598-2018</t>
        </is>
      </c>
      <c r="B905" s="1" t="n">
        <v>43376</v>
      </c>
      <c r="C905" s="1" t="n">
        <v>45204</v>
      </c>
      <c r="D905" t="inlineStr">
        <is>
          <t>VÄSTERBOTTENS LÄN</t>
        </is>
      </c>
      <c r="E905" t="inlineStr">
        <is>
          <t>SKELLEFTEÅ</t>
        </is>
      </c>
      <c r="G905" t="n">
        <v>4.5</v>
      </c>
      <c r="H905" t="n">
        <v>0</v>
      </c>
      <c r="I905" t="n">
        <v>0</v>
      </c>
      <c r="J905" t="n">
        <v>0</v>
      </c>
      <c r="K905" t="n">
        <v>0</v>
      </c>
      <c r="L905" t="n">
        <v>0</v>
      </c>
      <c r="M905" t="n">
        <v>0</v>
      </c>
      <c r="N905" t="n">
        <v>0</v>
      </c>
      <c r="O905" t="n">
        <v>0</v>
      </c>
      <c r="P905" t="n">
        <v>0</v>
      </c>
      <c r="Q905" t="n">
        <v>0</v>
      </c>
      <c r="R905" s="2" t="inlineStr"/>
    </row>
    <row r="906" ht="15" customHeight="1">
      <c r="A906" t="inlineStr">
        <is>
          <t>A 50020-2018</t>
        </is>
      </c>
      <c r="B906" s="1" t="n">
        <v>43377</v>
      </c>
      <c r="C906" s="1" t="n">
        <v>45204</v>
      </c>
      <c r="D906" t="inlineStr">
        <is>
          <t>VÄSTERBOTTENS LÄN</t>
        </is>
      </c>
      <c r="E906" t="inlineStr">
        <is>
          <t>VILHELMINA</t>
        </is>
      </c>
      <c r="F906" t="inlineStr">
        <is>
          <t>SCA</t>
        </is>
      </c>
      <c r="G906" t="n">
        <v>2.6</v>
      </c>
      <c r="H906" t="n">
        <v>0</v>
      </c>
      <c r="I906" t="n">
        <v>0</v>
      </c>
      <c r="J906" t="n">
        <v>0</v>
      </c>
      <c r="K906" t="n">
        <v>0</v>
      </c>
      <c r="L906" t="n">
        <v>0</v>
      </c>
      <c r="M906" t="n">
        <v>0</v>
      </c>
      <c r="N906" t="n">
        <v>0</v>
      </c>
      <c r="O906" t="n">
        <v>0</v>
      </c>
      <c r="P906" t="n">
        <v>0</v>
      </c>
      <c r="Q906" t="n">
        <v>0</v>
      </c>
      <c r="R906" s="2" t="inlineStr"/>
    </row>
    <row r="907" ht="15" customHeight="1">
      <c r="A907" t="inlineStr">
        <is>
          <t>A 51124-2018</t>
        </is>
      </c>
      <c r="B907" s="1" t="n">
        <v>43377</v>
      </c>
      <c r="C907" s="1" t="n">
        <v>45204</v>
      </c>
      <c r="D907" t="inlineStr">
        <is>
          <t>VÄSTERBOTTENS LÄN</t>
        </is>
      </c>
      <c r="E907" t="inlineStr">
        <is>
          <t>ROBERTSFORS</t>
        </is>
      </c>
      <c r="G907" t="n">
        <v>0.9</v>
      </c>
      <c r="H907" t="n">
        <v>0</v>
      </c>
      <c r="I907" t="n">
        <v>0</v>
      </c>
      <c r="J907" t="n">
        <v>0</v>
      </c>
      <c r="K907" t="n">
        <v>0</v>
      </c>
      <c r="L907" t="n">
        <v>0</v>
      </c>
      <c r="M907" t="n">
        <v>0</v>
      </c>
      <c r="N907" t="n">
        <v>0</v>
      </c>
      <c r="O907" t="n">
        <v>0</v>
      </c>
      <c r="P907" t="n">
        <v>0</v>
      </c>
      <c r="Q907" t="n">
        <v>0</v>
      </c>
      <c r="R907" s="2" t="inlineStr"/>
    </row>
    <row r="908" ht="15" customHeight="1">
      <c r="A908" t="inlineStr">
        <is>
          <t>A 49996-2018</t>
        </is>
      </c>
      <c r="B908" s="1" t="n">
        <v>43377</v>
      </c>
      <c r="C908" s="1" t="n">
        <v>45204</v>
      </c>
      <c r="D908" t="inlineStr">
        <is>
          <t>VÄSTERBOTTENS LÄN</t>
        </is>
      </c>
      <c r="E908" t="inlineStr">
        <is>
          <t>VILHELMINA</t>
        </is>
      </c>
      <c r="G908" t="n">
        <v>3.2</v>
      </c>
      <c r="H908" t="n">
        <v>0</v>
      </c>
      <c r="I908" t="n">
        <v>0</v>
      </c>
      <c r="J908" t="n">
        <v>0</v>
      </c>
      <c r="K908" t="n">
        <v>0</v>
      </c>
      <c r="L908" t="n">
        <v>0</v>
      </c>
      <c r="M908" t="n">
        <v>0</v>
      </c>
      <c r="N908" t="n">
        <v>0</v>
      </c>
      <c r="O908" t="n">
        <v>0</v>
      </c>
      <c r="P908" t="n">
        <v>0</v>
      </c>
      <c r="Q908" t="n">
        <v>0</v>
      </c>
      <c r="R908" s="2" t="inlineStr"/>
    </row>
    <row r="909" ht="15" customHeight="1">
      <c r="A909" t="inlineStr">
        <is>
          <t>A 50000-2018</t>
        </is>
      </c>
      <c r="B909" s="1" t="n">
        <v>43377</v>
      </c>
      <c r="C909" s="1" t="n">
        <v>45204</v>
      </c>
      <c r="D909" t="inlineStr">
        <is>
          <t>VÄSTERBOTTENS LÄN</t>
        </is>
      </c>
      <c r="E909" t="inlineStr">
        <is>
          <t>VILHELMINA</t>
        </is>
      </c>
      <c r="G909" t="n">
        <v>4.1</v>
      </c>
      <c r="H909" t="n">
        <v>0</v>
      </c>
      <c r="I909" t="n">
        <v>0</v>
      </c>
      <c r="J909" t="n">
        <v>0</v>
      </c>
      <c r="K909" t="n">
        <v>0</v>
      </c>
      <c r="L909" t="n">
        <v>0</v>
      </c>
      <c r="M909" t="n">
        <v>0</v>
      </c>
      <c r="N909" t="n">
        <v>0</v>
      </c>
      <c r="O909" t="n">
        <v>0</v>
      </c>
      <c r="P909" t="n">
        <v>0</v>
      </c>
      <c r="Q909" t="n">
        <v>0</v>
      </c>
      <c r="R909" s="2" t="inlineStr"/>
    </row>
    <row r="910" ht="15" customHeight="1">
      <c r="A910" t="inlineStr">
        <is>
          <t>A 50023-2018</t>
        </is>
      </c>
      <c r="B910" s="1" t="n">
        <v>43377</v>
      </c>
      <c r="C910" s="1" t="n">
        <v>45204</v>
      </c>
      <c r="D910" t="inlineStr">
        <is>
          <t>VÄSTERBOTTENS LÄN</t>
        </is>
      </c>
      <c r="E910" t="inlineStr">
        <is>
          <t>VILHELMINA</t>
        </is>
      </c>
      <c r="G910" t="n">
        <v>6</v>
      </c>
      <c r="H910" t="n">
        <v>0</v>
      </c>
      <c r="I910" t="n">
        <v>0</v>
      </c>
      <c r="J910" t="n">
        <v>0</v>
      </c>
      <c r="K910" t="n">
        <v>0</v>
      </c>
      <c r="L910" t="n">
        <v>0</v>
      </c>
      <c r="M910" t="n">
        <v>0</v>
      </c>
      <c r="N910" t="n">
        <v>0</v>
      </c>
      <c r="O910" t="n">
        <v>0</v>
      </c>
      <c r="P910" t="n">
        <v>0</v>
      </c>
      <c r="Q910" t="n">
        <v>0</v>
      </c>
      <c r="R910" s="2" t="inlineStr"/>
    </row>
    <row r="911" ht="15" customHeight="1">
      <c r="A911" t="inlineStr">
        <is>
          <t>A 50007-2018</t>
        </is>
      </c>
      <c r="B911" s="1" t="n">
        <v>43377</v>
      </c>
      <c r="C911" s="1" t="n">
        <v>45204</v>
      </c>
      <c r="D911" t="inlineStr">
        <is>
          <t>VÄSTERBOTTENS LÄN</t>
        </is>
      </c>
      <c r="E911" t="inlineStr">
        <is>
          <t>VILHELMINA</t>
        </is>
      </c>
      <c r="F911" t="inlineStr">
        <is>
          <t>SCA</t>
        </is>
      </c>
      <c r="G911" t="n">
        <v>5.3</v>
      </c>
      <c r="H911" t="n">
        <v>0</v>
      </c>
      <c r="I911" t="n">
        <v>0</v>
      </c>
      <c r="J911" t="n">
        <v>0</v>
      </c>
      <c r="K911" t="n">
        <v>0</v>
      </c>
      <c r="L911" t="n">
        <v>0</v>
      </c>
      <c r="M911" t="n">
        <v>0</v>
      </c>
      <c r="N911" t="n">
        <v>0</v>
      </c>
      <c r="O911" t="n">
        <v>0</v>
      </c>
      <c r="P911" t="n">
        <v>0</v>
      </c>
      <c r="Q911" t="n">
        <v>0</v>
      </c>
      <c r="R911" s="2" t="inlineStr"/>
    </row>
    <row r="912" ht="15" customHeight="1">
      <c r="A912" t="inlineStr">
        <is>
          <t>A 50028-2018</t>
        </is>
      </c>
      <c r="B912" s="1" t="n">
        <v>43377</v>
      </c>
      <c r="C912" s="1" t="n">
        <v>45204</v>
      </c>
      <c r="D912" t="inlineStr">
        <is>
          <t>VÄSTERBOTTENS LÄN</t>
        </is>
      </c>
      <c r="E912" t="inlineStr">
        <is>
          <t>VILHELMINA</t>
        </is>
      </c>
      <c r="G912" t="n">
        <v>14.5</v>
      </c>
      <c r="H912" t="n">
        <v>0</v>
      </c>
      <c r="I912" t="n">
        <v>0</v>
      </c>
      <c r="J912" t="n">
        <v>0</v>
      </c>
      <c r="K912" t="n">
        <v>0</v>
      </c>
      <c r="L912" t="n">
        <v>0</v>
      </c>
      <c r="M912" t="n">
        <v>0</v>
      </c>
      <c r="N912" t="n">
        <v>0</v>
      </c>
      <c r="O912" t="n">
        <v>0</v>
      </c>
      <c r="P912" t="n">
        <v>0</v>
      </c>
      <c r="Q912" t="n">
        <v>0</v>
      </c>
      <c r="R912" s="2" t="inlineStr"/>
    </row>
    <row r="913" ht="15" customHeight="1">
      <c r="A913" t="inlineStr">
        <is>
          <t>A 50276-2018</t>
        </is>
      </c>
      <c r="B913" s="1" t="n">
        <v>43378</v>
      </c>
      <c r="C913" s="1" t="n">
        <v>45204</v>
      </c>
      <c r="D913" t="inlineStr">
        <is>
          <t>VÄSTERBOTTENS LÄN</t>
        </is>
      </c>
      <c r="E913" t="inlineStr">
        <is>
          <t>LYCKSELE</t>
        </is>
      </c>
      <c r="F913" t="inlineStr">
        <is>
          <t>Holmen skog AB</t>
        </is>
      </c>
      <c r="G913" t="n">
        <v>2.9</v>
      </c>
      <c r="H913" t="n">
        <v>0</v>
      </c>
      <c r="I913" t="n">
        <v>0</v>
      </c>
      <c r="J913" t="n">
        <v>0</v>
      </c>
      <c r="K913" t="n">
        <v>0</v>
      </c>
      <c r="L913" t="n">
        <v>0</v>
      </c>
      <c r="M913" t="n">
        <v>0</v>
      </c>
      <c r="N913" t="n">
        <v>0</v>
      </c>
      <c r="O913" t="n">
        <v>0</v>
      </c>
      <c r="P913" t="n">
        <v>0</v>
      </c>
      <c r="Q913" t="n">
        <v>0</v>
      </c>
      <c r="R913" s="2" t="inlineStr"/>
    </row>
    <row r="914" ht="15" customHeight="1">
      <c r="A914" t="inlineStr">
        <is>
          <t>A 51599-2018</t>
        </is>
      </c>
      <c r="B914" s="1" t="n">
        <v>43378</v>
      </c>
      <c r="C914" s="1" t="n">
        <v>45204</v>
      </c>
      <c r="D914" t="inlineStr">
        <is>
          <t>VÄSTERBOTTENS LÄN</t>
        </is>
      </c>
      <c r="E914" t="inlineStr">
        <is>
          <t>SKELLEFTEÅ</t>
        </is>
      </c>
      <c r="G914" t="n">
        <v>1.4</v>
      </c>
      <c r="H914" t="n">
        <v>0</v>
      </c>
      <c r="I914" t="n">
        <v>0</v>
      </c>
      <c r="J914" t="n">
        <v>0</v>
      </c>
      <c r="K914" t="n">
        <v>0</v>
      </c>
      <c r="L914" t="n">
        <v>0</v>
      </c>
      <c r="M914" t="n">
        <v>0</v>
      </c>
      <c r="N914" t="n">
        <v>0</v>
      </c>
      <c r="O914" t="n">
        <v>0</v>
      </c>
      <c r="P914" t="n">
        <v>0</v>
      </c>
      <c r="Q914" t="n">
        <v>0</v>
      </c>
      <c r="R914" s="2" t="inlineStr"/>
    </row>
    <row r="915" ht="15" customHeight="1">
      <c r="A915" t="inlineStr">
        <is>
          <t>A 51391-2018</t>
        </is>
      </c>
      <c r="B915" s="1" t="n">
        <v>43378</v>
      </c>
      <c r="C915" s="1" t="n">
        <v>45204</v>
      </c>
      <c r="D915" t="inlineStr">
        <is>
          <t>VÄSTERBOTTENS LÄN</t>
        </is>
      </c>
      <c r="E915" t="inlineStr">
        <is>
          <t>BJURHOLM</t>
        </is>
      </c>
      <c r="G915" t="n">
        <v>1.1</v>
      </c>
      <c r="H915" t="n">
        <v>0</v>
      </c>
      <c r="I915" t="n">
        <v>0</v>
      </c>
      <c r="J915" t="n">
        <v>0</v>
      </c>
      <c r="K915" t="n">
        <v>0</v>
      </c>
      <c r="L915" t="n">
        <v>0</v>
      </c>
      <c r="M915" t="n">
        <v>0</v>
      </c>
      <c r="N915" t="n">
        <v>0</v>
      </c>
      <c r="O915" t="n">
        <v>0</v>
      </c>
      <c r="P915" t="n">
        <v>0</v>
      </c>
      <c r="Q915" t="n">
        <v>0</v>
      </c>
      <c r="R915" s="2" t="inlineStr"/>
    </row>
    <row r="916" ht="15" customHeight="1">
      <c r="A916" t="inlineStr">
        <is>
          <t>A 51386-2018</t>
        </is>
      </c>
      <c r="B916" s="1" t="n">
        <v>43381</v>
      </c>
      <c r="C916" s="1" t="n">
        <v>45204</v>
      </c>
      <c r="D916" t="inlineStr">
        <is>
          <t>VÄSTERBOTTENS LÄN</t>
        </is>
      </c>
      <c r="E916" t="inlineStr">
        <is>
          <t>SKELLEFTEÅ</t>
        </is>
      </c>
      <c r="G916" t="n">
        <v>2.6</v>
      </c>
      <c r="H916" t="n">
        <v>0</v>
      </c>
      <c r="I916" t="n">
        <v>0</v>
      </c>
      <c r="J916" t="n">
        <v>0</v>
      </c>
      <c r="K916" t="n">
        <v>0</v>
      </c>
      <c r="L916" t="n">
        <v>0</v>
      </c>
      <c r="M916" t="n">
        <v>0</v>
      </c>
      <c r="N916" t="n">
        <v>0</v>
      </c>
      <c r="O916" t="n">
        <v>0</v>
      </c>
      <c r="P916" t="n">
        <v>0</v>
      </c>
      <c r="Q916" t="n">
        <v>0</v>
      </c>
      <c r="R916" s="2" t="inlineStr"/>
    </row>
    <row r="917" ht="15" customHeight="1">
      <c r="A917" t="inlineStr">
        <is>
          <t>A 51667-2018</t>
        </is>
      </c>
      <c r="B917" s="1" t="n">
        <v>43381</v>
      </c>
      <c r="C917" s="1" t="n">
        <v>45204</v>
      </c>
      <c r="D917" t="inlineStr">
        <is>
          <t>VÄSTERBOTTENS LÄN</t>
        </is>
      </c>
      <c r="E917" t="inlineStr">
        <is>
          <t>SKELLEFTEÅ</t>
        </is>
      </c>
      <c r="G917" t="n">
        <v>5.2</v>
      </c>
      <c r="H917" t="n">
        <v>0</v>
      </c>
      <c r="I917" t="n">
        <v>0</v>
      </c>
      <c r="J917" t="n">
        <v>0</v>
      </c>
      <c r="K917" t="n">
        <v>0</v>
      </c>
      <c r="L917" t="n">
        <v>0</v>
      </c>
      <c r="M917" t="n">
        <v>0</v>
      </c>
      <c r="N917" t="n">
        <v>0</v>
      </c>
      <c r="O917" t="n">
        <v>0</v>
      </c>
      <c r="P917" t="n">
        <v>0</v>
      </c>
      <c r="Q917" t="n">
        <v>0</v>
      </c>
      <c r="R917" s="2" t="inlineStr"/>
    </row>
    <row r="918" ht="15" customHeight="1">
      <c r="A918" t="inlineStr">
        <is>
          <t>A 51649-2018</t>
        </is>
      </c>
      <c r="B918" s="1" t="n">
        <v>43381</v>
      </c>
      <c r="C918" s="1" t="n">
        <v>45204</v>
      </c>
      <c r="D918" t="inlineStr">
        <is>
          <t>VÄSTERBOTTENS LÄN</t>
        </is>
      </c>
      <c r="E918" t="inlineStr">
        <is>
          <t>VINDELN</t>
        </is>
      </c>
      <c r="G918" t="n">
        <v>0.7</v>
      </c>
      <c r="H918" t="n">
        <v>0</v>
      </c>
      <c r="I918" t="n">
        <v>0</v>
      </c>
      <c r="J918" t="n">
        <v>0</v>
      </c>
      <c r="K918" t="n">
        <v>0</v>
      </c>
      <c r="L918" t="n">
        <v>0</v>
      </c>
      <c r="M918" t="n">
        <v>0</v>
      </c>
      <c r="N918" t="n">
        <v>0</v>
      </c>
      <c r="O918" t="n">
        <v>0</v>
      </c>
      <c r="P918" t="n">
        <v>0</v>
      </c>
      <c r="Q918" t="n">
        <v>0</v>
      </c>
      <c r="R918" s="2" t="inlineStr"/>
    </row>
    <row r="919" ht="15" customHeight="1">
      <c r="A919" t="inlineStr">
        <is>
          <t>A 51689-2018</t>
        </is>
      </c>
      <c r="B919" s="1" t="n">
        <v>43381</v>
      </c>
      <c r="C919" s="1" t="n">
        <v>45204</v>
      </c>
      <c r="D919" t="inlineStr">
        <is>
          <t>VÄSTERBOTTENS LÄN</t>
        </is>
      </c>
      <c r="E919" t="inlineStr">
        <is>
          <t>SKELLEFTEÅ</t>
        </is>
      </c>
      <c r="G919" t="n">
        <v>1.9</v>
      </c>
      <c r="H919" t="n">
        <v>0</v>
      </c>
      <c r="I919" t="n">
        <v>0</v>
      </c>
      <c r="J919" t="n">
        <v>0</v>
      </c>
      <c r="K919" t="n">
        <v>0</v>
      </c>
      <c r="L919" t="n">
        <v>0</v>
      </c>
      <c r="M919" t="n">
        <v>0</v>
      </c>
      <c r="N919" t="n">
        <v>0</v>
      </c>
      <c r="O919" t="n">
        <v>0</v>
      </c>
      <c r="P919" t="n">
        <v>0</v>
      </c>
      <c r="Q919" t="n">
        <v>0</v>
      </c>
      <c r="R919" s="2" t="inlineStr"/>
    </row>
    <row r="920" ht="15" customHeight="1">
      <c r="A920" t="inlineStr">
        <is>
          <t>A 51480-2018</t>
        </is>
      </c>
      <c r="B920" s="1" t="n">
        <v>43381</v>
      </c>
      <c r="C920" s="1" t="n">
        <v>45204</v>
      </c>
      <c r="D920" t="inlineStr">
        <is>
          <t>VÄSTERBOTTENS LÄN</t>
        </is>
      </c>
      <c r="E920" t="inlineStr">
        <is>
          <t>MALÅ</t>
        </is>
      </c>
      <c r="G920" t="n">
        <v>0.3</v>
      </c>
      <c r="H920" t="n">
        <v>0</v>
      </c>
      <c r="I920" t="n">
        <v>0</v>
      </c>
      <c r="J920" t="n">
        <v>0</v>
      </c>
      <c r="K920" t="n">
        <v>0</v>
      </c>
      <c r="L920" t="n">
        <v>0</v>
      </c>
      <c r="M920" t="n">
        <v>0</v>
      </c>
      <c r="N920" t="n">
        <v>0</v>
      </c>
      <c r="O920" t="n">
        <v>0</v>
      </c>
      <c r="P920" t="n">
        <v>0</v>
      </c>
      <c r="Q920" t="n">
        <v>0</v>
      </c>
      <c r="R920" s="2" t="inlineStr"/>
    </row>
    <row r="921" ht="15" customHeight="1">
      <c r="A921" t="inlineStr">
        <is>
          <t>A 51983-2018</t>
        </is>
      </c>
      <c r="B921" s="1" t="n">
        <v>43382</v>
      </c>
      <c r="C921" s="1" t="n">
        <v>45204</v>
      </c>
      <c r="D921" t="inlineStr">
        <is>
          <t>VÄSTERBOTTENS LÄN</t>
        </is>
      </c>
      <c r="E921" t="inlineStr">
        <is>
          <t>SKELLEFTEÅ</t>
        </is>
      </c>
      <c r="G921" t="n">
        <v>1.4</v>
      </c>
      <c r="H921" t="n">
        <v>0</v>
      </c>
      <c r="I921" t="n">
        <v>0</v>
      </c>
      <c r="J921" t="n">
        <v>0</v>
      </c>
      <c r="K921" t="n">
        <v>0</v>
      </c>
      <c r="L921" t="n">
        <v>0</v>
      </c>
      <c r="M921" t="n">
        <v>0</v>
      </c>
      <c r="N921" t="n">
        <v>0</v>
      </c>
      <c r="O921" t="n">
        <v>0</v>
      </c>
      <c r="P921" t="n">
        <v>0</v>
      </c>
      <c r="Q921" t="n">
        <v>0</v>
      </c>
      <c r="R921" s="2" t="inlineStr"/>
    </row>
    <row r="922" ht="15" customHeight="1">
      <c r="A922" t="inlineStr">
        <is>
          <t>A 52361-2018</t>
        </is>
      </c>
      <c r="B922" s="1" t="n">
        <v>43382</v>
      </c>
      <c r="C922" s="1" t="n">
        <v>45204</v>
      </c>
      <c r="D922" t="inlineStr">
        <is>
          <t>VÄSTERBOTTENS LÄN</t>
        </is>
      </c>
      <c r="E922" t="inlineStr">
        <is>
          <t>LYCKSELE</t>
        </is>
      </c>
      <c r="G922" t="n">
        <v>14.2</v>
      </c>
      <c r="H922" t="n">
        <v>0</v>
      </c>
      <c r="I922" t="n">
        <v>0</v>
      </c>
      <c r="J922" t="n">
        <v>0</v>
      </c>
      <c r="K922" t="n">
        <v>0</v>
      </c>
      <c r="L922" t="n">
        <v>0</v>
      </c>
      <c r="M922" t="n">
        <v>0</v>
      </c>
      <c r="N922" t="n">
        <v>0</v>
      </c>
      <c r="O922" t="n">
        <v>0</v>
      </c>
      <c r="P922" t="n">
        <v>0</v>
      </c>
      <c r="Q922" t="n">
        <v>0</v>
      </c>
      <c r="R922" s="2" t="inlineStr"/>
    </row>
    <row r="923" ht="15" customHeight="1">
      <c r="A923" t="inlineStr">
        <is>
          <t>A 51552-2018</t>
        </is>
      </c>
      <c r="B923" s="1" t="n">
        <v>43383</v>
      </c>
      <c r="C923" s="1" t="n">
        <v>45204</v>
      </c>
      <c r="D923" t="inlineStr">
        <is>
          <t>VÄSTERBOTTENS LÄN</t>
        </is>
      </c>
      <c r="E923" t="inlineStr">
        <is>
          <t>SKELLEFTEÅ</t>
        </is>
      </c>
      <c r="G923" t="n">
        <v>11.4</v>
      </c>
      <c r="H923" t="n">
        <v>0</v>
      </c>
      <c r="I923" t="n">
        <v>0</v>
      </c>
      <c r="J923" t="n">
        <v>0</v>
      </c>
      <c r="K923" t="n">
        <v>0</v>
      </c>
      <c r="L923" t="n">
        <v>0</v>
      </c>
      <c r="M923" t="n">
        <v>0</v>
      </c>
      <c r="N923" t="n">
        <v>0</v>
      </c>
      <c r="O923" t="n">
        <v>0</v>
      </c>
      <c r="P923" t="n">
        <v>0</v>
      </c>
      <c r="Q923" t="n">
        <v>0</v>
      </c>
      <c r="R923" s="2" t="inlineStr"/>
    </row>
    <row r="924" ht="15" customHeight="1">
      <c r="A924" t="inlineStr">
        <is>
          <t>A 51854-2018</t>
        </is>
      </c>
      <c r="B924" s="1" t="n">
        <v>43384</v>
      </c>
      <c r="C924" s="1" t="n">
        <v>45204</v>
      </c>
      <c r="D924" t="inlineStr">
        <is>
          <t>VÄSTERBOTTENS LÄN</t>
        </is>
      </c>
      <c r="E924" t="inlineStr">
        <is>
          <t>VILHELMINA</t>
        </is>
      </c>
      <c r="F924" t="inlineStr">
        <is>
          <t>SCA</t>
        </is>
      </c>
      <c r="G924" t="n">
        <v>8.5</v>
      </c>
      <c r="H924" t="n">
        <v>0</v>
      </c>
      <c r="I924" t="n">
        <v>0</v>
      </c>
      <c r="J924" t="n">
        <v>0</v>
      </c>
      <c r="K924" t="n">
        <v>0</v>
      </c>
      <c r="L924" t="n">
        <v>0</v>
      </c>
      <c r="M924" t="n">
        <v>0</v>
      </c>
      <c r="N924" t="n">
        <v>0</v>
      </c>
      <c r="O924" t="n">
        <v>0</v>
      </c>
      <c r="P924" t="n">
        <v>0</v>
      </c>
      <c r="Q924" t="n">
        <v>0</v>
      </c>
      <c r="R924" s="2" t="inlineStr"/>
    </row>
    <row r="925" ht="15" customHeight="1">
      <c r="A925" t="inlineStr">
        <is>
          <t>A 52858-2018</t>
        </is>
      </c>
      <c r="B925" s="1" t="n">
        <v>43384</v>
      </c>
      <c r="C925" s="1" t="n">
        <v>45204</v>
      </c>
      <c r="D925" t="inlineStr">
        <is>
          <t>VÄSTERBOTTENS LÄN</t>
        </is>
      </c>
      <c r="E925" t="inlineStr">
        <is>
          <t>UMEÅ</t>
        </is>
      </c>
      <c r="G925" t="n">
        <v>4.6</v>
      </c>
      <c r="H925" t="n">
        <v>0</v>
      </c>
      <c r="I925" t="n">
        <v>0</v>
      </c>
      <c r="J925" t="n">
        <v>0</v>
      </c>
      <c r="K925" t="n">
        <v>0</v>
      </c>
      <c r="L925" t="n">
        <v>0</v>
      </c>
      <c r="M925" t="n">
        <v>0</v>
      </c>
      <c r="N925" t="n">
        <v>0</v>
      </c>
      <c r="O925" t="n">
        <v>0</v>
      </c>
      <c r="P925" t="n">
        <v>0</v>
      </c>
      <c r="Q925" t="n">
        <v>0</v>
      </c>
      <c r="R925" s="2" t="inlineStr"/>
    </row>
    <row r="926" ht="15" customHeight="1">
      <c r="A926" t="inlineStr">
        <is>
          <t>A 52872-2018</t>
        </is>
      </c>
      <c r="B926" s="1" t="n">
        <v>43384</v>
      </c>
      <c r="C926" s="1" t="n">
        <v>45204</v>
      </c>
      <c r="D926" t="inlineStr">
        <is>
          <t>VÄSTERBOTTENS LÄN</t>
        </is>
      </c>
      <c r="E926" t="inlineStr">
        <is>
          <t>UMEÅ</t>
        </is>
      </c>
      <c r="G926" t="n">
        <v>0.4</v>
      </c>
      <c r="H926" t="n">
        <v>0</v>
      </c>
      <c r="I926" t="n">
        <v>0</v>
      </c>
      <c r="J926" t="n">
        <v>0</v>
      </c>
      <c r="K926" t="n">
        <v>0</v>
      </c>
      <c r="L926" t="n">
        <v>0</v>
      </c>
      <c r="M926" t="n">
        <v>0</v>
      </c>
      <c r="N926" t="n">
        <v>0</v>
      </c>
      <c r="O926" t="n">
        <v>0</v>
      </c>
      <c r="P926" t="n">
        <v>0</v>
      </c>
      <c r="Q926" t="n">
        <v>0</v>
      </c>
      <c r="R926" s="2" t="inlineStr"/>
    </row>
    <row r="927" ht="15" customHeight="1">
      <c r="A927" t="inlineStr">
        <is>
          <t>A 51852-2018</t>
        </is>
      </c>
      <c r="B927" s="1" t="n">
        <v>43384</v>
      </c>
      <c r="C927" s="1" t="n">
        <v>45204</v>
      </c>
      <c r="D927" t="inlineStr">
        <is>
          <t>VÄSTERBOTTENS LÄN</t>
        </is>
      </c>
      <c r="E927" t="inlineStr">
        <is>
          <t>VILHELMINA</t>
        </is>
      </c>
      <c r="F927" t="inlineStr">
        <is>
          <t>SCA</t>
        </is>
      </c>
      <c r="G927" t="n">
        <v>7</v>
      </c>
      <c r="H927" t="n">
        <v>0</v>
      </c>
      <c r="I927" t="n">
        <v>0</v>
      </c>
      <c r="J927" t="n">
        <v>0</v>
      </c>
      <c r="K927" t="n">
        <v>0</v>
      </c>
      <c r="L927" t="n">
        <v>0</v>
      </c>
      <c r="M927" t="n">
        <v>0</v>
      </c>
      <c r="N927" t="n">
        <v>0</v>
      </c>
      <c r="O927" t="n">
        <v>0</v>
      </c>
      <c r="P927" t="n">
        <v>0</v>
      </c>
      <c r="Q927" t="n">
        <v>0</v>
      </c>
      <c r="R927" s="2" t="inlineStr"/>
    </row>
    <row r="928" ht="15" customHeight="1">
      <c r="A928" t="inlineStr">
        <is>
          <t>A 53218-2018</t>
        </is>
      </c>
      <c r="B928" s="1" t="n">
        <v>43384</v>
      </c>
      <c r="C928" s="1" t="n">
        <v>45204</v>
      </c>
      <c r="D928" t="inlineStr">
        <is>
          <t>VÄSTERBOTTENS LÄN</t>
        </is>
      </c>
      <c r="E928" t="inlineStr">
        <is>
          <t>DOROTEA</t>
        </is>
      </c>
      <c r="G928" t="n">
        <v>4.6</v>
      </c>
      <c r="H928" t="n">
        <v>0</v>
      </c>
      <c r="I928" t="n">
        <v>0</v>
      </c>
      <c r="J928" t="n">
        <v>0</v>
      </c>
      <c r="K928" t="n">
        <v>0</v>
      </c>
      <c r="L928" t="n">
        <v>0</v>
      </c>
      <c r="M928" t="n">
        <v>0</v>
      </c>
      <c r="N928" t="n">
        <v>0</v>
      </c>
      <c r="O928" t="n">
        <v>0</v>
      </c>
      <c r="P928" t="n">
        <v>0</v>
      </c>
      <c r="Q928" t="n">
        <v>0</v>
      </c>
      <c r="R928" s="2" t="inlineStr"/>
    </row>
    <row r="929" ht="15" customHeight="1">
      <c r="A929" t="inlineStr">
        <is>
          <t>A 51926-2018</t>
        </is>
      </c>
      <c r="B929" s="1" t="n">
        <v>43385</v>
      </c>
      <c r="C929" s="1" t="n">
        <v>45204</v>
      </c>
      <c r="D929" t="inlineStr">
        <is>
          <t>VÄSTERBOTTENS LÄN</t>
        </is>
      </c>
      <c r="E929" t="inlineStr">
        <is>
          <t>ROBERTSFORS</t>
        </is>
      </c>
      <c r="G929" t="n">
        <v>0.5</v>
      </c>
      <c r="H929" t="n">
        <v>0</v>
      </c>
      <c r="I929" t="n">
        <v>0</v>
      </c>
      <c r="J929" t="n">
        <v>0</v>
      </c>
      <c r="K929" t="n">
        <v>0</v>
      </c>
      <c r="L929" t="n">
        <v>0</v>
      </c>
      <c r="M929" t="n">
        <v>0</v>
      </c>
      <c r="N929" t="n">
        <v>0</v>
      </c>
      <c r="O929" t="n">
        <v>0</v>
      </c>
      <c r="P929" t="n">
        <v>0</v>
      </c>
      <c r="Q929" t="n">
        <v>0</v>
      </c>
      <c r="R929" s="2" t="inlineStr"/>
    </row>
    <row r="930" ht="15" customHeight="1">
      <c r="A930" t="inlineStr">
        <is>
          <t>A 53463-2018</t>
        </is>
      </c>
      <c r="B930" s="1" t="n">
        <v>43385</v>
      </c>
      <c r="C930" s="1" t="n">
        <v>45204</v>
      </c>
      <c r="D930" t="inlineStr">
        <is>
          <t>VÄSTERBOTTENS LÄN</t>
        </is>
      </c>
      <c r="E930" t="inlineStr">
        <is>
          <t>STORUMAN</t>
        </is>
      </c>
      <c r="G930" t="n">
        <v>26.5</v>
      </c>
      <c r="H930" t="n">
        <v>0</v>
      </c>
      <c r="I930" t="n">
        <v>0</v>
      </c>
      <c r="J930" t="n">
        <v>0</v>
      </c>
      <c r="K930" t="n">
        <v>0</v>
      </c>
      <c r="L930" t="n">
        <v>0</v>
      </c>
      <c r="M930" t="n">
        <v>0</v>
      </c>
      <c r="N930" t="n">
        <v>0</v>
      </c>
      <c r="O930" t="n">
        <v>0</v>
      </c>
      <c r="P930" t="n">
        <v>0</v>
      </c>
      <c r="Q930" t="n">
        <v>0</v>
      </c>
      <c r="R930" s="2" t="inlineStr"/>
    </row>
    <row r="931" ht="15" customHeight="1">
      <c r="A931" t="inlineStr">
        <is>
          <t>A 53506-2018</t>
        </is>
      </c>
      <c r="B931" s="1" t="n">
        <v>43385</v>
      </c>
      <c r="C931" s="1" t="n">
        <v>45204</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53712-2018</t>
        </is>
      </c>
      <c r="B932" s="1" t="n">
        <v>43385</v>
      </c>
      <c r="C932" s="1" t="n">
        <v>45204</v>
      </c>
      <c r="D932" t="inlineStr">
        <is>
          <t>VÄSTERBOTTENS LÄN</t>
        </is>
      </c>
      <c r="E932" t="inlineStr">
        <is>
          <t>BJURHOLM</t>
        </is>
      </c>
      <c r="G932" t="n">
        <v>2.5</v>
      </c>
      <c r="H932" t="n">
        <v>0</v>
      </c>
      <c r="I932" t="n">
        <v>0</v>
      </c>
      <c r="J932" t="n">
        <v>0</v>
      </c>
      <c r="K932" t="n">
        <v>0</v>
      </c>
      <c r="L932" t="n">
        <v>0</v>
      </c>
      <c r="M932" t="n">
        <v>0</v>
      </c>
      <c r="N932" t="n">
        <v>0</v>
      </c>
      <c r="O932" t="n">
        <v>0</v>
      </c>
      <c r="P932" t="n">
        <v>0</v>
      </c>
      <c r="Q932" t="n">
        <v>0</v>
      </c>
      <c r="R932" s="2" t="inlineStr"/>
    </row>
    <row r="933" ht="15" customHeight="1">
      <c r="A933" t="inlineStr">
        <is>
          <t>A 53718-2018</t>
        </is>
      </c>
      <c r="B933" s="1" t="n">
        <v>43385</v>
      </c>
      <c r="C933" s="1" t="n">
        <v>45204</v>
      </c>
      <c r="D933" t="inlineStr">
        <is>
          <t>VÄSTERBOTTENS LÄN</t>
        </is>
      </c>
      <c r="E933" t="inlineStr">
        <is>
          <t>UMEÅ</t>
        </is>
      </c>
      <c r="G933" t="n">
        <v>1.4</v>
      </c>
      <c r="H933" t="n">
        <v>0</v>
      </c>
      <c r="I933" t="n">
        <v>0</v>
      </c>
      <c r="J933" t="n">
        <v>0</v>
      </c>
      <c r="K933" t="n">
        <v>0</v>
      </c>
      <c r="L933" t="n">
        <v>0</v>
      </c>
      <c r="M933" t="n">
        <v>0</v>
      </c>
      <c r="N933" t="n">
        <v>0</v>
      </c>
      <c r="O933" t="n">
        <v>0</v>
      </c>
      <c r="P933" t="n">
        <v>0</v>
      </c>
      <c r="Q933" t="n">
        <v>0</v>
      </c>
      <c r="R933" s="2" t="inlineStr"/>
    </row>
    <row r="934" ht="15" customHeight="1">
      <c r="A934" t="inlineStr">
        <is>
          <t>A 53326-2018</t>
        </is>
      </c>
      <c r="B934" s="1" t="n">
        <v>43385</v>
      </c>
      <c r="C934" s="1" t="n">
        <v>45204</v>
      </c>
      <c r="D934" t="inlineStr">
        <is>
          <t>VÄSTERBOTTENS LÄN</t>
        </is>
      </c>
      <c r="E934" t="inlineStr">
        <is>
          <t>SORSELE</t>
        </is>
      </c>
      <c r="G934" t="n">
        <v>13.8</v>
      </c>
      <c r="H934" t="n">
        <v>0</v>
      </c>
      <c r="I934" t="n">
        <v>0</v>
      </c>
      <c r="J934" t="n">
        <v>0</v>
      </c>
      <c r="K934" t="n">
        <v>0</v>
      </c>
      <c r="L934" t="n">
        <v>0</v>
      </c>
      <c r="M934" t="n">
        <v>0</v>
      </c>
      <c r="N934" t="n">
        <v>0</v>
      </c>
      <c r="O934" t="n">
        <v>0</v>
      </c>
      <c r="P934" t="n">
        <v>0</v>
      </c>
      <c r="Q934" t="n">
        <v>0</v>
      </c>
      <c r="R934" s="2" t="inlineStr"/>
    </row>
    <row r="935" ht="15" customHeight="1">
      <c r="A935" t="inlineStr">
        <is>
          <t>A 53991-2018</t>
        </is>
      </c>
      <c r="B935" s="1" t="n">
        <v>43388</v>
      </c>
      <c r="C935" s="1" t="n">
        <v>45204</v>
      </c>
      <c r="D935" t="inlineStr">
        <is>
          <t>VÄSTERBOTTENS LÄN</t>
        </is>
      </c>
      <c r="E935" t="inlineStr">
        <is>
          <t>NORDMALING</t>
        </is>
      </c>
      <c r="G935" t="n">
        <v>0.5</v>
      </c>
      <c r="H935" t="n">
        <v>0</v>
      </c>
      <c r="I935" t="n">
        <v>0</v>
      </c>
      <c r="J935" t="n">
        <v>0</v>
      </c>
      <c r="K935" t="n">
        <v>0</v>
      </c>
      <c r="L935" t="n">
        <v>0</v>
      </c>
      <c r="M935" t="n">
        <v>0</v>
      </c>
      <c r="N935" t="n">
        <v>0</v>
      </c>
      <c r="O935" t="n">
        <v>0</v>
      </c>
      <c r="P935" t="n">
        <v>0</v>
      </c>
      <c r="Q935" t="n">
        <v>0</v>
      </c>
      <c r="R935" s="2" t="inlineStr"/>
    </row>
    <row r="936" ht="15" customHeight="1">
      <c r="A936" t="inlineStr">
        <is>
          <t>A 53767-2018</t>
        </is>
      </c>
      <c r="B936" s="1" t="n">
        <v>43388</v>
      </c>
      <c r="C936" s="1" t="n">
        <v>45204</v>
      </c>
      <c r="D936" t="inlineStr">
        <is>
          <t>VÄSTERBOTTENS LÄN</t>
        </is>
      </c>
      <c r="E936" t="inlineStr">
        <is>
          <t>NORSJÖ</t>
        </is>
      </c>
      <c r="G936" t="n">
        <v>4.3</v>
      </c>
      <c r="H936" t="n">
        <v>0</v>
      </c>
      <c r="I936" t="n">
        <v>0</v>
      </c>
      <c r="J936" t="n">
        <v>0</v>
      </c>
      <c r="K936" t="n">
        <v>0</v>
      </c>
      <c r="L936" t="n">
        <v>0</v>
      </c>
      <c r="M936" t="n">
        <v>0</v>
      </c>
      <c r="N936" t="n">
        <v>0</v>
      </c>
      <c r="O936" t="n">
        <v>0</v>
      </c>
      <c r="P936" t="n">
        <v>0</v>
      </c>
      <c r="Q936" t="n">
        <v>0</v>
      </c>
      <c r="R936" s="2" t="inlineStr"/>
    </row>
    <row r="937" ht="15" customHeight="1">
      <c r="A937" t="inlineStr">
        <is>
          <t>A 53561-2018</t>
        </is>
      </c>
      <c r="B937" s="1" t="n">
        <v>43388</v>
      </c>
      <c r="C937" s="1" t="n">
        <v>45204</v>
      </c>
      <c r="D937" t="inlineStr">
        <is>
          <t>VÄSTERBOTTENS LÄN</t>
        </is>
      </c>
      <c r="E937" t="inlineStr">
        <is>
          <t>NORSJÖ</t>
        </is>
      </c>
      <c r="G937" t="n">
        <v>3.1</v>
      </c>
      <c r="H937" t="n">
        <v>0</v>
      </c>
      <c r="I937" t="n">
        <v>0</v>
      </c>
      <c r="J937" t="n">
        <v>0</v>
      </c>
      <c r="K937" t="n">
        <v>0</v>
      </c>
      <c r="L937" t="n">
        <v>0</v>
      </c>
      <c r="M937" t="n">
        <v>0</v>
      </c>
      <c r="N937" t="n">
        <v>0</v>
      </c>
      <c r="O937" t="n">
        <v>0</v>
      </c>
      <c r="P937" t="n">
        <v>0</v>
      </c>
      <c r="Q937" t="n">
        <v>0</v>
      </c>
      <c r="R937" s="2" t="inlineStr"/>
    </row>
    <row r="938" ht="15" customHeight="1">
      <c r="A938" t="inlineStr">
        <is>
          <t>A 53755-2018</t>
        </is>
      </c>
      <c r="B938" s="1" t="n">
        <v>43388</v>
      </c>
      <c r="C938" s="1" t="n">
        <v>45204</v>
      </c>
      <c r="D938" t="inlineStr">
        <is>
          <t>VÄSTERBOTTENS LÄN</t>
        </is>
      </c>
      <c r="E938" t="inlineStr">
        <is>
          <t>NORSJÖ</t>
        </is>
      </c>
      <c r="G938" t="n">
        <v>1.1</v>
      </c>
      <c r="H938" t="n">
        <v>0</v>
      </c>
      <c r="I938" t="n">
        <v>0</v>
      </c>
      <c r="J938" t="n">
        <v>0</v>
      </c>
      <c r="K938" t="n">
        <v>0</v>
      </c>
      <c r="L938" t="n">
        <v>0</v>
      </c>
      <c r="M938" t="n">
        <v>0</v>
      </c>
      <c r="N938" t="n">
        <v>0</v>
      </c>
      <c r="O938" t="n">
        <v>0</v>
      </c>
      <c r="P938" t="n">
        <v>0</v>
      </c>
      <c r="Q938" t="n">
        <v>0</v>
      </c>
      <c r="R938" s="2" t="inlineStr"/>
    </row>
    <row r="939" ht="15" customHeight="1">
      <c r="A939" t="inlineStr">
        <is>
          <t>A 52969-2018</t>
        </is>
      </c>
      <c r="B939" s="1" t="n">
        <v>43389</v>
      </c>
      <c r="C939" s="1" t="n">
        <v>45204</v>
      </c>
      <c r="D939" t="inlineStr">
        <is>
          <t>VÄSTERBOTTENS LÄN</t>
        </is>
      </c>
      <c r="E939" t="inlineStr">
        <is>
          <t>VILHELMINA</t>
        </is>
      </c>
      <c r="F939" t="inlineStr">
        <is>
          <t>Sveaskog</t>
        </is>
      </c>
      <c r="G939" t="n">
        <v>8.300000000000001</v>
      </c>
      <c r="H939" t="n">
        <v>0</v>
      </c>
      <c r="I939" t="n">
        <v>0</v>
      </c>
      <c r="J939" t="n">
        <v>0</v>
      </c>
      <c r="K939" t="n">
        <v>0</v>
      </c>
      <c r="L939" t="n">
        <v>0</v>
      </c>
      <c r="M939" t="n">
        <v>0</v>
      </c>
      <c r="N939" t="n">
        <v>0</v>
      </c>
      <c r="O939" t="n">
        <v>0</v>
      </c>
      <c r="P939" t="n">
        <v>0</v>
      </c>
      <c r="Q939" t="n">
        <v>0</v>
      </c>
      <c r="R939" s="2" t="inlineStr"/>
    </row>
    <row r="940" ht="15" customHeight="1">
      <c r="A940" t="inlineStr">
        <is>
          <t>A 53008-2018</t>
        </is>
      </c>
      <c r="B940" s="1" t="n">
        <v>43389</v>
      </c>
      <c r="C940" s="1" t="n">
        <v>45204</v>
      </c>
      <c r="D940" t="inlineStr">
        <is>
          <t>VÄSTERBOTTENS LÄN</t>
        </is>
      </c>
      <c r="E940" t="inlineStr">
        <is>
          <t>DOROTEA</t>
        </is>
      </c>
      <c r="F940" t="inlineStr">
        <is>
          <t>SCA</t>
        </is>
      </c>
      <c r="G940" t="n">
        <v>2.5</v>
      </c>
      <c r="H940" t="n">
        <v>0</v>
      </c>
      <c r="I940" t="n">
        <v>0</v>
      </c>
      <c r="J940" t="n">
        <v>0</v>
      </c>
      <c r="K940" t="n">
        <v>0</v>
      </c>
      <c r="L940" t="n">
        <v>0</v>
      </c>
      <c r="M940" t="n">
        <v>0</v>
      </c>
      <c r="N940" t="n">
        <v>0</v>
      </c>
      <c r="O940" t="n">
        <v>0</v>
      </c>
      <c r="P940" t="n">
        <v>0</v>
      </c>
      <c r="Q940" t="n">
        <v>0</v>
      </c>
      <c r="R940" s="2" t="inlineStr"/>
    </row>
    <row r="941" ht="15" customHeight="1">
      <c r="A941" t="inlineStr">
        <is>
          <t>A 52642-2018</t>
        </is>
      </c>
      <c r="B941" s="1" t="n">
        <v>43389</v>
      </c>
      <c r="C941" s="1" t="n">
        <v>45204</v>
      </c>
      <c r="D941" t="inlineStr">
        <is>
          <t>VÄSTERBOTTENS LÄN</t>
        </is>
      </c>
      <c r="E941" t="inlineStr">
        <is>
          <t>SKELLEFTEÅ</t>
        </is>
      </c>
      <c r="G941" t="n">
        <v>10.8</v>
      </c>
      <c r="H941" t="n">
        <v>0</v>
      </c>
      <c r="I941" t="n">
        <v>0</v>
      </c>
      <c r="J941" t="n">
        <v>0</v>
      </c>
      <c r="K941" t="n">
        <v>0</v>
      </c>
      <c r="L941" t="n">
        <v>0</v>
      </c>
      <c r="M941" t="n">
        <v>0</v>
      </c>
      <c r="N941" t="n">
        <v>0</v>
      </c>
      <c r="O941" t="n">
        <v>0</v>
      </c>
      <c r="P941" t="n">
        <v>0</v>
      </c>
      <c r="Q941" t="n">
        <v>0</v>
      </c>
      <c r="R941" s="2" t="inlineStr"/>
    </row>
    <row r="942" ht="15" customHeight="1">
      <c r="A942" t="inlineStr">
        <is>
          <t>A 52970-2018</t>
        </is>
      </c>
      <c r="B942" s="1" t="n">
        <v>43389</v>
      </c>
      <c r="C942" s="1" t="n">
        <v>45204</v>
      </c>
      <c r="D942" t="inlineStr">
        <is>
          <t>VÄSTERBOTTENS LÄN</t>
        </is>
      </c>
      <c r="E942" t="inlineStr">
        <is>
          <t>VILHELMINA</t>
        </is>
      </c>
      <c r="F942" t="inlineStr">
        <is>
          <t>Sveaskog</t>
        </is>
      </c>
      <c r="G942" t="n">
        <v>16.8</v>
      </c>
      <c r="H942" t="n">
        <v>0</v>
      </c>
      <c r="I942" t="n">
        <v>0</v>
      </c>
      <c r="J942" t="n">
        <v>0</v>
      </c>
      <c r="K942" t="n">
        <v>0</v>
      </c>
      <c r="L942" t="n">
        <v>0</v>
      </c>
      <c r="M942" t="n">
        <v>0</v>
      </c>
      <c r="N942" t="n">
        <v>0</v>
      </c>
      <c r="O942" t="n">
        <v>0</v>
      </c>
      <c r="P942" t="n">
        <v>0</v>
      </c>
      <c r="Q942" t="n">
        <v>0</v>
      </c>
      <c r="R942" s="2" t="inlineStr"/>
    </row>
    <row r="943" ht="15" customHeight="1">
      <c r="A943" t="inlineStr">
        <is>
          <t>A 53009-2018</t>
        </is>
      </c>
      <c r="B943" s="1" t="n">
        <v>43389</v>
      </c>
      <c r="C943" s="1" t="n">
        <v>45204</v>
      </c>
      <c r="D943" t="inlineStr">
        <is>
          <t>VÄSTERBOTTENS LÄN</t>
        </is>
      </c>
      <c r="E943" t="inlineStr">
        <is>
          <t>DOROTEA</t>
        </is>
      </c>
      <c r="F943" t="inlineStr">
        <is>
          <t>SCA</t>
        </is>
      </c>
      <c r="G943" t="n">
        <v>19.1</v>
      </c>
      <c r="H943" t="n">
        <v>0</v>
      </c>
      <c r="I943" t="n">
        <v>0</v>
      </c>
      <c r="J943" t="n">
        <v>0</v>
      </c>
      <c r="K943" t="n">
        <v>0</v>
      </c>
      <c r="L943" t="n">
        <v>0</v>
      </c>
      <c r="M943" t="n">
        <v>0</v>
      </c>
      <c r="N943" t="n">
        <v>0</v>
      </c>
      <c r="O943" t="n">
        <v>0</v>
      </c>
      <c r="P943" t="n">
        <v>0</v>
      </c>
      <c r="Q943" t="n">
        <v>0</v>
      </c>
      <c r="R943" s="2" t="inlineStr"/>
    </row>
    <row r="944" ht="15" customHeight="1">
      <c r="A944" t="inlineStr">
        <is>
          <t>A 52971-2018</t>
        </is>
      </c>
      <c r="B944" s="1" t="n">
        <v>43389</v>
      </c>
      <c r="C944" s="1" t="n">
        <v>45204</v>
      </c>
      <c r="D944" t="inlineStr">
        <is>
          <t>VÄSTERBOTTENS LÄN</t>
        </is>
      </c>
      <c r="E944" t="inlineStr">
        <is>
          <t>VILHELMINA</t>
        </is>
      </c>
      <c r="F944" t="inlineStr">
        <is>
          <t>Sveaskog</t>
        </is>
      </c>
      <c r="G944" t="n">
        <v>7.7</v>
      </c>
      <c r="H944" t="n">
        <v>0</v>
      </c>
      <c r="I944" t="n">
        <v>0</v>
      </c>
      <c r="J944" t="n">
        <v>0</v>
      </c>
      <c r="K944" t="n">
        <v>0</v>
      </c>
      <c r="L944" t="n">
        <v>0</v>
      </c>
      <c r="M944" t="n">
        <v>0</v>
      </c>
      <c r="N944" t="n">
        <v>0</v>
      </c>
      <c r="O944" t="n">
        <v>0</v>
      </c>
      <c r="P944" t="n">
        <v>0</v>
      </c>
      <c r="Q944" t="n">
        <v>0</v>
      </c>
      <c r="R944" s="2" t="inlineStr"/>
    </row>
    <row r="945" ht="15" customHeight="1">
      <c r="A945" t="inlineStr">
        <is>
          <t>A 52807-2018</t>
        </is>
      </c>
      <c r="B945" s="1" t="n">
        <v>43389</v>
      </c>
      <c r="C945" s="1" t="n">
        <v>45204</v>
      </c>
      <c r="D945" t="inlineStr">
        <is>
          <t>VÄSTERBOTTENS LÄN</t>
        </is>
      </c>
      <c r="E945" t="inlineStr">
        <is>
          <t>VÄNNÄS</t>
        </is>
      </c>
      <c r="G945" t="n">
        <v>1.1</v>
      </c>
      <c r="H945" t="n">
        <v>0</v>
      </c>
      <c r="I945" t="n">
        <v>0</v>
      </c>
      <c r="J945" t="n">
        <v>0</v>
      </c>
      <c r="K945" t="n">
        <v>0</v>
      </c>
      <c r="L945" t="n">
        <v>0</v>
      </c>
      <c r="M945" t="n">
        <v>0</v>
      </c>
      <c r="N945" t="n">
        <v>0</v>
      </c>
      <c r="O945" t="n">
        <v>0</v>
      </c>
      <c r="P945" t="n">
        <v>0</v>
      </c>
      <c r="Q945" t="n">
        <v>0</v>
      </c>
      <c r="R945" s="2" t="inlineStr"/>
    </row>
    <row r="946" ht="15" customHeight="1">
      <c r="A946" t="inlineStr">
        <is>
          <t>A 55839-2018</t>
        </is>
      </c>
      <c r="B946" s="1" t="n">
        <v>43392</v>
      </c>
      <c r="C946" s="1" t="n">
        <v>45204</v>
      </c>
      <c r="D946" t="inlineStr">
        <is>
          <t>VÄSTERBOTTENS LÄN</t>
        </is>
      </c>
      <c r="E946" t="inlineStr">
        <is>
          <t>UMEÅ</t>
        </is>
      </c>
      <c r="G946" t="n">
        <v>1.2</v>
      </c>
      <c r="H946" t="n">
        <v>0</v>
      </c>
      <c r="I946" t="n">
        <v>0</v>
      </c>
      <c r="J946" t="n">
        <v>0</v>
      </c>
      <c r="K946" t="n">
        <v>0</v>
      </c>
      <c r="L946" t="n">
        <v>0</v>
      </c>
      <c r="M946" t="n">
        <v>0</v>
      </c>
      <c r="N946" t="n">
        <v>0</v>
      </c>
      <c r="O946" t="n">
        <v>0</v>
      </c>
      <c r="P946" t="n">
        <v>0</v>
      </c>
      <c r="Q946" t="n">
        <v>0</v>
      </c>
      <c r="R946" s="2" t="inlineStr"/>
    </row>
    <row r="947" ht="15" customHeight="1">
      <c r="A947" t="inlineStr">
        <is>
          <t>A 55858-2018</t>
        </is>
      </c>
      <c r="B947" s="1" t="n">
        <v>43392</v>
      </c>
      <c r="C947" s="1" t="n">
        <v>45204</v>
      </c>
      <c r="D947" t="inlineStr">
        <is>
          <t>VÄSTERBOTTENS LÄN</t>
        </is>
      </c>
      <c r="E947" t="inlineStr">
        <is>
          <t>UMEÅ</t>
        </is>
      </c>
      <c r="G947" t="n">
        <v>0.6</v>
      </c>
      <c r="H947" t="n">
        <v>0</v>
      </c>
      <c r="I947" t="n">
        <v>0</v>
      </c>
      <c r="J947" t="n">
        <v>0</v>
      </c>
      <c r="K947" t="n">
        <v>0</v>
      </c>
      <c r="L947" t="n">
        <v>0</v>
      </c>
      <c r="M947" t="n">
        <v>0</v>
      </c>
      <c r="N947" t="n">
        <v>0</v>
      </c>
      <c r="O947" t="n">
        <v>0</v>
      </c>
      <c r="P947" t="n">
        <v>0</v>
      </c>
      <c r="Q947" t="n">
        <v>0</v>
      </c>
      <c r="R947" s="2" t="inlineStr"/>
    </row>
    <row r="948" ht="15" customHeight="1">
      <c r="A948" t="inlineStr">
        <is>
          <t>A 55821-2018</t>
        </is>
      </c>
      <c r="B948" s="1" t="n">
        <v>43392</v>
      </c>
      <c r="C948" s="1" t="n">
        <v>45204</v>
      </c>
      <c r="D948" t="inlineStr">
        <is>
          <t>VÄSTERBOTTENS LÄN</t>
        </is>
      </c>
      <c r="E948" t="inlineStr">
        <is>
          <t>SKELLEFTEÅ</t>
        </is>
      </c>
      <c r="G948" t="n">
        <v>1.5</v>
      </c>
      <c r="H948" t="n">
        <v>0</v>
      </c>
      <c r="I948" t="n">
        <v>0</v>
      </c>
      <c r="J948" t="n">
        <v>0</v>
      </c>
      <c r="K948" t="n">
        <v>0</v>
      </c>
      <c r="L948" t="n">
        <v>0</v>
      </c>
      <c r="M948" t="n">
        <v>0</v>
      </c>
      <c r="N948" t="n">
        <v>0</v>
      </c>
      <c r="O948" t="n">
        <v>0</v>
      </c>
      <c r="P948" t="n">
        <v>0</v>
      </c>
      <c r="Q948" t="n">
        <v>0</v>
      </c>
      <c r="R948" s="2" t="inlineStr"/>
    </row>
    <row r="949" ht="15" customHeight="1">
      <c r="A949" t="inlineStr">
        <is>
          <t>A 55871-2018</t>
        </is>
      </c>
      <c r="B949" s="1" t="n">
        <v>43392</v>
      </c>
      <c r="C949" s="1" t="n">
        <v>45204</v>
      </c>
      <c r="D949" t="inlineStr">
        <is>
          <t>VÄSTERBOTTENS LÄN</t>
        </is>
      </c>
      <c r="E949" t="inlineStr">
        <is>
          <t>UMEÅ</t>
        </is>
      </c>
      <c r="G949" t="n">
        <v>0.9</v>
      </c>
      <c r="H949" t="n">
        <v>0</v>
      </c>
      <c r="I949" t="n">
        <v>0</v>
      </c>
      <c r="J949" t="n">
        <v>0</v>
      </c>
      <c r="K949" t="n">
        <v>0</v>
      </c>
      <c r="L949" t="n">
        <v>0</v>
      </c>
      <c r="M949" t="n">
        <v>0</v>
      </c>
      <c r="N949" t="n">
        <v>0</v>
      </c>
      <c r="O949" t="n">
        <v>0</v>
      </c>
      <c r="P949" t="n">
        <v>0</v>
      </c>
      <c r="Q949" t="n">
        <v>0</v>
      </c>
      <c r="R949" s="2" t="inlineStr"/>
    </row>
    <row r="950" ht="15" customHeight="1">
      <c r="A950" t="inlineStr">
        <is>
          <t>A 54624-2018</t>
        </is>
      </c>
      <c r="B950" s="1" t="n">
        <v>43395</v>
      </c>
      <c r="C950" s="1" t="n">
        <v>45204</v>
      </c>
      <c r="D950" t="inlineStr">
        <is>
          <t>VÄSTERBOTTENS LÄN</t>
        </is>
      </c>
      <c r="E950" t="inlineStr">
        <is>
          <t>VILHELMINA</t>
        </is>
      </c>
      <c r="G950" t="n">
        <v>3.3</v>
      </c>
      <c r="H950" t="n">
        <v>0</v>
      </c>
      <c r="I950" t="n">
        <v>0</v>
      </c>
      <c r="J950" t="n">
        <v>0</v>
      </c>
      <c r="K950" t="n">
        <v>0</v>
      </c>
      <c r="L950" t="n">
        <v>0</v>
      </c>
      <c r="M950" t="n">
        <v>0</v>
      </c>
      <c r="N950" t="n">
        <v>0</v>
      </c>
      <c r="O950" t="n">
        <v>0</v>
      </c>
      <c r="P950" t="n">
        <v>0</v>
      </c>
      <c r="Q950" t="n">
        <v>0</v>
      </c>
      <c r="R950" s="2" t="inlineStr"/>
    </row>
    <row r="951" ht="15" customHeight="1">
      <c r="A951" t="inlineStr">
        <is>
          <t>A 57124-2018</t>
        </is>
      </c>
      <c r="B951" s="1" t="n">
        <v>43395</v>
      </c>
      <c r="C951" s="1" t="n">
        <v>45204</v>
      </c>
      <c r="D951" t="inlineStr">
        <is>
          <t>VÄSTERBOTTENS LÄN</t>
        </is>
      </c>
      <c r="E951" t="inlineStr">
        <is>
          <t>VINDELN</t>
        </is>
      </c>
      <c r="G951" t="n">
        <v>3</v>
      </c>
      <c r="H951" t="n">
        <v>0</v>
      </c>
      <c r="I951" t="n">
        <v>0</v>
      </c>
      <c r="J951" t="n">
        <v>0</v>
      </c>
      <c r="K951" t="n">
        <v>0</v>
      </c>
      <c r="L951" t="n">
        <v>0</v>
      </c>
      <c r="M951" t="n">
        <v>0</v>
      </c>
      <c r="N951" t="n">
        <v>0</v>
      </c>
      <c r="O951" t="n">
        <v>0</v>
      </c>
      <c r="P951" t="n">
        <v>0</v>
      </c>
      <c r="Q951" t="n">
        <v>0</v>
      </c>
      <c r="R951" s="2" t="inlineStr"/>
    </row>
    <row r="952" ht="15" customHeight="1">
      <c r="A952" t="inlineStr">
        <is>
          <t>A 56369-2018</t>
        </is>
      </c>
      <c r="B952" s="1" t="n">
        <v>43395</v>
      </c>
      <c r="C952" s="1" t="n">
        <v>45204</v>
      </c>
      <c r="D952" t="inlineStr">
        <is>
          <t>VÄSTERBOTTENS LÄN</t>
        </is>
      </c>
      <c r="E952" t="inlineStr">
        <is>
          <t>SKELLEFTEÅ</t>
        </is>
      </c>
      <c r="G952" t="n">
        <v>0.6</v>
      </c>
      <c r="H952" t="n">
        <v>0</v>
      </c>
      <c r="I952" t="n">
        <v>0</v>
      </c>
      <c r="J952" t="n">
        <v>0</v>
      </c>
      <c r="K952" t="n">
        <v>0</v>
      </c>
      <c r="L952" t="n">
        <v>0</v>
      </c>
      <c r="M952" t="n">
        <v>0</v>
      </c>
      <c r="N952" t="n">
        <v>0</v>
      </c>
      <c r="O952" t="n">
        <v>0</v>
      </c>
      <c r="P952" t="n">
        <v>0</v>
      </c>
      <c r="Q952" t="n">
        <v>0</v>
      </c>
      <c r="R952" s="2" t="inlineStr"/>
    </row>
    <row r="953" ht="15" customHeight="1">
      <c r="A953" t="inlineStr">
        <is>
          <t>A 54284-2018</t>
        </is>
      </c>
      <c r="B953" s="1" t="n">
        <v>43395</v>
      </c>
      <c r="C953" s="1" t="n">
        <v>45204</v>
      </c>
      <c r="D953" t="inlineStr">
        <is>
          <t>VÄSTERBOTTENS LÄN</t>
        </is>
      </c>
      <c r="E953" t="inlineStr">
        <is>
          <t>SKELLEFTEÅ</t>
        </is>
      </c>
      <c r="G953" t="n">
        <v>19</v>
      </c>
      <c r="H953" t="n">
        <v>0</v>
      </c>
      <c r="I953" t="n">
        <v>0</v>
      </c>
      <c r="J953" t="n">
        <v>0</v>
      </c>
      <c r="K953" t="n">
        <v>0</v>
      </c>
      <c r="L953" t="n">
        <v>0</v>
      </c>
      <c r="M953" t="n">
        <v>0</v>
      </c>
      <c r="N953" t="n">
        <v>0</v>
      </c>
      <c r="O953" t="n">
        <v>0</v>
      </c>
      <c r="P953" t="n">
        <v>0</v>
      </c>
      <c r="Q953" t="n">
        <v>0</v>
      </c>
      <c r="R953" s="2" t="inlineStr"/>
    </row>
    <row r="954" ht="15" customHeight="1">
      <c r="A954" t="inlineStr">
        <is>
          <t>A 55700-2018</t>
        </is>
      </c>
      <c r="B954" s="1" t="n">
        <v>43395</v>
      </c>
      <c r="C954" s="1" t="n">
        <v>45204</v>
      </c>
      <c r="D954" t="inlineStr">
        <is>
          <t>VÄSTERBOTTENS LÄN</t>
        </is>
      </c>
      <c r="E954" t="inlineStr">
        <is>
          <t>LYCKSELE</t>
        </is>
      </c>
      <c r="G954" t="n">
        <v>0.6</v>
      </c>
      <c r="H954" t="n">
        <v>0</v>
      </c>
      <c r="I954" t="n">
        <v>0</v>
      </c>
      <c r="J954" t="n">
        <v>0</v>
      </c>
      <c r="K954" t="n">
        <v>0</v>
      </c>
      <c r="L954" t="n">
        <v>0</v>
      </c>
      <c r="M954" t="n">
        <v>0</v>
      </c>
      <c r="N954" t="n">
        <v>0</v>
      </c>
      <c r="O954" t="n">
        <v>0</v>
      </c>
      <c r="P954" t="n">
        <v>0</v>
      </c>
      <c r="Q954" t="n">
        <v>0</v>
      </c>
      <c r="R954" s="2" t="inlineStr"/>
    </row>
    <row r="955" ht="15" customHeight="1">
      <c r="A955" t="inlineStr">
        <is>
          <t>A 56378-2018</t>
        </is>
      </c>
      <c r="B955" s="1" t="n">
        <v>43395</v>
      </c>
      <c r="C955" s="1" t="n">
        <v>45204</v>
      </c>
      <c r="D955" t="inlineStr">
        <is>
          <t>VÄSTERBOTTENS LÄN</t>
        </is>
      </c>
      <c r="E955" t="inlineStr">
        <is>
          <t>SKELLEFTEÅ</t>
        </is>
      </c>
      <c r="G955" t="n">
        <v>6.1</v>
      </c>
      <c r="H955" t="n">
        <v>0</v>
      </c>
      <c r="I955" t="n">
        <v>0</v>
      </c>
      <c r="J955" t="n">
        <v>0</v>
      </c>
      <c r="K955" t="n">
        <v>0</v>
      </c>
      <c r="L955" t="n">
        <v>0</v>
      </c>
      <c r="M955" t="n">
        <v>0</v>
      </c>
      <c r="N955" t="n">
        <v>0</v>
      </c>
      <c r="O955" t="n">
        <v>0</v>
      </c>
      <c r="P955" t="n">
        <v>0</v>
      </c>
      <c r="Q955" t="n">
        <v>0</v>
      </c>
      <c r="R955" s="2" t="inlineStr"/>
    </row>
    <row r="956" ht="15" customHeight="1">
      <c r="A956" t="inlineStr">
        <is>
          <t>A 57077-2018</t>
        </is>
      </c>
      <c r="B956" s="1" t="n">
        <v>43395</v>
      </c>
      <c r="C956" s="1" t="n">
        <v>45204</v>
      </c>
      <c r="D956" t="inlineStr">
        <is>
          <t>VÄSTERBOTTENS LÄN</t>
        </is>
      </c>
      <c r="E956" t="inlineStr">
        <is>
          <t>VINDELN</t>
        </is>
      </c>
      <c r="G956" t="n">
        <v>6</v>
      </c>
      <c r="H956" t="n">
        <v>0</v>
      </c>
      <c r="I956" t="n">
        <v>0</v>
      </c>
      <c r="J956" t="n">
        <v>0</v>
      </c>
      <c r="K956" t="n">
        <v>0</v>
      </c>
      <c r="L956" t="n">
        <v>0</v>
      </c>
      <c r="M956" t="n">
        <v>0</v>
      </c>
      <c r="N956" t="n">
        <v>0</v>
      </c>
      <c r="O956" t="n">
        <v>0</v>
      </c>
      <c r="P956" t="n">
        <v>0</v>
      </c>
      <c r="Q956" t="n">
        <v>0</v>
      </c>
      <c r="R956" s="2" t="inlineStr"/>
    </row>
    <row r="957" ht="15" customHeight="1">
      <c r="A957" t="inlineStr">
        <is>
          <t>A 55280-2018</t>
        </is>
      </c>
      <c r="B957" s="1" t="n">
        <v>43397</v>
      </c>
      <c r="C957" s="1" t="n">
        <v>45204</v>
      </c>
      <c r="D957" t="inlineStr">
        <is>
          <t>VÄSTERBOTTENS LÄN</t>
        </is>
      </c>
      <c r="E957" t="inlineStr">
        <is>
          <t>SKELLEFTEÅ</t>
        </is>
      </c>
      <c r="G957" t="n">
        <v>7.7</v>
      </c>
      <c r="H957" t="n">
        <v>0</v>
      </c>
      <c r="I957" t="n">
        <v>0</v>
      </c>
      <c r="J957" t="n">
        <v>0</v>
      </c>
      <c r="K957" t="n">
        <v>0</v>
      </c>
      <c r="L957" t="n">
        <v>0</v>
      </c>
      <c r="M957" t="n">
        <v>0</v>
      </c>
      <c r="N957" t="n">
        <v>0</v>
      </c>
      <c r="O957" t="n">
        <v>0</v>
      </c>
      <c r="P957" t="n">
        <v>0</v>
      </c>
      <c r="Q957" t="n">
        <v>0</v>
      </c>
      <c r="R957" s="2" t="inlineStr"/>
    </row>
    <row r="958" ht="15" customHeight="1">
      <c r="A958" t="inlineStr">
        <is>
          <t>A 55471-2018</t>
        </is>
      </c>
      <c r="B958" s="1" t="n">
        <v>43397</v>
      </c>
      <c r="C958" s="1" t="n">
        <v>45204</v>
      </c>
      <c r="D958" t="inlineStr">
        <is>
          <t>VÄSTERBOTTENS LÄN</t>
        </is>
      </c>
      <c r="E958" t="inlineStr">
        <is>
          <t>VINDELN</t>
        </is>
      </c>
      <c r="G958" t="n">
        <v>13.2</v>
      </c>
      <c r="H958" t="n">
        <v>0</v>
      </c>
      <c r="I958" t="n">
        <v>0</v>
      </c>
      <c r="J958" t="n">
        <v>0</v>
      </c>
      <c r="K958" t="n">
        <v>0</v>
      </c>
      <c r="L958" t="n">
        <v>0</v>
      </c>
      <c r="M958" t="n">
        <v>0</v>
      </c>
      <c r="N958" t="n">
        <v>0</v>
      </c>
      <c r="O958" t="n">
        <v>0</v>
      </c>
      <c r="P958" t="n">
        <v>0</v>
      </c>
      <c r="Q958" t="n">
        <v>0</v>
      </c>
      <c r="R958" s="2" t="inlineStr"/>
    </row>
    <row r="959" ht="15" customHeight="1">
      <c r="A959" t="inlineStr">
        <is>
          <t>A 57812-2018</t>
        </is>
      </c>
      <c r="B959" s="1" t="n">
        <v>43397</v>
      </c>
      <c r="C959" s="1" t="n">
        <v>45204</v>
      </c>
      <c r="D959" t="inlineStr">
        <is>
          <t>VÄSTERBOTTENS LÄN</t>
        </is>
      </c>
      <c r="E959" t="inlineStr">
        <is>
          <t>SKELLEFTEÅ</t>
        </is>
      </c>
      <c r="G959" t="n">
        <v>3.2</v>
      </c>
      <c r="H959" t="n">
        <v>0</v>
      </c>
      <c r="I959" t="n">
        <v>0</v>
      </c>
      <c r="J959" t="n">
        <v>0</v>
      </c>
      <c r="K959" t="n">
        <v>0</v>
      </c>
      <c r="L959" t="n">
        <v>0</v>
      </c>
      <c r="M959" t="n">
        <v>0</v>
      </c>
      <c r="N959" t="n">
        <v>0</v>
      </c>
      <c r="O959" t="n">
        <v>0</v>
      </c>
      <c r="P959" t="n">
        <v>0</v>
      </c>
      <c r="Q959" t="n">
        <v>0</v>
      </c>
      <c r="R959" s="2" t="inlineStr"/>
    </row>
    <row r="960" ht="15" customHeight="1">
      <c r="A960" t="inlineStr">
        <is>
          <t>A 57843-2018</t>
        </is>
      </c>
      <c r="B960" s="1" t="n">
        <v>43397</v>
      </c>
      <c r="C960" s="1" t="n">
        <v>45204</v>
      </c>
      <c r="D960" t="inlineStr">
        <is>
          <t>VÄSTERBOTTENS LÄN</t>
        </is>
      </c>
      <c r="E960" t="inlineStr">
        <is>
          <t>SORSELE</t>
        </is>
      </c>
      <c r="G960" t="n">
        <v>4.1</v>
      </c>
      <c r="H960" t="n">
        <v>0</v>
      </c>
      <c r="I960" t="n">
        <v>0</v>
      </c>
      <c r="J960" t="n">
        <v>0</v>
      </c>
      <c r="K960" t="n">
        <v>0</v>
      </c>
      <c r="L960" t="n">
        <v>0</v>
      </c>
      <c r="M960" t="n">
        <v>0</v>
      </c>
      <c r="N960" t="n">
        <v>0</v>
      </c>
      <c r="O960" t="n">
        <v>0</v>
      </c>
      <c r="P960" t="n">
        <v>0</v>
      </c>
      <c r="Q960" t="n">
        <v>0</v>
      </c>
      <c r="R960" s="2" t="inlineStr"/>
    </row>
    <row r="961" ht="15" customHeight="1">
      <c r="A961" t="inlineStr">
        <is>
          <t>A 57840-2018</t>
        </is>
      </c>
      <c r="B961" s="1" t="n">
        <v>43397</v>
      </c>
      <c r="C961" s="1" t="n">
        <v>45204</v>
      </c>
      <c r="D961" t="inlineStr">
        <is>
          <t>VÄSTERBOTTENS LÄN</t>
        </is>
      </c>
      <c r="E961" t="inlineStr">
        <is>
          <t>SORSELE</t>
        </is>
      </c>
      <c r="G961" t="n">
        <v>11.3</v>
      </c>
      <c r="H961" t="n">
        <v>0</v>
      </c>
      <c r="I961" t="n">
        <v>0</v>
      </c>
      <c r="J961" t="n">
        <v>0</v>
      </c>
      <c r="K961" t="n">
        <v>0</v>
      </c>
      <c r="L961" t="n">
        <v>0</v>
      </c>
      <c r="M961" t="n">
        <v>0</v>
      </c>
      <c r="N961" t="n">
        <v>0</v>
      </c>
      <c r="O961" t="n">
        <v>0</v>
      </c>
      <c r="P961" t="n">
        <v>0</v>
      </c>
      <c r="Q961" t="n">
        <v>0</v>
      </c>
      <c r="R961" s="2" t="inlineStr"/>
    </row>
    <row r="962" ht="15" customHeight="1">
      <c r="A962" t="inlineStr">
        <is>
          <t>A 55419-2018</t>
        </is>
      </c>
      <c r="B962" s="1" t="n">
        <v>43397</v>
      </c>
      <c r="C962" s="1" t="n">
        <v>45204</v>
      </c>
      <c r="D962" t="inlineStr">
        <is>
          <t>VÄSTERBOTTENS LÄN</t>
        </is>
      </c>
      <c r="E962" t="inlineStr">
        <is>
          <t>DOROTEA</t>
        </is>
      </c>
      <c r="G962" t="n">
        <v>6.5</v>
      </c>
      <c r="H962" t="n">
        <v>0</v>
      </c>
      <c r="I962" t="n">
        <v>0</v>
      </c>
      <c r="J962" t="n">
        <v>0</v>
      </c>
      <c r="K962" t="n">
        <v>0</v>
      </c>
      <c r="L962" t="n">
        <v>0</v>
      </c>
      <c r="M962" t="n">
        <v>0</v>
      </c>
      <c r="N962" t="n">
        <v>0</v>
      </c>
      <c r="O962" t="n">
        <v>0</v>
      </c>
      <c r="P962" t="n">
        <v>0</v>
      </c>
      <c r="Q962" t="n">
        <v>0</v>
      </c>
      <c r="R962" s="2" t="inlineStr"/>
    </row>
    <row r="963" ht="15" customHeight="1">
      <c r="A963" t="inlineStr">
        <is>
          <t>A 57847-2018</t>
        </is>
      </c>
      <c r="B963" s="1" t="n">
        <v>43397</v>
      </c>
      <c r="C963" s="1" t="n">
        <v>45204</v>
      </c>
      <c r="D963" t="inlineStr">
        <is>
          <t>VÄSTERBOTTENS LÄN</t>
        </is>
      </c>
      <c r="E963" t="inlineStr">
        <is>
          <t>SORSELE</t>
        </is>
      </c>
      <c r="G963" t="n">
        <v>5.8</v>
      </c>
      <c r="H963" t="n">
        <v>0</v>
      </c>
      <c r="I963" t="n">
        <v>0</v>
      </c>
      <c r="J963" t="n">
        <v>0</v>
      </c>
      <c r="K963" t="n">
        <v>0</v>
      </c>
      <c r="L963" t="n">
        <v>0</v>
      </c>
      <c r="M963" t="n">
        <v>0</v>
      </c>
      <c r="N963" t="n">
        <v>0</v>
      </c>
      <c r="O963" t="n">
        <v>0</v>
      </c>
      <c r="P963" t="n">
        <v>0</v>
      </c>
      <c r="Q963" t="n">
        <v>0</v>
      </c>
      <c r="R963" s="2" t="inlineStr"/>
    </row>
    <row r="964" ht="15" customHeight="1">
      <c r="A964" t="inlineStr">
        <is>
          <t>A 58466-2018</t>
        </is>
      </c>
      <c r="B964" s="1" t="n">
        <v>43397</v>
      </c>
      <c r="C964" s="1" t="n">
        <v>45204</v>
      </c>
      <c r="D964" t="inlineStr">
        <is>
          <t>VÄSTERBOTTENS LÄN</t>
        </is>
      </c>
      <c r="E964" t="inlineStr">
        <is>
          <t>BJURHOLM</t>
        </is>
      </c>
      <c r="G964" t="n">
        <v>2.5</v>
      </c>
      <c r="H964" t="n">
        <v>0</v>
      </c>
      <c r="I964" t="n">
        <v>0</v>
      </c>
      <c r="J964" t="n">
        <v>0</v>
      </c>
      <c r="K964" t="n">
        <v>0</v>
      </c>
      <c r="L964" t="n">
        <v>0</v>
      </c>
      <c r="M964" t="n">
        <v>0</v>
      </c>
      <c r="N964" t="n">
        <v>0</v>
      </c>
      <c r="O964" t="n">
        <v>0</v>
      </c>
      <c r="P964" t="n">
        <v>0</v>
      </c>
      <c r="Q964" t="n">
        <v>0</v>
      </c>
      <c r="R964" s="2" t="inlineStr"/>
    </row>
    <row r="965" ht="15" customHeight="1">
      <c r="A965" t="inlineStr">
        <is>
          <t>A 55781-2018</t>
        </is>
      </c>
      <c r="B965" s="1" t="n">
        <v>43398</v>
      </c>
      <c r="C965" s="1" t="n">
        <v>45204</v>
      </c>
      <c r="D965" t="inlineStr">
        <is>
          <t>VÄSTERBOTTENS LÄN</t>
        </is>
      </c>
      <c r="E965" t="inlineStr">
        <is>
          <t>DOROTEA</t>
        </is>
      </c>
      <c r="G965" t="n">
        <v>3.5</v>
      </c>
      <c r="H965" t="n">
        <v>0</v>
      </c>
      <c r="I965" t="n">
        <v>0</v>
      </c>
      <c r="J965" t="n">
        <v>0</v>
      </c>
      <c r="K965" t="n">
        <v>0</v>
      </c>
      <c r="L965" t="n">
        <v>0</v>
      </c>
      <c r="M965" t="n">
        <v>0</v>
      </c>
      <c r="N965" t="n">
        <v>0</v>
      </c>
      <c r="O965" t="n">
        <v>0</v>
      </c>
      <c r="P965" t="n">
        <v>0</v>
      </c>
      <c r="Q965" t="n">
        <v>0</v>
      </c>
      <c r="R965" s="2" t="inlineStr"/>
    </row>
    <row r="966" ht="15" customHeight="1">
      <c r="A966" t="inlineStr">
        <is>
          <t>A 55780-2018</t>
        </is>
      </c>
      <c r="B966" s="1" t="n">
        <v>43398</v>
      </c>
      <c r="C966" s="1" t="n">
        <v>45204</v>
      </c>
      <c r="D966" t="inlineStr">
        <is>
          <t>VÄSTERBOTTENS LÄN</t>
        </is>
      </c>
      <c r="E966" t="inlineStr">
        <is>
          <t>DOROTEA</t>
        </is>
      </c>
      <c r="G966" t="n">
        <v>1.3</v>
      </c>
      <c r="H966" t="n">
        <v>0</v>
      </c>
      <c r="I966" t="n">
        <v>0</v>
      </c>
      <c r="J966" t="n">
        <v>0</v>
      </c>
      <c r="K966" t="n">
        <v>0</v>
      </c>
      <c r="L966" t="n">
        <v>0</v>
      </c>
      <c r="M966" t="n">
        <v>0</v>
      </c>
      <c r="N966" t="n">
        <v>0</v>
      </c>
      <c r="O966" t="n">
        <v>0</v>
      </c>
      <c r="P966" t="n">
        <v>0</v>
      </c>
      <c r="Q966" t="n">
        <v>0</v>
      </c>
      <c r="R966" s="2" t="inlineStr"/>
    </row>
    <row r="967" ht="15" customHeight="1">
      <c r="A967" t="inlineStr">
        <is>
          <t>A 56133-2018</t>
        </is>
      </c>
      <c r="B967" s="1" t="n">
        <v>43398</v>
      </c>
      <c r="C967" s="1" t="n">
        <v>45204</v>
      </c>
      <c r="D967" t="inlineStr">
        <is>
          <t>VÄSTERBOTTENS LÄN</t>
        </is>
      </c>
      <c r="E967" t="inlineStr">
        <is>
          <t>NORSJÖ</t>
        </is>
      </c>
      <c r="G967" t="n">
        <v>7.1</v>
      </c>
      <c r="H967" t="n">
        <v>0</v>
      </c>
      <c r="I967" t="n">
        <v>0</v>
      </c>
      <c r="J967" t="n">
        <v>0</v>
      </c>
      <c r="K967" t="n">
        <v>0</v>
      </c>
      <c r="L967" t="n">
        <v>0</v>
      </c>
      <c r="M967" t="n">
        <v>0</v>
      </c>
      <c r="N967" t="n">
        <v>0</v>
      </c>
      <c r="O967" t="n">
        <v>0</v>
      </c>
      <c r="P967" t="n">
        <v>0</v>
      </c>
      <c r="Q967" t="n">
        <v>0</v>
      </c>
      <c r="R967" s="2" t="inlineStr"/>
    </row>
    <row r="968" ht="15" customHeight="1">
      <c r="A968" t="inlineStr">
        <is>
          <t>A 58252-2018</t>
        </is>
      </c>
      <c r="B968" s="1" t="n">
        <v>43398</v>
      </c>
      <c r="C968" s="1" t="n">
        <v>45204</v>
      </c>
      <c r="D968" t="inlineStr">
        <is>
          <t>VÄSTERBOTTENS LÄN</t>
        </is>
      </c>
      <c r="E968" t="inlineStr">
        <is>
          <t>STORUMAN</t>
        </is>
      </c>
      <c r="G968" t="n">
        <v>5.2</v>
      </c>
      <c r="H968" t="n">
        <v>0</v>
      </c>
      <c r="I968" t="n">
        <v>0</v>
      </c>
      <c r="J968" t="n">
        <v>0</v>
      </c>
      <c r="K968" t="n">
        <v>0</v>
      </c>
      <c r="L968" t="n">
        <v>0</v>
      </c>
      <c r="M968" t="n">
        <v>0</v>
      </c>
      <c r="N968" t="n">
        <v>0</v>
      </c>
      <c r="O968" t="n">
        <v>0</v>
      </c>
      <c r="P968" t="n">
        <v>0</v>
      </c>
      <c r="Q968" t="n">
        <v>0</v>
      </c>
      <c r="R968" s="2" t="inlineStr"/>
    </row>
    <row r="969" ht="15" customHeight="1">
      <c r="A969" t="inlineStr">
        <is>
          <t>A 58386-2018</t>
        </is>
      </c>
      <c r="B969" s="1" t="n">
        <v>43398</v>
      </c>
      <c r="C969" s="1" t="n">
        <v>45204</v>
      </c>
      <c r="D969" t="inlineStr">
        <is>
          <t>VÄSTERBOTTENS LÄN</t>
        </is>
      </c>
      <c r="E969" t="inlineStr">
        <is>
          <t>LYCKSELE</t>
        </is>
      </c>
      <c r="G969" t="n">
        <v>7.5</v>
      </c>
      <c r="H969" t="n">
        <v>0</v>
      </c>
      <c r="I969" t="n">
        <v>0</v>
      </c>
      <c r="J969" t="n">
        <v>0</v>
      </c>
      <c r="K969" t="n">
        <v>0</v>
      </c>
      <c r="L969" t="n">
        <v>0</v>
      </c>
      <c r="M969" t="n">
        <v>0</v>
      </c>
      <c r="N969" t="n">
        <v>0</v>
      </c>
      <c r="O969" t="n">
        <v>0</v>
      </c>
      <c r="P969" t="n">
        <v>0</v>
      </c>
      <c r="Q969" t="n">
        <v>0</v>
      </c>
      <c r="R969" s="2" t="inlineStr"/>
    </row>
    <row r="970" ht="15" customHeight="1">
      <c r="A970" t="inlineStr">
        <is>
          <t>A 58415-2018</t>
        </is>
      </c>
      <c r="B970" s="1" t="n">
        <v>43398</v>
      </c>
      <c r="C970" s="1" t="n">
        <v>45204</v>
      </c>
      <c r="D970" t="inlineStr">
        <is>
          <t>VÄSTERBOTTENS LÄN</t>
        </is>
      </c>
      <c r="E970" t="inlineStr">
        <is>
          <t>BJURHOLM</t>
        </is>
      </c>
      <c r="G970" t="n">
        <v>2.3</v>
      </c>
      <c r="H970" t="n">
        <v>0</v>
      </c>
      <c r="I970" t="n">
        <v>0</v>
      </c>
      <c r="J970" t="n">
        <v>0</v>
      </c>
      <c r="K970" t="n">
        <v>0</v>
      </c>
      <c r="L970" t="n">
        <v>0</v>
      </c>
      <c r="M970" t="n">
        <v>0</v>
      </c>
      <c r="N970" t="n">
        <v>0</v>
      </c>
      <c r="O970" t="n">
        <v>0</v>
      </c>
      <c r="P970" t="n">
        <v>0</v>
      </c>
      <c r="Q970" t="n">
        <v>0</v>
      </c>
      <c r="R970" s="2" t="inlineStr"/>
    </row>
    <row r="971" ht="15" customHeight="1">
      <c r="A971" t="inlineStr">
        <is>
          <t>A 58629-2018</t>
        </is>
      </c>
      <c r="B971" s="1" t="n">
        <v>43399</v>
      </c>
      <c r="C971" s="1" t="n">
        <v>45204</v>
      </c>
      <c r="D971" t="inlineStr">
        <is>
          <t>VÄSTERBOTTENS LÄN</t>
        </is>
      </c>
      <c r="E971" t="inlineStr">
        <is>
          <t>BJURHOLM</t>
        </is>
      </c>
      <c r="G971" t="n">
        <v>1</v>
      </c>
      <c r="H971" t="n">
        <v>0</v>
      </c>
      <c r="I971" t="n">
        <v>0</v>
      </c>
      <c r="J971" t="n">
        <v>0</v>
      </c>
      <c r="K971" t="n">
        <v>0</v>
      </c>
      <c r="L971" t="n">
        <v>0</v>
      </c>
      <c r="M971" t="n">
        <v>0</v>
      </c>
      <c r="N971" t="n">
        <v>0</v>
      </c>
      <c r="O971" t="n">
        <v>0</v>
      </c>
      <c r="P971" t="n">
        <v>0</v>
      </c>
      <c r="Q971" t="n">
        <v>0</v>
      </c>
      <c r="R971" s="2" t="inlineStr"/>
    </row>
    <row r="972" ht="15" customHeight="1">
      <c r="A972" t="inlineStr">
        <is>
          <t>A 56313-2018</t>
        </is>
      </c>
      <c r="B972" s="1" t="n">
        <v>43399</v>
      </c>
      <c r="C972" s="1" t="n">
        <v>45204</v>
      </c>
      <c r="D972" t="inlineStr">
        <is>
          <t>VÄSTERBOTTENS LÄN</t>
        </is>
      </c>
      <c r="E972" t="inlineStr">
        <is>
          <t>SKELLEFTEÅ</t>
        </is>
      </c>
      <c r="G972" t="n">
        <v>2.8</v>
      </c>
      <c r="H972" t="n">
        <v>0</v>
      </c>
      <c r="I972" t="n">
        <v>0</v>
      </c>
      <c r="J972" t="n">
        <v>0</v>
      </c>
      <c r="K972" t="n">
        <v>0</v>
      </c>
      <c r="L972" t="n">
        <v>0</v>
      </c>
      <c r="M972" t="n">
        <v>0</v>
      </c>
      <c r="N972" t="n">
        <v>0</v>
      </c>
      <c r="O972" t="n">
        <v>0</v>
      </c>
      <c r="P972" t="n">
        <v>0</v>
      </c>
      <c r="Q972" t="n">
        <v>0</v>
      </c>
      <c r="R972" s="2" t="inlineStr"/>
    </row>
    <row r="973" ht="15" customHeight="1">
      <c r="A973" t="inlineStr">
        <is>
          <t>A 58642-2018</t>
        </is>
      </c>
      <c r="B973" s="1" t="n">
        <v>43399</v>
      </c>
      <c r="C973" s="1" t="n">
        <v>45204</v>
      </c>
      <c r="D973" t="inlineStr">
        <is>
          <t>VÄSTERBOTTENS LÄN</t>
        </is>
      </c>
      <c r="E973" t="inlineStr">
        <is>
          <t>STORUMAN</t>
        </is>
      </c>
      <c r="G973" t="n">
        <v>5</v>
      </c>
      <c r="H973" t="n">
        <v>0</v>
      </c>
      <c r="I973" t="n">
        <v>0</v>
      </c>
      <c r="J973" t="n">
        <v>0</v>
      </c>
      <c r="K973" t="n">
        <v>0</v>
      </c>
      <c r="L973" t="n">
        <v>0</v>
      </c>
      <c r="M973" t="n">
        <v>0</v>
      </c>
      <c r="N973" t="n">
        <v>0</v>
      </c>
      <c r="O973" t="n">
        <v>0</v>
      </c>
      <c r="P973" t="n">
        <v>0</v>
      </c>
      <c r="Q973" t="n">
        <v>0</v>
      </c>
      <c r="R973" s="2" t="inlineStr"/>
    </row>
    <row r="974" ht="15" customHeight="1">
      <c r="A974" t="inlineStr">
        <is>
          <t>A 58758-2018</t>
        </is>
      </c>
      <c r="B974" s="1" t="n">
        <v>43399</v>
      </c>
      <c r="C974" s="1" t="n">
        <v>45204</v>
      </c>
      <c r="D974" t="inlineStr">
        <is>
          <t>VÄSTERBOTTENS LÄN</t>
        </is>
      </c>
      <c r="E974" t="inlineStr">
        <is>
          <t>BJURHOLM</t>
        </is>
      </c>
      <c r="G974" t="n">
        <v>3.5</v>
      </c>
      <c r="H974" t="n">
        <v>0</v>
      </c>
      <c r="I974" t="n">
        <v>0</v>
      </c>
      <c r="J974" t="n">
        <v>0</v>
      </c>
      <c r="K974" t="n">
        <v>0</v>
      </c>
      <c r="L974" t="n">
        <v>0</v>
      </c>
      <c r="M974" t="n">
        <v>0</v>
      </c>
      <c r="N974" t="n">
        <v>0</v>
      </c>
      <c r="O974" t="n">
        <v>0</v>
      </c>
      <c r="P974" t="n">
        <v>0</v>
      </c>
      <c r="Q974" t="n">
        <v>0</v>
      </c>
      <c r="R974" s="2" t="inlineStr"/>
    </row>
    <row r="975" ht="15" customHeight="1">
      <c r="A975" t="inlineStr">
        <is>
          <t>A 58639-2018</t>
        </is>
      </c>
      <c r="B975" s="1" t="n">
        <v>43399</v>
      </c>
      <c r="C975" s="1" t="n">
        <v>45204</v>
      </c>
      <c r="D975" t="inlineStr">
        <is>
          <t>VÄSTERBOTTENS LÄN</t>
        </is>
      </c>
      <c r="E975" t="inlineStr">
        <is>
          <t>BJURHOLM</t>
        </is>
      </c>
      <c r="G975" t="n">
        <v>2.1</v>
      </c>
      <c r="H975" t="n">
        <v>0</v>
      </c>
      <c r="I975" t="n">
        <v>0</v>
      </c>
      <c r="J975" t="n">
        <v>0</v>
      </c>
      <c r="K975" t="n">
        <v>0</v>
      </c>
      <c r="L975" t="n">
        <v>0</v>
      </c>
      <c r="M975" t="n">
        <v>0</v>
      </c>
      <c r="N975" t="n">
        <v>0</v>
      </c>
      <c r="O975" t="n">
        <v>0</v>
      </c>
      <c r="P975" t="n">
        <v>0</v>
      </c>
      <c r="Q975" t="n">
        <v>0</v>
      </c>
      <c r="R975" s="2" t="inlineStr"/>
    </row>
    <row r="976" ht="15" customHeight="1">
      <c r="A976" t="inlineStr">
        <is>
          <t>A 59266-2018</t>
        </is>
      </c>
      <c r="B976" s="1" t="n">
        <v>43402</v>
      </c>
      <c r="C976" s="1" t="n">
        <v>45204</v>
      </c>
      <c r="D976" t="inlineStr">
        <is>
          <t>VÄSTERBOTTENS LÄN</t>
        </is>
      </c>
      <c r="E976" t="inlineStr">
        <is>
          <t>LYCKSELE</t>
        </is>
      </c>
      <c r="G976" t="n">
        <v>4.8</v>
      </c>
      <c r="H976" t="n">
        <v>0</v>
      </c>
      <c r="I976" t="n">
        <v>0</v>
      </c>
      <c r="J976" t="n">
        <v>0</v>
      </c>
      <c r="K976" t="n">
        <v>0</v>
      </c>
      <c r="L976" t="n">
        <v>0</v>
      </c>
      <c r="M976" t="n">
        <v>0</v>
      </c>
      <c r="N976" t="n">
        <v>0</v>
      </c>
      <c r="O976" t="n">
        <v>0</v>
      </c>
      <c r="P976" t="n">
        <v>0</v>
      </c>
      <c r="Q976" t="n">
        <v>0</v>
      </c>
      <c r="R976" s="2" t="inlineStr"/>
    </row>
    <row r="977" ht="15" customHeight="1">
      <c r="A977" t="inlineStr">
        <is>
          <t>A 56672-2018</t>
        </is>
      </c>
      <c r="B977" s="1" t="n">
        <v>43402</v>
      </c>
      <c r="C977" s="1" t="n">
        <v>45204</v>
      </c>
      <c r="D977" t="inlineStr">
        <is>
          <t>VÄSTERBOTTENS LÄN</t>
        </is>
      </c>
      <c r="E977" t="inlineStr">
        <is>
          <t>SKELLEFTEÅ</t>
        </is>
      </c>
      <c r="G977" t="n">
        <v>3.2</v>
      </c>
      <c r="H977" t="n">
        <v>0</v>
      </c>
      <c r="I977" t="n">
        <v>0</v>
      </c>
      <c r="J977" t="n">
        <v>0</v>
      </c>
      <c r="K977" t="n">
        <v>0</v>
      </c>
      <c r="L977" t="n">
        <v>0</v>
      </c>
      <c r="M977" t="n">
        <v>0</v>
      </c>
      <c r="N977" t="n">
        <v>0</v>
      </c>
      <c r="O977" t="n">
        <v>0</v>
      </c>
      <c r="P977" t="n">
        <v>0</v>
      </c>
      <c r="Q977" t="n">
        <v>0</v>
      </c>
      <c r="R977" s="2" t="inlineStr"/>
    </row>
    <row r="978" ht="15" customHeight="1">
      <c r="A978" t="inlineStr">
        <is>
          <t>A 56712-2018</t>
        </is>
      </c>
      <c r="B978" s="1" t="n">
        <v>43402</v>
      </c>
      <c r="C978" s="1" t="n">
        <v>45204</v>
      </c>
      <c r="D978" t="inlineStr">
        <is>
          <t>VÄSTERBOTTENS LÄN</t>
        </is>
      </c>
      <c r="E978" t="inlineStr">
        <is>
          <t>VÄNNÄS</t>
        </is>
      </c>
      <c r="G978" t="n">
        <v>2</v>
      </c>
      <c r="H978" t="n">
        <v>0</v>
      </c>
      <c r="I978" t="n">
        <v>0</v>
      </c>
      <c r="J978" t="n">
        <v>0</v>
      </c>
      <c r="K978" t="n">
        <v>0</v>
      </c>
      <c r="L978" t="n">
        <v>0</v>
      </c>
      <c r="M978" t="n">
        <v>0</v>
      </c>
      <c r="N978" t="n">
        <v>0</v>
      </c>
      <c r="O978" t="n">
        <v>0</v>
      </c>
      <c r="P978" t="n">
        <v>0</v>
      </c>
      <c r="Q978" t="n">
        <v>0</v>
      </c>
      <c r="R978" s="2" t="inlineStr"/>
    </row>
    <row r="979" ht="15" customHeight="1">
      <c r="A979" t="inlineStr">
        <is>
          <t>A 58762-2018</t>
        </is>
      </c>
      <c r="B979" s="1" t="n">
        <v>43402</v>
      </c>
      <c r="C979" s="1" t="n">
        <v>45204</v>
      </c>
      <c r="D979" t="inlineStr">
        <is>
          <t>VÄSTERBOTTENS LÄN</t>
        </is>
      </c>
      <c r="E979" t="inlineStr">
        <is>
          <t>BJURHOLM</t>
        </is>
      </c>
      <c r="G979" t="n">
        <v>1.6</v>
      </c>
      <c r="H979" t="n">
        <v>0</v>
      </c>
      <c r="I979" t="n">
        <v>0</v>
      </c>
      <c r="J979" t="n">
        <v>0</v>
      </c>
      <c r="K979" t="n">
        <v>0</v>
      </c>
      <c r="L979" t="n">
        <v>0</v>
      </c>
      <c r="M979" t="n">
        <v>0</v>
      </c>
      <c r="N979" t="n">
        <v>0</v>
      </c>
      <c r="O979" t="n">
        <v>0</v>
      </c>
      <c r="P979" t="n">
        <v>0</v>
      </c>
      <c r="Q979" t="n">
        <v>0</v>
      </c>
      <c r="R979" s="2" t="inlineStr"/>
    </row>
    <row r="980" ht="15" customHeight="1">
      <c r="A980" t="inlineStr">
        <is>
          <t>A 59022-2018</t>
        </is>
      </c>
      <c r="B980" s="1" t="n">
        <v>43402</v>
      </c>
      <c r="C980" s="1" t="n">
        <v>45204</v>
      </c>
      <c r="D980" t="inlineStr">
        <is>
          <t>VÄSTERBOTTENS LÄN</t>
        </is>
      </c>
      <c r="E980" t="inlineStr">
        <is>
          <t>MALÅ</t>
        </is>
      </c>
      <c r="G980" t="n">
        <v>1.9</v>
      </c>
      <c r="H980" t="n">
        <v>0</v>
      </c>
      <c r="I980" t="n">
        <v>0</v>
      </c>
      <c r="J980" t="n">
        <v>0</v>
      </c>
      <c r="K980" t="n">
        <v>0</v>
      </c>
      <c r="L980" t="n">
        <v>0</v>
      </c>
      <c r="M980" t="n">
        <v>0</v>
      </c>
      <c r="N980" t="n">
        <v>0</v>
      </c>
      <c r="O980" t="n">
        <v>0</v>
      </c>
      <c r="P980" t="n">
        <v>0</v>
      </c>
      <c r="Q980" t="n">
        <v>0</v>
      </c>
      <c r="R980" s="2" t="inlineStr"/>
    </row>
    <row r="981" ht="15" customHeight="1">
      <c r="A981" t="inlineStr">
        <is>
          <t>A 59267-2018</t>
        </is>
      </c>
      <c r="B981" s="1" t="n">
        <v>43402</v>
      </c>
      <c r="C981" s="1" t="n">
        <v>45204</v>
      </c>
      <c r="D981" t="inlineStr">
        <is>
          <t>VÄSTERBOTTENS LÄN</t>
        </is>
      </c>
      <c r="E981" t="inlineStr">
        <is>
          <t>LYCKSELE</t>
        </is>
      </c>
      <c r="G981" t="n">
        <v>6.2</v>
      </c>
      <c r="H981" t="n">
        <v>0</v>
      </c>
      <c r="I981" t="n">
        <v>0</v>
      </c>
      <c r="J981" t="n">
        <v>0</v>
      </c>
      <c r="K981" t="n">
        <v>0</v>
      </c>
      <c r="L981" t="n">
        <v>0</v>
      </c>
      <c r="M981" t="n">
        <v>0</v>
      </c>
      <c r="N981" t="n">
        <v>0</v>
      </c>
      <c r="O981" t="n">
        <v>0</v>
      </c>
      <c r="P981" t="n">
        <v>0</v>
      </c>
      <c r="Q981" t="n">
        <v>0</v>
      </c>
      <c r="R981" s="2" t="inlineStr"/>
    </row>
    <row r="982" ht="15" customHeight="1">
      <c r="A982" t="inlineStr">
        <is>
          <t>A 58729-2018</t>
        </is>
      </c>
      <c r="B982" s="1" t="n">
        <v>43402</v>
      </c>
      <c r="C982" s="1" t="n">
        <v>45204</v>
      </c>
      <c r="D982" t="inlineStr">
        <is>
          <t>VÄSTERBOTTENS LÄN</t>
        </is>
      </c>
      <c r="E982" t="inlineStr">
        <is>
          <t>BJURHOLM</t>
        </is>
      </c>
      <c r="G982" t="n">
        <v>1</v>
      </c>
      <c r="H982" t="n">
        <v>0</v>
      </c>
      <c r="I982" t="n">
        <v>0</v>
      </c>
      <c r="J982" t="n">
        <v>0</v>
      </c>
      <c r="K982" t="n">
        <v>0</v>
      </c>
      <c r="L982" t="n">
        <v>0</v>
      </c>
      <c r="M982" t="n">
        <v>0</v>
      </c>
      <c r="N982" t="n">
        <v>0</v>
      </c>
      <c r="O982" t="n">
        <v>0</v>
      </c>
      <c r="P982" t="n">
        <v>0</v>
      </c>
      <c r="Q982" t="n">
        <v>0</v>
      </c>
      <c r="R982" s="2" t="inlineStr"/>
    </row>
    <row r="983" ht="15" customHeight="1">
      <c r="A983" t="inlineStr">
        <is>
          <t>A 59010-2018</t>
        </is>
      </c>
      <c r="B983" s="1" t="n">
        <v>43402</v>
      </c>
      <c r="C983" s="1" t="n">
        <v>45204</v>
      </c>
      <c r="D983" t="inlineStr">
        <is>
          <t>VÄSTERBOTTENS LÄN</t>
        </is>
      </c>
      <c r="E983" t="inlineStr">
        <is>
          <t>MALÅ</t>
        </is>
      </c>
      <c r="G983" t="n">
        <v>8.5</v>
      </c>
      <c r="H983" t="n">
        <v>0</v>
      </c>
      <c r="I983" t="n">
        <v>0</v>
      </c>
      <c r="J983" t="n">
        <v>0</v>
      </c>
      <c r="K983" t="n">
        <v>0</v>
      </c>
      <c r="L983" t="n">
        <v>0</v>
      </c>
      <c r="M983" t="n">
        <v>0</v>
      </c>
      <c r="N983" t="n">
        <v>0</v>
      </c>
      <c r="O983" t="n">
        <v>0</v>
      </c>
      <c r="P983" t="n">
        <v>0</v>
      </c>
      <c r="Q983" t="n">
        <v>0</v>
      </c>
      <c r="R983" s="2" t="inlineStr"/>
    </row>
    <row r="984" ht="15" customHeight="1">
      <c r="A984" t="inlineStr">
        <is>
          <t>A 56731-2018</t>
        </is>
      </c>
      <c r="B984" s="1" t="n">
        <v>43402</v>
      </c>
      <c r="C984" s="1" t="n">
        <v>45204</v>
      </c>
      <c r="D984" t="inlineStr">
        <is>
          <t>VÄSTERBOTTENS LÄN</t>
        </is>
      </c>
      <c r="E984" t="inlineStr">
        <is>
          <t>LYCKSELE</t>
        </is>
      </c>
      <c r="G984" t="n">
        <v>7.1</v>
      </c>
      <c r="H984" t="n">
        <v>0</v>
      </c>
      <c r="I984" t="n">
        <v>0</v>
      </c>
      <c r="J984" t="n">
        <v>0</v>
      </c>
      <c r="K984" t="n">
        <v>0</v>
      </c>
      <c r="L984" t="n">
        <v>0</v>
      </c>
      <c r="M984" t="n">
        <v>0</v>
      </c>
      <c r="N984" t="n">
        <v>0</v>
      </c>
      <c r="O984" t="n">
        <v>0</v>
      </c>
      <c r="P984" t="n">
        <v>0</v>
      </c>
      <c r="Q984" t="n">
        <v>0</v>
      </c>
      <c r="R984" s="2" t="inlineStr"/>
    </row>
    <row r="985" ht="15" customHeight="1">
      <c r="A985" t="inlineStr">
        <is>
          <t>A 57389-2018</t>
        </is>
      </c>
      <c r="B985" s="1" t="n">
        <v>43402</v>
      </c>
      <c r="C985" s="1" t="n">
        <v>45204</v>
      </c>
      <c r="D985" t="inlineStr">
        <is>
          <t>VÄSTERBOTTENS LÄN</t>
        </is>
      </c>
      <c r="E985" t="inlineStr">
        <is>
          <t>VILHELMINA</t>
        </is>
      </c>
      <c r="G985" t="n">
        <v>2.3</v>
      </c>
      <c r="H985" t="n">
        <v>0</v>
      </c>
      <c r="I985" t="n">
        <v>0</v>
      </c>
      <c r="J985" t="n">
        <v>0</v>
      </c>
      <c r="K985" t="n">
        <v>0</v>
      </c>
      <c r="L985" t="n">
        <v>0</v>
      </c>
      <c r="M985" t="n">
        <v>0</v>
      </c>
      <c r="N985" t="n">
        <v>0</v>
      </c>
      <c r="O985" t="n">
        <v>0</v>
      </c>
      <c r="P985" t="n">
        <v>0</v>
      </c>
      <c r="Q985" t="n">
        <v>0</v>
      </c>
      <c r="R985" s="2" t="inlineStr"/>
    </row>
    <row r="986" ht="15" customHeight="1">
      <c r="A986" t="inlineStr">
        <is>
          <t>A 59026-2018</t>
        </is>
      </c>
      <c r="B986" s="1" t="n">
        <v>43402</v>
      </c>
      <c r="C986" s="1" t="n">
        <v>45204</v>
      </c>
      <c r="D986" t="inlineStr">
        <is>
          <t>VÄSTERBOTTENS LÄN</t>
        </is>
      </c>
      <c r="E986" t="inlineStr">
        <is>
          <t>SKELLEFTEÅ</t>
        </is>
      </c>
      <c r="G986" t="n">
        <v>1.4</v>
      </c>
      <c r="H986" t="n">
        <v>0</v>
      </c>
      <c r="I986" t="n">
        <v>0</v>
      </c>
      <c r="J986" t="n">
        <v>0</v>
      </c>
      <c r="K986" t="n">
        <v>0</v>
      </c>
      <c r="L986" t="n">
        <v>0</v>
      </c>
      <c r="M986" t="n">
        <v>0</v>
      </c>
      <c r="N986" t="n">
        <v>0</v>
      </c>
      <c r="O986" t="n">
        <v>0</v>
      </c>
      <c r="P986" t="n">
        <v>0</v>
      </c>
      <c r="Q986" t="n">
        <v>0</v>
      </c>
      <c r="R986" s="2" t="inlineStr"/>
    </row>
    <row r="987" ht="15" customHeight="1">
      <c r="A987" t="inlineStr">
        <is>
          <t>A 59193-2018</t>
        </is>
      </c>
      <c r="B987" s="1" t="n">
        <v>43403</v>
      </c>
      <c r="C987" s="1" t="n">
        <v>45204</v>
      </c>
      <c r="D987" t="inlineStr">
        <is>
          <t>VÄSTERBOTTENS LÄN</t>
        </is>
      </c>
      <c r="E987" t="inlineStr">
        <is>
          <t>LYCKSELE</t>
        </is>
      </c>
      <c r="G987" t="n">
        <v>2.1</v>
      </c>
      <c r="H987" t="n">
        <v>0</v>
      </c>
      <c r="I987" t="n">
        <v>0</v>
      </c>
      <c r="J987" t="n">
        <v>0</v>
      </c>
      <c r="K987" t="n">
        <v>0</v>
      </c>
      <c r="L987" t="n">
        <v>0</v>
      </c>
      <c r="M987" t="n">
        <v>0</v>
      </c>
      <c r="N987" t="n">
        <v>0</v>
      </c>
      <c r="O987" t="n">
        <v>0</v>
      </c>
      <c r="P987" t="n">
        <v>0</v>
      </c>
      <c r="Q987" t="n">
        <v>0</v>
      </c>
      <c r="R987" s="2" t="inlineStr"/>
    </row>
    <row r="988" ht="15" customHeight="1">
      <c r="A988" t="inlineStr">
        <is>
          <t>A 56872-2018</t>
        </is>
      </c>
      <c r="B988" s="1" t="n">
        <v>43403</v>
      </c>
      <c r="C988" s="1" t="n">
        <v>45204</v>
      </c>
      <c r="D988" t="inlineStr">
        <is>
          <t>VÄSTERBOTTENS LÄN</t>
        </is>
      </c>
      <c r="E988" t="inlineStr">
        <is>
          <t>NORDMALING</t>
        </is>
      </c>
      <c r="G988" t="n">
        <v>2.1</v>
      </c>
      <c r="H988" t="n">
        <v>0</v>
      </c>
      <c r="I988" t="n">
        <v>0</v>
      </c>
      <c r="J988" t="n">
        <v>0</v>
      </c>
      <c r="K988" t="n">
        <v>0</v>
      </c>
      <c r="L988" t="n">
        <v>0</v>
      </c>
      <c r="M988" t="n">
        <v>0</v>
      </c>
      <c r="N988" t="n">
        <v>0</v>
      </c>
      <c r="O988" t="n">
        <v>0</v>
      </c>
      <c r="P988" t="n">
        <v>0</v>
      </c>
      <c r="Q988" t="n">
        <v>0</v>
      </c>
      <c r="R988" s="2" t="inlineStr"/>
    </row>
    <row r="989" ht="15" customHeight="1">
      <c r="A989" t="inlineStr">
        <is>
          <t>A 56921-2018</t>
        </is>
      </c>
      <c r="B989" s="1" t="n">
        <v>43403</v>
      </c>
      <c r="C989" s="1" t="n">
        <v>45204</v>
      </c>
      <c r="D989" t="inlineStr">
        <is>
          <t>VÄSTERBOTTENS LÄN</t>
        </is>
      </c>
      <c r="E989" t="inlineStr">
        <is>
          <t>DOROTEA</t>
        </is>
      </c>
      <c r="F989" t="inlineStr">
        <is>
          <t>Kommuner</t>
        </is>
      </c>
      <c r="G989" t="n">
        <v>2.8</v>
      </c>
      <c r="H989" t="n">
        <v>0</v>
      </c>
      <c r="I989" t="n">
        <v>0</v>
      </c>
      <c r="J989" t="n">
        <v>0</v>
      </c>
      <c r="K989" t="n">
        <v>0</v>
      </c>
      <c r="L989" t="n">
        <v>0</v>
      </c>
      <c r="M989" t="n">
        <v>0</v>
      </c>
      <c r="N989" t="n">
        <v>0</v>
      </c>
      <c r="O989" t="n">
        <v>0</v>
      </c>
      <c r="P989" t="n">
        <v>0</v>
      </c>
      <c r="Q989" t="n">
        <v>0</v>
      </c>
      <c r="R989" s="2" t="inlineStr"/>
    </row>
    <row r="990" ht="15" customHeight="1">
      <c r="A990" t="inlineStr">
        <is>
          <t>A 59284-2018</t>
        </is>
      </c>
      <c r="B990" s="1" t="n">
        <v>43404</v>
      </c>
      <c r="C990" s="1" t="n">
        <v>45204</v>
      </c>
      <c r="D990" t="inlineStr">
        <is>
          <t>VÄSTERBOTTENS LÄN</t>
        </is>
      </c>
      <c r="E990" t="inlineStr">
        <is>
          <t>VINDELN</t>
        </is>
      </c>
      <c r="G990" t="n">
        <v>1.5</v>
      </c>
      <c r="H990" t="n">
        <v>0</v>
      </c>
      <c r="I990" t="n">
        <v>0</v>
      </c>
      <c r="J990" t="n">
        <v>0</v>
      </c>
      <c r="K990" t="n">
        <v>0</v>
      </c>
      <c r="L990" t="n">
        <v>0</v>
      </c>
      <c r="M990" t="n">
        <v>0</v>
      </c>
      <c r="N990" t="n">
        <v>0</v>
      </c>
      <c r="O990" t="n">
        <v>0</v>
      </c>
      <c r="P990" t="n">
        <v>0</v>
      </c>
      <c r="Q990" t="n">
        <v>0</v>
      </c>
      <c r="R990" s="2" t="inlineStr"/>
    </row>
    <row r="991" ht="15" customHeight="1">
      <c r="A991" t="inlineStr">
        <is>
          <t>A 57337-2018</t>
        </is>
      </c>
      <c r="B991" s="1" t="n">
        <v>43404</v>
      </c>
      <c r="C991" s="1" t="n">
        <v>45204</v>
      </c>
      <c r="D991" t="inlineStr">
        <is>
          <t>VÄSTERBOTTENS LÄN</t>
        </is>
      </c>
      <c r="E991" t="inlineStr">
        <is>
          <t>BJURHOLM</t>
        </is>
      </c>
      <c r="G991" t="n">
        <v>6</v>
      </c>
      <c r="H991" t="n">
        <v>0</v>
      </c>
      <c r="I991" t="n">
        <v>0</v>
      </c>
      <c r="J991" t="n">
        <v>0</v>
      </c>
      <c r="K991" t="n">
        <v>0</v>
      </c>
      <c r="L991" t="n">
        <v>0</v>
      </c>
      <c r="M991" t="n">
        <v>0</v>
      </c>
      <c r="N991" t="n">
        <v>0</v>
      </c>
      <c r="O991" t="n">
        <v>0</v>
      </c>
      <c r="P991" t="n">
        <v>0</v>
      </c>
      <c r="Q991" t="n">
        <v>0</v>
      </c>
      <c r="R991" s="2" t="inlineStr"/>
    </row>
    <row r="992" ht="15" customHeight="1">
      <c r="A992" t="inlineStr">
        <is>
          <t>A 59375-2018</t>
        </is>
      </c>
      <c r="B992" s="1" t="n">
        <v>43404</v>
      </c>
      <c r="C992" s="1" t="n">
        <v>45204</v>
      </c>
      <c r="D992" t="inlineStr">
        <is>
          <t>VÄSTERBOTTENS LÄN</t>
        </is>
      </c>
      <c r="E992" t="inlineStr">
        <is>
          <t>NORDMALING</t>
        </is>
      </c>
      <c r="G992" t="n">
        <v>2.9</v>
      </c>
      <c r="H992" t="n">
        <v>0</v>
      </c>
      <c r="I992" t="n">
        <v>0</v>
      </c>
      <c r="J992" t="n">
        <v>0</v>
      </c>
      <c r="K992" t="n">
        <v>0</v>
      </c>
      <c r="L992" t="n">
        <v>0</v>
      </c>
      <c r="M992" t="n">
        <v>0</v>
      </c>
      <c r="N992" t="n">
        <v>0</v>
      </c>
      <c r="O992" t="n">
        <v>0</v>
      </c>
      <c r="P992" t="n">
        <v>0</v>
      </c>
      <c r="Q992" t="n">
        <v>0</v>
      </c>
      <c r="R992" s="2" t="inlineStr"/>
    </row>
    <row r="993" ht="15" customHeight="1">
      <c r="A993" t="inlineStr">
        <is>
          <t>A 57379-2018</t>
        </is>
      </c>
      <c r="B993" s="1" t="n">
        <v>43404</v>
      </c>
      <c r="C993" s="1" t="n">
        <v>45204</v>
      </c>
      <c r="D993" t="inlineStr">
        <is>
          <t>VÄSTERBOTTENS LÄN</t>
        </is>
      </c>
      <c r="E993" t="inlineStr">
        <is>
          <t>VINDELN</t>
        </is>
      </c>
      <c r="F993" t="inlineStr">
        <is>
          <t>Holmen skog AB</t>
        </is>
      </c>
      <c r="G993" t="n">
        <v>2.3</v>
      </c>
      <c r="H993" t="n">
        <v>0</v>
      </c>
      <c r="I993" t="n">
        <v>0</v>
      </c>
      <c r="J993" t="n">
        <v>0</v>
      </c>
      <c r="K993" t="n">
        <v>0</v>
      </c>
      <c r="L993" t="n">
        <v>0</v>
      </c>
      <c r="M993" t="n">
        <v>0</v>
      </c>
      <c r="N993" t="n">
        <v>0</v>
      </c>
      <c r="O993" t="n">
        <v>0</v>
      </c>
      <c r="P993" t="n">
        <v>0</v>
      </c>
      <c r="Q993" t="n">
        <v>0</v>
      </c>
      <c r="R993" s="2" t="inlineStr"/>
    </row>
    <row r="994" ht="15" customHeight="1">
      <c r="A994" t="inlineStr">
        <is>
          <t>A 57674-2018</t>
        </is>
      </c>
      <c r="B994" s="1" t="n">
        <v>43405</v>
      </c>
      <c r="C994" s="1" t="n">
        <v>45204</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59596-2018</t>
        </is>
      </c>
      <c r="B995" s="1" t="n">
        <v>43405</v>
      </c>
      <c r="C995" s="1" t="n">
        <v>45204</v>
      </c>
      <c r="D995" t="inlineStr">
        <is>
          <t>VÄSTERBOTTENS LÄN</t>
        </is>
      </c>
      <c r="E995" t="inlineStr">
        <is>
          <t>STORUMAN</t>
        </is>
      </c>
      <c r="G995" t="n">
        <v>8.800000000000001</v>
      </c>
      <c r="H995" t="n">
        <v>0</v>
      </c>
      <c r="I995" t="n">
        <v>0</v>
      </c>
      <c r="J995" t="n">
        <v>0</v>
      </c>
      <c r="K995" t="n">
        <v>0</v>
      </c>
      <c r="L995" t="n">
        <v>0</v>
      </c>
      <c r="M995" t="n">
        <v>0</v>
      </c>
      <c r="N995" t="n">
        <v>0</v>
      </c>
      <c r="O995" t="n">
        <v>0</v>
      </c>
      <c r="P995" t="n">
        <v>0</v>
      </c>
      <c r="Q995" t="n">
        <v>0</v>
      </c>
      <c r="R995" s="2" t="inlineStr"/>
    </row>
    <row r="996" ht="15" customHeight="1">
      <c r="A996" t="inlineStr">
        <is>
          <t>A 59852-2018</t>
        </is>
      </c>
      <c r="B996" s="1" t="n">
        <v>43405</v>
      </c>
      <c r="C996" s="1" t="n">
        <v>45204</v>
      </c>
      <c r="D996" t="inlineStr">
        <is>
          <t>VÄSTERBOTTENS LÄN</t>
        </is>
      </c>
      <c r="E996" t="inlineStr">
        <is>
          <t>UMEÅ</t>
        </is>
      </c>
      <c r="G996" t="n">
        <v>1.6</v>
      </c>
      <c r="H996" t="n">
        <v>0</v>
      </c>
      <c r="I996" t="n">
        <v>0</v>
      </c>
      <c r="J996" t="n">
        <v>0</v>
      </c>
      <c r="K996" t="n">
        <v>0</v>
      </c>
      <c r="L996" t="n">
        <v>0</v>
      </c>
      <c r="M996" t="n">
        <v>0</v>
      </c>
      <c r="N996" t="n">
        <v>0</v>
      </c>
      <c r="O996" t="n">
        <v>0</v>
      </c>
      <c r="P996" t="n">
        <v>0</v>
      </c>
      <c r="Q996" t="n">
        <v>0</v>
      </c>
      <c r="R996" s="2" t="inlineStr"/>
    </row>
    <row r="997" ht="15" customHeight="1">
      <c r="A997" t="inlineStr">
        <is>
          <t>A 60425-2018</t>
        </is>
      </c>
      <c r="B997" s="1" t="n">
        <v>43405</v>
      </c>
      <c r="C997" s="1" t="n">
        <v>45204</v>
      </c>
      <c r="D997" t="inlineStr">
        <is>
          <t>VÄSTERBOTTENS LÄN</t>
        </is>
      </c>
      <c r="E997" t="inlineStr">
        <is>
          <t>SORSELE</t>
        </is>
      </c>
      <c r="G997" t="n">
        <v>5.9</v>
      </c>
      <c r="H997" t="n">
        <v>0</v>
      </c>
      <c r="I997" t="n">
        <v>0</v>
      </c>
      <c r="J997" t="n">
        <v>0</v>
      </c>
      <c r="K997" t="n">
        <v>0</v>
      </c>
      <c r="L997" t="n">
        <v>0</v>
      </c>
      <c r="M997" t="n">
        <v>0</v>
      </c>
      <c r="N997" t="n">
        <v>0</v>
      </c>
      <c r="O997" t="n">
        <v>0</v>
      </c>
      <c r="P997" t="n">
        <v>0</v>
      </c>
      <c r="Q997" t="n">
        <v>0</v>
      </c>
      <c r="R997" s="2" t="inlineStr"/>
    </row>
    <row r="998" ht="15" customHeight="1">
      <c r="A998" t="inlineStr">
        <is>
          <t>A 58006-2018</t>
        </is>
      </c>
      <c r="B998" s="1" t="n">
        <v>43406</v>
      </c>
      <c r="C998" s="1" t="n">
        <v>45204</v>
      </c>
      <c r="D998" t="inlineStr">
        <is>
          <t>VÄSTERBOTTENS LÄN</t>
        </is>
      </c>
      <c r="E998" t="inlineStr">
        <is>
          <t>SKELLEFTEÅ</t>
        </is>
      </c>
      <c r="G998" t="n">
        <v>0.7</v>
      </c>
      <c r="H998" t="n">
        <v>0</v>
      </c>
      <c r="I998" t="n">
        <v>0</v>
      </c>
      <c r="J998" t="n">
        <v>0</v>
      </c>
      <c r="K998" t="n">
        <v>0</v>
      </c>
      <c r="L998" t="n">
        <v>0</v>
      </c>
      <c r="M998" t="n">
        <v>0</v>
      </c>
      <c r="N998" t="n">
        <v>0</v>
      </c>
      <c r="O998" t="n">
        <v>0</v>
      </c>
      <c r="P998" t="n">
        <v>0</v>
      </c>
      <c r="Q998" t="n">
        <v>0</v>
      </c>
      <c r="R998" s="2" t="inlineStr"/>
    </row>
    <row r="999" ht="15" customHeight="1">
      <c r="A999" t="inlineStr">
        <is>
          <t>A 60339-2018</t>
        </is>
      </c>
      <c r="B999" s="1" t="n">
        <v>43406</v>
      </c>
      <c r="C999" s="1" t="n">
        <v>45204</v>
      </c>
      <c r="D999" t="inlineStr">
        <is>
          <t>VÄSTERBOTTENS LÄN</t>
        </is>
      </c>
      <c r="E999" t="inlineStr">
        <is>
          <t>BJURHOLM</t>
        </is>
      </c>
      <c r="G999" t="n">
        <v>14.4</v>
      </c>
      <c r="H999" t="n">
        <v>0</v>
      </c>
      <c r="I999" t="n">
        <v>0</v>
      </c>
      <c r="J999" t="n">
        <v>0</v>
      </c>
      <c r="K999" t="n">
        <v>0</v>
      </c>
      <c r="L999" t="n">
        <v>0</v>
      </c>
      <c r="M999" t="n">
        <v>0</v>
      </c>
      <c r="N999" t="n">
        <v>0</v>
      </c>
      <c r="O999" t="n">
        <v>0</v>
      </c>
      <c r="P999" t="n">
        <v>0</v>
      </c>
      <c r="Q999" t="n">
        <v>0</v>
      </c>
      <c r="R999" s="2" t="inlineStr"/>
    </row>
    <row r="1000" ht="15" customHeight="1">
      <c r="A1000" t="inlineStr">
        <is>
          <t>A 60418-2018</t>
        </is>
      </c>
      <c r="B1000" s="1" t="n">
        <v>43406</v>
      </c>
      <c r="C1000" s="1" t="n">
        <v>45204</v>
      </c>
      <c r="D1000" t="inlineStr">
        <is>
          <t>VÄSTERBOTTENS LÄN</t>
        </is>
      </c>
      <c r="E1000" t="inlineStr">
        <is>
          <t>BJURHOLM</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58063-2018</t>
        </is>
      </c>
      <c r="B1001" s="1" t="n">
        <v>43406</v>
      </c>
      <c r="C1001" s="1" t="n">
        <v>45204</v>
      </c>
      <c r="D1001" t="inlineStr">
        <is>
          <t>VÄSTERBOTTENS LÄN</t>
        </is>
      </c>
      <c r="E1001" t="inlineStr">
        <is>
          <t>VINDELN</t>
        </is>
      </c>
      <c r="F1001" t="inlineStr">
        <is>
          <t>Holmen skog AB</t>
        </is>
      </c>
      <c r="G1001" t="n">
        <v>6.4</v>
      </c>
      <c r="H1001" t="n">
        <v>0</v>
      </c>
      <c r="I1001" t="n">
        <v>0</v>
      </c>
      <c r="J1001" t="n">
        <v>0</v>
      </c>
      <c r="K1001" t="n">
        <v>0</v>
      </c>
      <c r="L1001" t="n">
        <v>0</v>
      </c>
      <c r="M1001" t="n">
        <v>0</v>
      </c>
      <c r="N1001" t="n">
        <v>0</v>
      </c>
      <c r="O1001" t="n">
        <v>0</v>
      </c>
      <c r="P1001" t="n">
        <v>0</v>
      </c>
      <c r="Q1001" t="n">
        <v>0</v>
      </c>
      <c r="R1001" s="2" t="inlineStr"/>
    </row>
    <row r="1002" ht="15" customHeight="1">
      <c r="A1002" t="inlineStr">
        <is>
          <t>A 60391-2018</t>
        </is>
      </c>
      <c r="B1002" s="1" t="n">
        <v>43406</v>
      </c>
      <c r="C1002" s="1" t="n">
        <v>45204</v>
      </c>
      <c r="D1002" t="inlineStr">
        <is>
          <t>VÄSTERBOTTENS LÄN</t>
        </is>
      </c>
      <c r="E1002" t="inlineStr">
        <is>
          <t>BJURHOLM</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58018-2018</t>
        </is>
      </c>
      <c r="B1003" s="1" t="n">
        <v>43406</v>
      </c>
      <c r="C1003" s="1" t="n">
        <v>45204</v>
      </c>
      <c r="D1003" t="inlineStr">
        <is>
          <t>VÄSTERBOTTENS LÄN</t>
        </is>
      </c>
      <c r="E1003" t="inlineStr">
        <is>
          <t>VINDELN</t>
        </is>
      </c>
      <c r="G1003" t="n">
        <v>17.2</v>
      </c>
      <c r="H1003" t="n">
        <v>0</v>
      </c>
      <c r="I1003" t="n">
        <v>0</v>
      </c>
      <c r="J1003" t="n">
        <v>0</v>
      </c>
      <c r="K1003" t="n">
        <v>0</v>
      </c>
      <c r="L1003" t="n">
        <v>0</v>
      </c>
      <c r="M1003" t="n">
        <v>0</v>
      </c>
      <c r="N1003" t="n">
        <v>0</v>
      </c>
      <c r="O1003" t="n">
        <v>0</v>
      </c>
      <c r="P1003" t="n">
        <v>0</v>
      </c>
      <c r="Q1003" t="n">
        <v>0</v>
      </c>
      <c r="R1003" s="2" t="inlineStr"/>
    </row>
    <row r="1004" ht="15" customHeight="1">
      <c r="A1004" t="inlineStr">
        <is>
          <t>A 60421-2018</t>
        </is>
      </c>
      <c r="B1004" s="1" t="n">
        <v>43406</v>
      </c>
      <c r="C1004" s="1" t="n">
        <v>45204</v>
      </c>
      <c r="D1004" t="inlineStr">
        <is>
          <t>VÄSTERBOTTENS LÄN</t>
        </is>
      </c>
      <c r="E1004" t="inlineStr">
        <is>
          <t>BJURHOLM</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60573-2018</t>
        </is>
      </c>
      <c r="B1005" s="1" t="n">
        <v>43406</v>
      </c>
      <c r="C1005" s="1" t="n">
        <v>45204</v>
      </c>
      <c r="D1005" t="inlineStr">
        <is>
          <t>VÄSTERBOTTENS LÄN</t>
        </is>
      </c>
      <c r="E1005" t="inlineStr">
        <is>
          <t>SKELLEFTEÅ</t>
        </is>
      </c>
      <c r="G1005" t="n">
        <v>4.9</v>
      </c>
      <c r="H1005" t="n">
        <v>0</v>
      </c>
      <c r="I1005" t="n">
        <v>0</v>
      </c>
      <c r="J1005" t="n">
        <v>0</v>
      </c>
      <c r="K1005" t="n">
        <v>0</v>
      </c>
      <c r="L1005" t="n">
        <v>0</v>
      </c>
      <c r="M1005" t="n">
        <v>0</v>
      </c>
      <c r="N1005" t="n">
        <v>0</v>
      </c>
      <c r="O1005" t="n">
        <v>0</v>
      </c>
      <c r="P1005" t="n">
        <v>0</v>
      </c>
      <c r="Q1005" t="n">
        <v>0</v>
      </c>
      <c r="R1005" s="2" t="inlineStr"/>
    </row>
    <row r="1006" ht="15" customHeight="1">
      <c r="A1006" t="inlineStr">
        <is>
          <t>A 58102-2018</t>
        </is>
      </c>
      <c r="B1006" s="1" t="n">
        <v>43406</v>
      </c>
      <c r="C1006" s="1" t="n">
        <v>45204</v>
      </c>
      <c r="D1006" t="inlineStr">
        <is>
          <t>VÄSTERBOTTENS LÄN</t>
        </is>
      </c>
      <c r="E1006" t="inlineStr">
        <is>
          <t>BJURHOLM</t>
        </is>
      </c>
      <c r="F1006" t="inlineStr">
        <is>
          <t>Holmen skog AB</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60401-2018</t>
        </is>
      </c>
      <c r="B1007" s="1" t="n">
        <v>43406</v>
      </c>
      <c r="C1007" s="1" t="n">
        <v>45204</v>
      </c>
      <c r="D1007" t="inlineStr">
        <is>
          <t>VÄSTERBOTTENS LÄN</t>
        </is>
      </c>
      <c r="E1007" t="inlineStr">
        <is>
          <t>BJURHOLM</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60604-2018</t>
        </is>
      </c>
      <c r="B1008" s="1" t="n">
        <v>43406</v>
      </c>
      <c r="C1008" s="1" t="n">
        <v>45204</v>
      </c>
      <c r="D1008" t="inlineStr">
        <is>
          <t>VÄSTERBOTTENS LÄN</t>
        </is>
      </c>
      <c r="E1008" t="inlineStr">
        <is>
          <t>UMEÅ</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58563-2018</t>
        </is>
      </c>
      <c r="B1009" s="1" t="n">
        <v>43409</v>
      </c>
      <c r="C1009" s="1" t="n">
        <v>45204</v>
      </c>
      <c r="D1009" t="inlineStr">
        <is>
          <t>VÄSTERBOTTENS LÄN</t>
        </is>
      </c>
      <c r="E1009" t="inlineStr">
        <is>
          <t>VILHELMINA</t>
        </is>
      </c>
      <c r="F1009" t="inlineStr">
        <is>
          <t>SCA</t>
        </is>
      </c>
      <c r="G1009" t="n">
        <v>18.1</v>
      </c>
      <c r="H1009" t="n">
        <v>0</v>
      </c>
      <c r="I1009" t="n">
        <v>0</v>
      </c>
      <c r="J1009" t="n">
        <v>0</v>
      </c>
      <c r="K1009" t="n">
        <v>0</v>
      </c>
      <c r="L1009" t="n">
        <v>0</v>
      </c>
      <c r="M1009" t="n">
        <v>0</v>
      </c>
      <c r="N1009" t="n">
        <v>0</v>
      </c>
      <c r="O1009" t="n">
        <v>0</v>
      </c>
      <c r="P1009" t="n">
        <v>0</v>
      </c>
      <c r="Q1009" t="n">
        <v>0</v>
      </c>
      <c r="R1009" s="2" t="inlineStr"/>
    </row>
    <row r="1010" ht="15" customHeight="1">
      <c r="A1010" t="inlineStr">
        <is>
          <t>A 60707-2018</t>
        </is>
      </c>
      <c r="B1010" s="1" t="n">
        <v>43409</v>
      </c>
      <c r="C1010" s="1" t="n">
        <v>45204</v>
      </c>
      <c r="D1010" t="inlineStr">
        <is>
          <t>VÄSTERBOTTENS LÄN</t>
        </is>
      </c>
      <c r="E1010" t="inlineStr">
        <is>
          <t>SKELLEFTEÅ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60751-2018</t>
        </is>
      </c>
      <c r="B1011" s="1" t="n">
        <v>43409</v>
      </c>
      <c r="C1011" s="1" t="n">
        <v>45204</v>
      </c>
      <c r="D1011" t="inlineStr">
        <is>
          <t>VÄSTERBOTTENS LÄN</t>
        </is>
      </c>
      <c r="E1011" t="inlineStr">
        <is>
          <t>ROBERTSFORS</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60711-2018</t>
        </is>
      </c>
      <c r="B1012" s="1" t="n">
        <v>43409</v>
      </c>
      <c r="C1012" s="1" t="n">
        <v>45204</v>
      </c>
      <c r="D1012" t="inlineStr">
        <is>
          <t>VÄSTERBOTTENS LÄN</t>
        </is>
      </c>
      <c r="E1012" t="inlineStr">
        <is>
          <t>SKELLEFTEÅ</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60731-2018</t>
        </is>
      </c>
      <c r="B1013" s="1" t="n">
        <v>43409</v>
      </c>
      <c r="C1013" s="1" t="n">
        <v>45204</v>
      </c>
      <c r="D1013" t="inlineStr">
        <is>
          <t>VÄSTERBOTTENS LÄN</t>
        </is>
      </c>
      <c r="E1013" t="inlineStr">
        <is>
          <t>UMEÅ</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58564-2018</t>
        </is>
      </c>
      <c r="B1014" s="1" t="n">
        <v>43409</v>
      </c>
      <c r="C1014" s="1" t="n">
        <v>45204</v>
      </c>
      <c r="D1014" t="inlineStr">
        <is>
          <t>VÄSTERBOTTENS LÄN</t>
        </is>
      </c>
      <c r="E1014" t="inlineStr">
        <is>
          <t>LYCKSELE</t>
        </is>
      </c>
      <c r="F1014" t="inlineStr">
        <is>
          <t>SCA</t>
        </is>
      </c>
      <c r="G1014" t="n">
        <v>0.1</v>
      </c>
      <c r="H1014" t="n">
        <v>0</v>
      </c>
      <c r="I1014" t="n">
        <v>0</v>
      </c>
      <c r="J1014" t="n">
        <v>0</v>
      </c>
      <c r="K1014" t="n">
        <v>0</v>
      </c>
      <c r="L1014" t="n">
        <v>0</v>
      </c>
      <c r="M1014" t="n">
        <v>0</v>
      </c>
      <c r="N1014" t="n">
        <v>0</v>
      </c>
      <c r="O1014" t="n">
        <v>0</v>
      </c>
      <c r="P1014" t="n">
        <v>0</v>
      </c>
      <c r="Q1014" t="n">
        <v>0</v>
      </c>
      <c r="R1014" s="2" t="inlineStr"/>
    </row>
    <row r="1015" ht="15" customHeight="1">
      <c r="A1015" t="inlineStr">
        <is>
          <t>A 58805-2018</t>
        </is>
      </c>
      <c r="B1015" s="1" t="n">
        <v>43410</v>
      </c>
      <c r="C1015" s="1" t="n">
        <v>45204</v>
      </c>
      <c r="D1015" t="inlineStr">
        <is>
          <t>VÄSTERBOTTENS LÄN</t>
        </is>
      </c>
      <c r="E1015" t="inlineStr">
        <is>
          <t>SKELLEFTEÅ</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60840-2018</t>
        </is>
      </c>
      <c r="B1016" s="1" t="n">
        <v>43410</v>
      </c>
      <c r="C1016" s="1" t="n">
        <v>45204</v>
      </c>
      <c r="D1016" t="inlineStr">
        <is>
          <t>VÄSTERBOTTENS LÄN</t>
        </is>
      </c>
      <c r="E1016" t="inlineStr">
        <is>
          <t>LYCKSELE</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61145-2018</t>
        </is>
      </c>
      <c r="B1017" s="1" t="n">
        <v>43411</v>
      </c>
      <c r="C1017" s="1" t="n">
        <v>45204</v>
      </c>
      <c r="D1017" t="inlineStr">
        <is>
          <t>VÄSTERBOTTENS LÄN</t>
        </is>
      </c>
      <c r="E1017" t="inlineStr">
        <is>
          <t>LYCKSELE</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59827-2018</t>
        </is>
      </c>
      <c r="B1018" s="1" t="n">
        <v>43411</v>
      </c>
      <c r="C1018" s="1" t="n">
        <v>45204</v>
      </c>
      <c r="D1018" t="inlineStr">
        <is>
          <t>VÄSTERBOTTENS LÄN</t>
        </is>
      </c>
      <c r="E1018" t="inlineStr">
        <is>
          <t>BJURHOLM</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59105-2018</t>
        </is>
      </c>
      <c r="B1019" s="1" t="n">
        <v>43411</v>
      </c>
      <c r="C1019" s="1" t="n">
        <v>45204</v>
      </c>
      <c r="D1019" t="inlineStr">
        <is>
          <t>VÄSTERBOTTENS LÄN</t>
        </is>
      </c>
      <c r="E1019" t="inlineStr">
        <is>
          <t>SKELLEFTEÅ</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61039-2018</t>
        </is>
      </c>
      <c r="B1020" s="1" t="n">
        <v>43412</v>
      </c>
      <c r="C1020" s="1" t="n">
        <v>45204</v>
      </c>
      <c r="D1020" t="inlineStr">
        <is>
          <t>VÄSTERBOTTENS LÄN</t>
        </is>
      </c>
      <c r="E1020" t="inlineStr">
        <is>
          <t>SKELLEFTEÅ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61343-2018</t>
        </is>
      </c>
      <c r="B1021" s="1" t="n">
        <v>43412</v>
      </c>
      <c r="C1021" s="1" t="n">
        <v>45204</v>
      </c>
      <c r="D1021" t="inlineStr">
        <is>
          <t>VÄSTERBOTTENS LÄN</t>
        </is>
      </c>
      <c r="E1021" t="inlineStr">
        <is>
          <t>SKELLEFTEÅ</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60037-2018</t>
        </is>
      </c>
      <c r="B1022" s="1" t="n">
        <v>43412</v>
      </c>
      <c r="C1022" s="1" t="n">
        <v>45204</v>
      </c>
      <c r="D1022" t="inlineStr">
        <is>
          <t>VÄSTERBOTTENS LÄN</t>
        </is>
      </c>
      <c r="E1022" t="inlineStr">
        <is>
          <t>SKELLEFTEÅ</t>
        </is>
      </c>
      <c r="F1022" t="inlineStr">
        <is>
          <t>Holmen skog AB</t>
        </is>
      </c>
      <c r="G1022" t="n">
        <v>6.6</v>
      </c>
      <c r="H1022" t="n">
        <v>0</v>
      </c>
      <c r="I1022" t="n">
        <v>0</v>
      </c>
      <c r="J1022" t="n">
        <v>0</v>
      </c>
      <c r="K1022" t="n">
        <v>0</v>
      </c>
      <c r="L1022" t="n">
        <v>0</v>
      </c>
      <c r="M1022" t="n">
        <v>0</v>
      </c>
      <c r="N1022" t="n">
        <v>0</v>
      </c>
      <c r="O1022" t="n">
        <v>0</v>
      </c>
      <c r="P1022" t="n">
        <v>0</v>
      </c>
      <c r="Q1022" t="n">
        <v>0</v>
      </c>
      <c r="R1022" s="2" t="inlineStr"/>
    </row>
    <row r="1023" ht="15" customHeight="1">
      <c r="A1023" t="inlineStr">
        <is>
          <t>A 61314-2018</t>
        </is>
      </c>
      <c r="B1023" s="1" t="n">
        <v>43412</v>
      </c>
      <c r="C1023" s="1" t="n">
        <v>45204</v>
      </c>
      <c r="D1023" t="inlineStr">
        <is>
          <t>VÄSTERBOTTENS LÄN</t>
        </is>
      </c>
      <c r="E1023" t="inlineStr">
        <is>
          <t>VILHELMINA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58964-2018</t>
        </is>
      </c>
      <c r="B1024" s="1" t="n">
        <v>43412</v>
      </c>
      <c r="C1024" s="1" t="n">
        <v>45204</v>
      </c>
      <c r="D1024" t="inlineStr">
        <is>
          <t>VÄSTERBOTTENS LÄN</t>
        </is>
      </c>
      <c r="E1024" t="inlineStr">
        <is>
          <t>VILHELMINA</t>
        </is>
      </c>
      <c r="F1024" t="inlineStr">
        <is>
          <t>Allmännings- och besparingsskogar</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60077-2018</t>
        </is>
      </c>
      <c r="B1025" s="1" t="n">
        <v>43412</v>
      </c>
      <c r="C1025" s="1" t="n">
        <v>45204</v>
      </c>
      <c r="D1025" t="inlineStr">
        <is>
          <t>VÄSTERBOTTENS LÄN</t>
        </is>
      </c>
      <c r="E1025" t="inlineStr">
        <is>
          <t>SKELLEFTEÅ</t>
        </is>
      </c>
      <c r="F1025" t="inlineStr">
        <is>
          <t>Holmen skog AB</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60209-2018</t>
        </is>
      </c>
      <c r="B1026" s="1" t="n">
        <v>43412</v>
      </c>
      <c r="C1026" s="1" t="n">
        <v>45204</v>
      </c>
      <c r="D1026" t="inlineStr">
        <is>
          <t>VÄSTERBOTTENS LÄN</t>
        </is>
      </c>
      <c r="E1026" t="inlineStr">
        <is>
          <t>UMEÅ</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60279-2018</t>
        </is>
      </c>
      <c r="B1027" s="1" t="n">
        <v>43413</v>
      </c>
      <c r="C1027" s="1" t="n">
        <v>45204</v>
      </c>
      <c r="D1027" t="inlineStr">
        <is>
          <t>VÄSTERBOTTENS LÄN</t>
        </is>
      </c>
      <c r="E1027" t="inlineStr">
        <is>
          <t>UMEÅ</t>
        </is>
      </c>
      <c r="F1027" t="inlineStr">
        <is>
          <t>Holmen skog AB</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61672-2018</t>
        </is>
      </c>
      <c r="B1028" s="1" t="n">
        <v>43413</v>
      </c>
      <c r="C1028" s="1" t="n">
        <v>45204</v>
      </c>
      <c r="D1028" t="inlineStr">
        <is>
          <t>VÄSTERBOTTENS LÄN</t>
        </is>
      </c>
      <c r="E1028" t="inlineStr">
        <is>
          <t>SKELLEFTEÅ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62760-2018</t>
        </is>
      </c>
      <c r="B1029" s="1" t="n">
        <v>43413</v>
      </c>
      <c r="C1029" s="1" t="n">
        <v>45204</v>
      </c>
      <c r="D1029" t="inlineStr">
        <is>
          <t>VÄSTERBOTTENS LÄN</t>
        </is>
      </c>
      <c r="E1029" t="inlineStr">
        <is>
          <t>ROBERTSFORS</t>
        </is>
      </c>
      <c r="F1029" t="inlineStr">
        <is>
          <t>Holmen skog AB</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62720-2018</t>
        </is>
      </c>
      <c r="B1030" s="1" t="n">
        <v>43413</v>
      </c>
      <c r="C1030" s="1" t="n">
        <v>45204</v>
      </c>
      <c r="D1030" t="inlineStr">
        <is>
          <t>VÄSTERBOTTENS LÄN</t>
        </is>
      </c>
      <c r="E1030" t="inlineStr">
        <is>
          <t>UMEÅ</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61547-2018</t>
        </is>
      </c>
      <c r="B1031" s="1" t="n">
        <v>43413</v>
      </c>
      <c r="C1031" s="1" t="n">
        <v>45204</v>
      </c>
      <c r="D1031" t="inlineStr">
        <is>
          <t>VÄSTERBOTTENS LÄN</t>
        </is>
      </c>
      <c r="E1031" t="inlineStr">
        <is>
          <t>ROBERTSFORS</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62632-2018</t>
        </is>
      </c>
      <c r="B1032" s="1" t="n">
        <v>43413</v>
      </c>
      <c r="C1032" s="1" t="n">
        <v>45204</v>
      </c>
      <c r="D1032" t="inlineStr">
        <is>
          <t>VÄSTERBOTTENS LÄN</t>
        </is>
      </c>
      <c r="E1032" t="inlineStr">
        <is>
          <t>SKELLEFTEÅ</t>
        </is>
      </c>
      <c r="F1032" t="inlineStr">
        <is>
          <t>SCA</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62687-2018</t>
        </is>
      </c>
      <c r="B1033" s="1" t="n">
        <v>43413</v>
      </c>
      <c r="C1033" s="1" t="n">
        <v>45204</v>
      </c>
      <c r="D1033" t="inlineStr">
        <is>
          <t>VÄSTERBOTTENS LÄN</t>
        </is>
      </c>
      <c r="E1033" t="inlineStr">
        <is>
          <t>ROBERTSFORS</t>
        </is>
      </c>
      <c r="F1033" t="inlineStr">
        <is>
          <t>Holmen skog AB</t>
        </is>
      </c>
      <c r="G1033" t="n">
        <v>9.4</v>
      </c>
      <c r="H1033" t="n">
        <v>0</v>
      </c>
      <c r="I1033" t="n">
        <v>0</v>
      </c>
      <c r="J1033" t="n">
        <v>0</v>
      </c>
      <c r="K1033" t="n">
        <v>0</v>
      </c>
      <c r="L1033" t="n">
        <v>0</v>
      </c>
      <c r="M1033" t="n">
        <v>0</v>
      </c>
      <c r="N1033" t="n">
        <v>0</v>
      </c>
      <c r="O1033" t="n">
        <v>0</v>
      </c>
      <c r="P1033" t="n">
        <v>0</v>
      </c>
      <c r="Q1033" t="n">
        <v>0</v>
      </c>
      <c r="R1033" s="2" t="inlineStr"/>
    </row>
    <row r="1034" ht="15" customHeight="1">
      <c r="A1034" t="inlineStr">
        <is>
          <t>A 62711-2018</t>
        </is>
      </c>
      <c r="B1034" s="1" t="n">
        <v>43413</v>
      </c>
      <c r="C1034" s="1" t="n">
        <v>45204</v>
      </c>
      <c r="D1034" t="inlineStr">
        <is>
          <t>VÄSTERBOTTENS LÄN</t>
        </is>
      </c>
      <c r="E1034" t="inlineStr">
        <is>
          <t>LYCKSELE</t>
        </is>
      </c>
      <c r="G1034" t="n">
        <v>19.3</v>
      </c>
      <c r="H1034" t="n">
        <v>0</v>
      </c>
      <c r="I1034" t="n">
        <v>0</v>
      </c>
      <c r="J1034" t="n">
        <v>0</v>
      </c>
      <c r="K1034" t="n">
        <v>0</v>
      </c>
      <c r="L1034" t="n">
        <v>0</v>
      </c>
      <c r="M1034" t="n">
        <v>0</v>
      </c>
      <c r="N1034" t="n">
        <v>0</v>
      </c>
      <c r="O1034" t="n">
        <v>0</v>
      </c>
      <c r="P1034" t="n">
        <v>0</v>
      </c>
      <c r="Q1034" t="n">
        <v>0</v>
      </c>
      <c r="R1034" s="2" t="inlineStr"/>
    </row>
    <row r="1035" ht="15" customHeight="1">
      <c r="A1035" t="inlineStr">
        <is>
          <t>A 62504-2018</t>
        </is>
      </c>
      <c r="B1035" s="1" t="n">
        <v>43414</v>
      </c>
      <c r="C1035" s="1" t="n">
        <v>45204</v>
      </c>
      <c r="D1035" t="inlineStr">
        <is>
          <t>VÄSTERBOTTENS LÄN</t>
        </is>
      </c>
      <c r="E1035" t="inlineStr">
        <is>
          <t>SKELLEFTEÅ</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62480-2018</t>
        </is>
      </c>
      <c r="B1036" s="1" t="n">
        <v>43415</v>
      </c>
      <c r="C1036" s="1" t="n">
        <v>45204</v>
      </c>
      <c r="D1036" t="inlineStr">
        <is>
          <t>VÄSTERBOTTENS LÄN</t>
        </is>
      </c>
      <c r="E1036" t="inlineStr">
        <is>
          <t>UMEÅ</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61760-2018</t>
        </is>
      </c>
      <c r="B1037" s="1" t="n">
        <v>43416</v>
      </c>
      <c r="C1037" s="1" t="n">
        <v>45204</v>
      </c>
      <c r="D1037" t="inlineStr">
        <is>
          <t>VÄSTERBOTTENS LÄN</t>
        </is>
      </c>
      <c r="E1037" t="inlineStr">
        <is>
          <t>SKELLEFTEÅ</t>
        </is>
      </c>
      <c r="G1037" t="n">
        <v>4.2</v>
      </c>
      <c r="H1037" t="n">
        <v>0</v>
      </c>
      <c r="I1037" t="n">
        <v>0</v>
      </c>
      <c r="J1037" t="n">
        <v>0</v>
      </c>
      <c r="K1037" t="n">
        <v>0</v>
      </c>
      <c r="L1037" t="n">
        <v>0</v>
      </c>
      <c r="M1037" t="n">
        <v>0</v>
      </c>
      <c r="N1037" t="n">
        <v>0</v>
      </c>
      <c r="O1037" t="n">
        <v>0</v>
      </c>
      <c r="P1037" t="n">
        <v>0</v>
      </c>
      <c r="Q1037" t="n">
        <v>0</v>
      </c>
      <c r="R1037" s="2" t="inlineStr"/>
    </row>
    <row r="1038" ht="15" customHeight="1">
      <c r="A1038" t="inlineStr">
        <is>
          <t>A 64042-2018</t>
        </is>
      </c>
      <c r="B1038" s="1" t="n">
        <v>43416</v>
      </c>
      <c r="C1038" s="1" t="n">
        <v>45204</v>
      </c>
      <c r="D1038" t="inlineStr">
        <is>
          <t>VÄSTERBOTTENS LÄN</t>
        </is>
      </c>
      <c r="E1038" t="inlineStr">
        <is>
          <t>UMEÅ</t>
        </is>
      </c>
      <c r="G1038" t="n">
        <v>4.6</v>
      </c>
      <c r="H1038" t="n">
        <v>0</v>
      </c>
      <c r="I1038" t="n">
        <v>0</v>
      </c>
      <c r="J1038" t="n">
        <v>0</v>
      </c>
      <c r="K1038" t="n">
        <v>0</v>
      </c>
      <c r="L1038" t="n">
        <v>0</v>
      </c>
      <c r="M1038" t="n">
        <v>0</v>
      </c>
      <c r="N1038" t="n">
        <v>0</v>
      </c>
      <c r="O1038" t="n">
        <v>0</v>
      </c>
      <c r="P1038" t="n">
        <v>0</v>
      </c>
      <c r="Q1038" t="n">
        <v>0</v>
      </c>
      <c r="R1038" s="2" t="inlineStr"/>
    </row>
    <row r="1039" ht="15" customHeight="1">
      <c r="A1039" t="inlineStr">
        <is>
          <t>A 62009-2018</t>
        </is>
      </c>
      <c r="B1039" s="1" t="n">
        <v>43416</v>
      </c>
      <c r="C1039" s="1" t="n">
        <v>45204</v>
      </c>
      <c r="D1039" t="inlineStr">
        <is>
          <t>VÄSTERBOTTENS LÄN</t>
        </is>
      </c>
      <c r="E1039" t="inlineStr">
        <is>
          <t>SORSELE</t>
        </is>
      </c>
      <c r="G1039" t="n">
        <v>9.1</v>
      </c>
      <c r="H1039" t="n">
        <v>0</v>
      </c>
      <c r="I1039" t="n">
        <v>0</v>
      </c>
      <c r="J1039" t="n">
        <v>0</v>
      </c>
      <c r="K1039" t="n">
        <v>0</v>
      </c>
      <c r="L1039" t="n">
        <v>0</v>
      </c>
      <c r="M1039" t="n">
        <v>0</v>
      </c>
      <c r="N1039" t="n">
        <v>0</v>
      </c>
      <c r="O1039" t="n">
        <v>0</v>
      </c>
      <c r="P1039" t="n">
        <v>0</v>
      </c>
      <c r="Q1039" t="n">
        <v>0</v>
      </c>
      <c r="R1039" s="2" t="inlineStr"/>
    </row>
    <row r="1040" ht="15" customHeight="1">
      <c r="A1040" t="inlineStr">
        <is>
          <t>A 62911-2018</t>
        </is>
      </c>
      <c r="B1040" s="1" t="n">
        <v>43416</v>
      </c>
      <c r="C1040" s="1" t="n">
        <v>45204</v>
      </c>
      <c r="D1040" t="inlineStr">
        <is>
          <t>VÄSTERBOTTENS LÄN</t>
        </is>
      </c>
      <c r="E1040" t="inlineStr">
        <is>
          <t>BJURHOLM</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64054-2018</t>
        </is>
      </c>
      <c r="B1041" s="1" t="n">
        <v>43416</v>
      </c>
      <c r="C1041" s="1" t="n">
        <v>45204</v>
      </c>
      <c r="D1041" t="inlineStr">
        <is>
          <t>VÄSTERBOTTENS LÄN</t>
        </is>
      </c>
      <c r="E1041" t="inlineStr">
        <is>
          <t>UMEÅ</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62927-2018</t>
        </is>
      </c>
      <c r="B1042" s="1" t="n">
        <v>43416</v>
      </c>
      <c r="C1042" s="1" t="n">
        <v>45204</v>
      </c>
      <c r="D1042" t="inlineStr">
        <is>
          <t>VÄSTERBOTTENS LÄN</t>
        </is>
      </c>
      <c r="E1042" t="inlineStr">
        <is>
          <t>BJURHOLM</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63293-2018</t>
        </is>
      </c>
      <c r="B1043" s="1" t="n">
        <v>43416</v>
      </c>
      <c r="C1043" s="1" t="n">
        <v>45204</v>
      </c>
      <c r="D1043" t="inlineStr">
        <is>
          <t>VÄSTERBOTTENS LÄN</t>
        </is>
      </c>
      <c r="E1043" t="inlineStr">
        <is>
          <t>NORDMALING</t>
        </is>
      </c>
      <c r="G1043" t="n">
        <v>10</v>
      </c>
      <c r="H1043" t="n">
        <v>0</v>
      </c>
      <c r="I1043" t="n">
        <v>0</v>
      </c>
      <c r="J1043" t="n">
        <v>0</v>
      </c>
      <c r="K1043" t="n">
        <v>0</v>
      </c>
      <c r="L1043" t="n">
        <v>0</v>
      </c>
      <c r="M1043" t="n">
        <v>0</v>
      </c>
      <c r="N1043" t="n">
        <v>0</v>
      </c>
      <c r="O1043" t="n">
        <v>0</v>
      </c>
      <c r="P1043" t="n">
        <v>0</v>
      </c>
      <c r="Q1043" t="n">
        <v>0</v>
      </c>
      <c r="R1043" s="2" t="inlineStr"/>
    </row>
    <row r="1044" ht="15" customHeight="1">
      <c r="A1044" t="inlineStr">
        <is>
          <t>A 62993-2018</t>
        </is>
      </c>
      <c r="B1044" s="1" t="n">
        <v>43417</v>
      </c>
      <c r="C1044" s="1" t="n">
        <v>45204</v>
      </c>
      <c r="D1044" t="inlineStr">
        <is>
          <t>VÄSTERBOTTENS LÄN</t>
        </is>
      </c>
      <c r="E1044" t="inlineStr">
        <is>
          <t>LYCKSELE</t>
        </is>
      </c>
      <c r="F1044" t="inlineStr">
        <is>
          <t>SCA</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63685-2018</t>
        </is>
      </c>
      <c r="B1045" s="1" t="n">
        <v>43417</v>
      </c>
      <c r="C1045" s="1" t="n">
        <v>45204</v>
      </c>
      <c r="D1045" t="inlineStr">
        <is>
          <t>VÄSTERBOTTENS LÄN</t>
        </is>
      </c>
      <c r="E1045" t="inlineStr">
        <is>
          <t>BJURHOLM</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62989-2018</t>
        </is>
      </c>
      <c r="B1046" s="1" t="n">
        <v>43417</v>
      </c>
      <c r="C1046" s="1" t="n">
        <v>45204</v>
      </c>
      <c r="D1046" t="inlineStr">
        <is>
          <t>VÄSTERBOTTENS LÄN</t>
        </is>
      </c>
      <c r="E1046" t="inlineStr">
        <is>
          <t>SKELLEFTEÅ</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63606-2018</t>
        </is>
      </c>
      <c r="B1047" s="1" t="n">
        <v>43417</v>
      </c>
      <c r="C1047" s="1" t="n">
        <v>45204</v>
      </c>
      <c r="D1047" t="inlineStr">
        <is>
          <t>VÄSTERBOTTENS LÄN</t>
        </is>
      </c>
      <c r="E1047" t="inlineStr">
        <is>
          <t>ÅSELE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63688-2018</t>
        </is>
      </c>
      <c r="B1048" s="1" t="n">
        <v>43417</v>
      </c>
      <c r="C1048" s="1" t="n">
        <v>45204</v>
      </c>
      <c r="D1048" t="inlineStr">
        <is>
          <t>VÄSTERBOTTENS LÄN</t>
        </is>
      </c>
      <c r="E1048" t="inlineStr">
        <is>
          <t>ÅSELE</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59403-2018</t>
        </is>
      </c>
      <c r="B1049" s="1" t="n">
        <v>43418</v>
      </c>
      <c r="C1049" s="1" t="n">
        <v>45204</v>
      </c>
      <c r="D1049" t="inlineStr">
        <is>
          <t>VÄSTERBOTTENS LÄN</t>
        </is>
      </c>
      <c r="E1049" t="inlineStr">
        <is>
          <t>VILHELMINA</t>
        </is>
      </c>
      <c r="F1049" t="inlineStr">
        <is>
          <t>SCA</t>
        </is>
      </c>
      <c r="G1049" t="n">
        <v>5.2</v>
      </c>
      <c r="H1049" t="n">
        <v>0</v>
      </c>
      <c r="I1049" t="n">
        <v>0</v>
      </c>
      <c r="J1049" t="n">
        <v>0</v>
      </c>
      <c r="K1049" t="n">
        <v>0</v>
      </c>
      <c r="L1049" t="n">
        <v>0</v>
      </c>
      <c r="M1049" t="n">
        <v>0</v>
      </c>
      <c r="N1049" t="n">
        <v>0</v>
      </c>
      <c r="O1049" t="n">
        <v>0</v>
      </c>
      <c r="P1049" t="n">
        <v>0</v>
      </c>
      <c r="Q1049" t="n">
        <v>0</v>
      </c>
      <c r="R1049" s="2" t="inlineStr"/>
    </row>
    <row r="1050" ht="15" customHeight="1">
      <c r="A1050" t="inlineStr">
        <is>
          <t>A 59421-2018</t>
        </is>
      </c>
      <c r="B1050" s="1" t="n">
        <v>43418</v>
      </c>
      <c r="C1050" s="1" t="n">
        <v>45204</v>
      </c>
      <c r="D1050" t="inlineStr">
        <is>
          <t>VÄSTERBOTTENS LÄN</t>
        </is>
      </c>
      <c r="E1050" t="inlineStr">
        <is>
          <t>VILHELMINA</t>
        </is>
      </c>
      <c r="F1050" t="inlineStr">
        <is>
          <t>SCA</t>
        </is>
      </c>
      <c r="G1050" t="n">
        <v>3</v>
      </c>
      <c r="H1050" t="n">
        <v>0</v>
      </c>
      <c r="I1050" t="n">
        <v>0</v>
      </c>
      <c r="J1050" t="n">
        <v>0</v>
      </c>
      <c r="K1050" t="n">
        <v>0</v>
      </c>
      <c r="L1050" t="n">
        <v>0</v>
      </c>
      <c r="M1050" t="n">
        <v>0</v>
      </c>
      <c r="N1050" t="n">
        <v>0</v>
      </c>
      <c r="O1050" t="n">
        <v>0</v>
      </c>
      <c r="P1050" t="n">
        <v>0</v>
      </c>
      <c r="Q1050" t="n">
        <v>0</v>
      </c>
      <c r="R1050" s="2" t="inlineStr"/>
    </row>
    <row r="1051" ht="15" customHeight="1">
      <c r="A1051" t="inlineStr">
        <is>
          <t>A 63061-2018</t>
        </is>
      </c>
      <c r="B1051" s="1" t="n">
        <v>43418</v>
      </c>
      <c r="C1051" s="1" t="n">
        <v>45204</v>
      </c>
      <c r="D1051" t="inlineStr">
        <is>
          <t>VÄSTERBOTTENS LÄN</t>
        </is>
      </c>
      <c r="E1051" t="inlineStr">
        <is>
          <t>SKELLEFTEÅ</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63773-2018</t>
        </is>
      </c>
      <c r="B1052" s="1" t="n">
        <v>43418</v>
      </c>
      <c r="C1052" s="1" t="n">
        <v>45204</v>
      </c>
      <c r="D1052" t="inlineStr">
        <is>
          <t>VÄSTERBOTTENS LÄN</t>
        </is>
      </c>
      <c r="E1052" t="inlineStr">
        <is>
          <t>NORSJÖ</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63774-2018</t>
        </is>
      </c>
      <c r="B1053" s="1" t="n">
        <v>43418</v>
      </c>
      <c r="C1053" s="1" t="n">
        <v>45204</v>
      </c>
      <c r="D1053" t="inlineStr">
        <is>
          <t>VÄSTERBOTTENS LÄN</t>
        </is>
      </c>
      <c r="E1053" t="inlineStr">
        <is>
          <t>NORSJÖ</t>
        </is>
      </c>
      <c r="G1053" t="n">
        <v>4.3</v>
      </c>
      <c r="H1053" t="n">
        <v>0</v>
      </c>
      <c r="I1053" t="n">
        <v>0</v>
      </c>
      <c r="J1053" t="n">
        <v>0</v>
      </c>
      <c r="K1053" t="n">
        <v>0</v>
      </c>
      <c r="L1053" t="n">
        <v>0</v>
      </c>
      <c r="M1053" t="n">
        <v>0</v>
      </c>
      <c r="N1053" t="n">
        <v>0</v>
      </c>
      <c r="O1053" t="n">
        <v>0</v>
      </c>
      <c r="P1053" t="n">
        <v>0</v>
      </c>
      <c r="Q1053" t="n">
        <v>0</v>
      </c>
      <c r="R1053" s="2" t="inlineStr"/>
    </row>
    <row r="1054" ht="15" customHeight="1">
      <c r="A1054" t="inlineStr">
        <is>
          <t>A 63775-2018</t>
        </is>
      </c>
      <c r="B1054" s="1" t="n">
        <v>43418</v>
      </c>
      <c r="C1054" s="1" t="n">
        <v>45204</v>
      </c>
      <c r="D1054" t="inlineStr">
        <is>
          <t>VÄSTERBOTTENS LÄN</t>
        </is>
      </c>
      <c r="E1054" t="inlineStr">
        <is>
          <t>BJURHOLM</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63979-2018</t>
        </is>
      </c>
      <c r="B1055" s="1" t="n">
        <v>43418</v>
      </c>
      <c r="C1055" s="1" t="n">
        <v>45204</v>
      </c>
      <c r="D1055" t="inlineStr">
        <is>
          <t>VÄSTERBOTTENS LÄN</t>
        </is>
      </c>
      <c r="E1055" t="inlineStr">
        <is>
          <t>SKELLEFTEÅ</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59497-2018</t>
        </is>
      </c>
      <c r="B1056" s="1" t="n">
        <v>43419</v>
      </c>
      <c r="C1056" s="1" t="n">
        <v>45204</v>
      </c>
      <c r="D1056" t="inlineStr">
        <is>
          <t>VÄSTERBOTTENS LÄN</t>
        </is>
      </c>
      <c r="E1056" t="inlineStr">
        <is>
          <t>ROBERTSFORS</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64264-2018</t>
        </is>
      </c>
      <c r="B1057" s="1" t="n">
        <v>43419</v>
      </c>
      <c r="C1057" s="1" t="n">
        <v>45204</v>
      </c>
      <c r="D1057" t="inlineStr">
        <is>
          <t>VÄSTERBOTTENS LÄN</t>
        </is>
      </c>
      <c r="E1057" t="inlineStr">
        <is>
          <t>SKELLEFTEÅ</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64270-2018</t>
        </is>
      </c>
      <c r="B1058" s="1" t="n">
        <v>43419</v>
      </c>
      <c r="C1058" s="1" t="n">
        <v>45204</v>
      </c>
      <c r="D1058" t="inlineStr">
        <is>
          <t>VÄSTERBOTTENS LÄN</t>
        </is>
      </c>
      <c r="E1058" t="inlineStr">
        <is>
          <t>SORSELE</t>
        </is>
      </c>
      <c r="G1058" t="n">
        <v>26.6</v>
      </c>
      <c r="H1058" t="n">
        <v>0</v>
      </c>
      <c r="I1058" t="n">
        <v>0</v>
      </c>
      <c r="J1058" t="n">
        <v>0</v>
      </c>
      <c r="K1058" t="n">
        <v>0</v>
      </c>
      <c r="L1058" t="n">
        <v>0</v>
      </c>
      <c r="M1058" t="n">
        <v>0</v>
      </c>
      <c r="N1058" t="n">
        <v>0</v>
      </c>
      <c r="O1058" t="n">
        <v>0</v>
      </c>
      <c r="P1058" t="n">
        <v>0</v>
      </c>
      <c r="Q1058" t="n">
        <v>0</v>
      </c>
      <c r="R1058" s="2" t="inlineStr"/>
    </row>
    <row r="1059" ht="15" customHeight="1">
      <c r="A1059" t="inlineStr">
        <is>
          <t>A 59735-2018</t>
        </is>
      </c>
      <c r="B1059" s="1" t="n">
        <v>43419</v>
      </c>
      <c r="C1059" s="1" t="n">
        <v>45204</v>
      </c>
      <c r="D1059" t="inlineStr">
        <is>
          <t>VÄSTERBOTTENS LÄN</t>
        </is>
      </c>
      <c r="E1059" t="inlineStr">
        <is>
          <t>UMEÅ</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64352-2018</t>
        </is>
      </c>
      <c r="B1060" s="1" t="n">
        <v>43419</v>
      </c>
      <c r="C1060" s="1" t="n">
        <v>45204</v>
      </c>
      <c r="D1060" t="inlineStr">
        <is>
          <t>VÄSTERBOTTENS LÄN</t>
        </is>
      </c>
      <c r="E1060" t="inlineStr">
        <is>
          <t>UMEÅ</t>
        </is>
      </c>
      <c r="G1060" t="n">
        <v>10.1</v>
      </c>
      <c r="H1060" t="n">
        <v>0</v>
      </c>
      <c r="I1060" t="n">
        <v>0</v>
      </c>
      <c r="J1060" t="n">
        <v>0</v>
      </c>
      <c r="K1060" t="n">
        <v>0</v>
      </c>
      <c r="L1060" t="n">
        <v>0</v>
      </c>
      <c r="M1060" t="n">
        <v>0</v>
      </c>
      <c r="N1060" t="n">
        <v>0</v>
      </c>
      <c r="O1060" t="n">
        <v>0</v>
      </c>
      <c r="P1060" t="n">
        <v>0</v>
      </c>
      <c r="Q1060" t="n">
        <v>0</v>
      </c>
      <c r="R1060" s="2" t="inlineStr"/>
    </row>
    <row r="1061" ht="15" customHeight="1">
      <c r="A1061" t="inlineStr">
        <is>
          <t>A 59848-2018</t>
        </is>
      </c>
      <c r="B1061" s="1" t="n">
        <v>43419</v>
      </c>
      <c r="C1061" s="1" t="n">
        <v>45204</v>
      </c>
      <c r="D1061" t="inlineStr">
        <is>
          <t>VÄSTERBOTTENS LÄN</t>
        </is>
      </c>
      <c r="E1061" t="inlineStr">
        <is>
          <t>ROBERTSFORS</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64360-2018</t>
        </is>
      </c>
      <c r="B1062" s="1" t="n">
        <v>43419</v>
      </c>
      <c r="C1062" s="1" t="n">
        <v>45204</v>
      </c>
      <c r="D1062" t="inlineStr">
        <is>
          <t>VÄSTERBOTTENS LÄN</t>
        </is>
      </c>
      <c r="E1062" t="inlineStr">
        <is>
          <t>SKELLEFTEÅ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59512-2018</t>
        </is>
      </c>
      <c r="B1063" s="1" t="n">
        <v>43419</v>
      </c>
      <c r="C1063" s="1" t="n">
        <v>45204</v>
      </c>
      <c r="D1063" t="inlineStr">
        <is>
          <t>VÄSTERBOTTENS LÄN</t>
        </is>
      </c>
      <c r="E1063" t="inlineStr">
        <is>
          <t>MALÅ</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59679-2018</t>
        </is>
      </c>
      <c r="B1064" s="1" t="n">
        <v>43419</v>
      </c>
      <c r="C1064" s="1" t="n">
        <v>45204</v>
      </c>
      <c r="D1064" t="inlineStr">
        <is>
          <t>VÄSTERBOTTENS LÄN</t>
        </is>
      </c>
      <c r="E1064" t="inlineStr">
        <is>
          <t>UMEÅ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59701-2018</t>
        </is>
      </c>
      <c r="B1065" s="1" t="n">
        <v>43419</v>
      </c>
      <c r="C1065" s="1" t="n">
        <v>45204</v>
      </c>
      <c r="D1065" t="inlineStr">
        <is>
          <t>VÄSTERBOTTENS LÄN</t>
        </is>
      </c>
      <c r="E1065" t="inlineStr">
        <is>
          <t>SKELLEFTEÅ</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64267-2018</t>
        </is>
      </c>
      <c r="B1066" s="1" t="n">
        <v>43419</v>
      </c>
      <c r="C1066" s="1" t="n">
        <v>45204</v>
      </c>
      <c r="D1066" t="inlineStr">
        <is>
          <t>VÄSTERBOTTENS LÄN</t>
        </is>
      </c>
      <c r="E1066" t="inlineStr">
        <is>
          <t>SKELLEFTEÅ</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64354-2018</t>
        </is>
      </c>
      <c r="B1067" s="1" t="n">
        <v>43419</v>
      </c>
      <c r="C1067" s="1" t="n">
        <v>45204</v>
      </c>
      <c r="D1067" t="inlineStr">
        <is>
          <t>VÄSTERBOTTENS LÄN</t>
        </is>
      </c>
      <c r="E1067" t="inlineStr">
        <is>
          <t>SKELLEFTEÅ</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60337-2018</t>
        </is>
      </c>
      <c r="B1068" s="1" t="n">
        <v>43420</v>
      </c>
      <c r="C1068" s="1" t="n">
        <v>45204</v>
      </c>
      <c r="D1068" t="inlineStr">
        <is>
          <t>VÄSTERBOTTENS LÄN</t>
        </is>
      </c>
      <c r="E1068" t="inlineStr">
        <is>
          <t>SKELLEFTEÅ</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60639-2018</t>
        </is>
      </c>
      <c r="B1069" s="1" t="n">
        <v>43420</v>
      </c>
      <c r="C1069" s="1" t="n">
        <v>45204</v>
      </c>
      <c r="D1069" t="inlineStr">
        <is>
          <t>VÄSTERBOTTENS LÄN</t>
        </is>
      </c>
      <c r="E1069" t="inlineStr">
        <is>
          <t>SKELLEFTEÅ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64820-2018</t>
        </is>
      </c>
      <c r="B1070" s="1" t="n">
        <v>43420</v>
      </c>
      <c r="C1070" s="1" t="n">
        <v>45204</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60343-2018</t>
        </is>
      </c>
      <c r="B1071" s="1" t="n">
        <v>43420</v>
      </c>
      <c r="C1071" s="1" t="n">
        <v>45204</v>
      </c>
      <c r="D1071" t="inlineStr">
        <is>
          <t>VÄSTERBOTTENS LÄN</t>
        </is>
      </c>
      <c r="E1071" t="inlineStr">
        <is>
          <t>SKELLEFTEÅ</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60334-2018</t>
        </is>
      </c>
      <c r="B1072" s="1" t="n">
        <v>43420</v>
      </c>
      <c r="C1072" s="1" t="n">
        <v>45204</v>
      </c>
      <c r="D1072" t="inlineStr">
        <is>
          <t>VÄSTERBOTTENS LÄN</t>
        </is>
      </c>
      <c r="E1072" t="inlineStr">
        <is>
          <t>SKELLEFTEÅ</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60416-2018</t>
        </is>
      </c>
      <c r="B1073" s="1" t="n">
        <v>43420</v>
      </c>
      <c r="C1073" s="1" t="n">
        <v>45204</v>
      </c>
      <c r="D1073" t="inlineStr">
        <is>
          <t>VÄSTERBOTTENS LÄN</t>
        </is>
      </c>
      <c r="E1073" t="inlineStr">
        <is>
          <t>VINDELN</t>
        </is>
      </c>
      <c r="F1073" t="inlineStr">
        <is>
          <t>Holmen skog AB</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60517-2018</t>
        </is>
      </c>
      <c r="B1074" s="1" t="n">
        <v>43420</v>
      </c>
      <c r="C1074" s="1" t="n">
        <v>45204</v>
      </c>
      <c r="D1074" t="inlineStr">
        <is>
          <t>VÄSTERBOTTENS LÄN</t>
        </is>
      </c>
      <c r="E1074" t="inlineStr">
        <is>
          <t>VINDELN</t>
        </is>
      </c>
      <c r="F1074" t="inlineStr">
        <is>
          <t>Holmen skog AB</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60457-2018</t>
        </is>
      </c>
      <c r="B1075" s="1" t="n">
        <v>43420</v>
      </c>
      <c r="C1075" s="1" t="n">
        <v>45204</v>
      </c>
      <c r="D1075" t="inlineStr">
        <is>
          <t>VÄSTERBOTTENS LÄN</t>
        </is>
      </c>
      <c r="E1075" t="inlineStr">
        <is>
          <t>SKELLEFTEÅ</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64702-2018</t>
        </is>
      </c>
      <c r="B1076" s="1" t="n">
        <v>43422</v>
      </c>
      <c r="C1076" s="1" t="n">
        <v>45204</v>
      </c>
      <c r="D1076" t="inlineStr">
        <is>
          <t>VÄSTERBOTTENS LÄN</t>
        </is>
      </c>
      <c r="E1076" t="inlineStr">
        <is>
          <t>UMEÅ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64670-2018</t>
        </is>
      </c>
      <c r="B1077" s="1" t="n">
        <v>43422</v>
      </c>
      <c r="C1077" s="1" t="n">
        <v>45204</v>
      </c>
      <c r="D1077" t="inlineStr">
        <is>
          <t>VÄSTERBOTTENS LÄN</t>
        </is>
      </c>
      <c r="E1077" t="inlineStr">
        <is>
          <t>UMEÅ</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60903-2018</t>
        </is>
      </c>
      <c r="B1078" s="1" t="n">
        <v>43423</v>
      </c>
      <c r="C1078" s="1" t="n">
        <v>45204</v>
      </c>
      <c r="D1078" t="inlineStr">
        <is>
          <t>VÄSTERBOTTENS LÄN</t>
        </is>
      </c>
      <c r="E1078" t="inlineStr">
        <is>
          <t>SKELLEFTEÅ</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61284-2018</t>
        </is>
      </c>
      <c r="B1079" s="1" t="n">
        <v>43423</v>
      </c>
      <c r="C1079" s="1" t="n">
        <v>45204</v>
      </c>
      <c r="D1079" t="inlineStr">
        <is>
          <t>VÄSTERBOTTENS LÄN</t>
        </is>
      </c>
      <c r="E1079" t="inlineStr">
        <is>
          <t>STORUMAN</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64752-2018</t>
        </is>
      </c>
      <c r="B1080" s="1" t="n">
        <v>43423</v>
      </c>
      <c r="C1080" s="1" t="n">
        <v>45204</v>
      </c>
      <c r="D1080" t="inlineStr">
        <is>
          <t>VÄSTERBOTTENS LÄN</t>
        </is>
      </c>
      <c r="E1080" t="inlineStr">
        <is>
          <t>STORUMAN</t>
        </is>
      </c>
      <c r="G1080" t="n">
        <v>18.2</v>
      </c>
      <c r="H1080" t="n">
        <v>0</v>
      </c>
      <c r="I1080" t="n">
        <v>0</v>
      </c>
      <c r="J1080" t="n">
        <v>0</v>
      </c>
      <c r="K1080" t="n">
        <v>0</v>
      </c>
      <c r="L1080" t="n">
        <v>0</v>
      </c>
      <c r="M1080" t="n">
        <v>0</v>
      </c>
      <c r="N1080" t="n">
        <v>0</v>
      </c>
      <c r="O1080" t="n">
        <v>0</v>
      </c>
      <c r="P1080" t="n">
        <v>0</v>
      </c>
      <c r="Q1080" t="n">
        <v>0</v>
      </c>
      <c r="R1080" s="2" t="inlineStr"/>
    </row>
    <row r="1081" ht="15" customHeight="1">
      <c r="A1081" t="inlineStr">
        <is>
          <t>A 65062-2018</t>
        </is>
      </c>
      <c r="B1081" s="1" t="n">
        <v>43423</v>
      </c>
      <c r="C1081" s="1" t="n">
        <v>45204</v>
      </c>
      <c r="D1081" t="inlineStr">
        <is>
          <t>VÄSTERBOTTENS LÄN</t>
        </is>
      </c>
      <c r="E1081" t="inlineStr">
        <is>
          <t>SKELLEFTEÅ</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65101-2018</t>
        </is>
      </c>
      <c r="B1082" s="1" t="n">
        <v>43423</v>
      </c>
      <c r="C1082" s="1" t="n">
        <v>45204</v>
      </c>
      <c r="D1082" t="inlineStr">
        <is>
          <t>VÄSTERBOTTENS LÄN</t>
        </is>
      </c>
      <c r="E1082" t="inlineStr">
        <is>
          <t>SKELLEFTEÅ</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60901-2018</t>
        </is>
      </c>
      <c r="B1083" s="1" t="n">
        <v>43423</v>
      </c>
      <c r="C1083" s="1" t="n">
        <v>45204</v>
      </c>
      <c r="D1083" t="inlineStr">
        <is>
          <t>VÄSTERBOTTENS LÄN</t>
        </is>
      </c>
      <c r="E1083" t="inlineStr">
        <is>
          <t>NORDMALING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60922-2018</t>
        </is>
      </c>
      <c r="B1084" s="1" t="n">
        <v>43423</v>
      </c>
      <c r="C1084" s="1" t="n">
        <v>45204</v>
      </c>
      <c r="D1084" t="inlineStr">
        <is>
          <t>VÄSTERBOTTENS LÄN</t>
        </is>
      </c>
      <c r="E1084" t="inlineStr">
        <is>
          <t>NORDMALING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61278-2018</t>
        </is>
      </c>
      <c r="B1085" s="1" t="n">
        <v>43423</v>
      </c>
      <c r="C1085" s="1" t="n">
        <v>45204</v>
      </c>
      <c r="D1085" t="inlineStr">
        <is>
          <t>VÄSTERBOTTENS LÄN</t>
        </is>
      </c>
      <c r="E1085" t="inlineStr">
        <is>
          <t>VILHELMINA</t>
        </is>
      </c>
      <c r="F1085" t="inlineStr">
        <is>
          <t>SCA</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64948-2018</t>
        </is>
      </c>
      <c r="B1086" s="1" t="n">
        <v>43423</v>
      </c>
      <c r="C1086" s="1" t="n">
        <v>45204</v>
      </c>
      <c r="D1086" t="inlineStr">
        <is>
          <t>VÄSTERBOTTENS LÄN</t>
        </is>
      </c>
      <c r="E1086" t="inlineStr">
        <is>
          <t>ÅSELE</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65108-2018</t>
        </is>
      </c>
      <c r="B1087" s="1" t="n">
        <v>43423</v>
      </c>
      <c r="C1087" s="1" t="n">
        <v>45204</v>
      </c>
      <c r="D1087" t="inlineStr">
        <is>
          <t>VÄSTERBOTTENS LÄN</t>
        </is>
      </c>
      <c r="E1087" t="inlineStr">
        <is>
          <t>SKELLEFTEÅ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60947-2018</t>
        </is>
      </c>
      <c r="B1088" s="1" t="n">
        <v>43423</v>
      </c>
      <c r="C1088" s="1" t="n">
        <v>45204</v>
      </c>
      <c r="D1088" t="inlineStr">
        <is>
          <t>VÄSTERBOTTENS LÄN</t>
        </is>
      </c>
      <c r="E1088" t="inlineStr">
        <is>
          <t>UMEÅ</t>
        </is>
      </c>
      <c r="G1088" t="n">
        <v>8.1</v>
      </c>
      <c r="H1088" t="n">
        <v>0</v>
      </c>
      <c r="I1088" t="n">
        <v>0</v>
      </c>
      <c r="J1088" t="n">
        <v>0</v>
      </c>
      <c r="K1088" t="n">
        <v>0</v>
      </c>
      <c r="L1088" t="n">
        <v>0</v>
      </c>
      <c r="M1088" t="n">
        <v>0</v>
      </c>
      <c r="N1088" t="n">
        <v>0</v>
      </c>
      <c r="O1088" t="n">
        <v>0</v>
      </c>
      <c r="P1088" t="n">
        <v>0</v>
      </c>
      <c r="Q1088" t="n">
        <v>0</v>
      </c>
      <c r="R1088" s="2" t="inlineStr"/>
    </row>
    <row r="1089" ht="15" customHeight="1">
      <c r="A1089" t="inlineStr">
        <is>
          <t>A 64780-2018</t>
        </is>
      </c>
      <c r="B1089" s="1" t="n">
        <v>43423</v>
      </c>
      <c r="C1089" s="1" t="n">
        <v>45204</v>
      </c>
      <c r="D1089" t="inlineStr">
        <is>
          <t>VÄSTERBOTTENS LÄN</t>
        </is>
      </c>
      <c r="E1089" t="inlineStr">
        <is>
          <t>ROBERTSFORS</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65079-2018</t>
        </is>
      </c>
      <c r="B1090" s="1" t="n">
        <v>43423</v>
      </c>
      <c r="C1090" s="1" t="n">
        <v>45204</v>
      </c>
      <c r="D1090" t="inlineStr">
        <is>
          <t>VÄSTERBOTTENS LÄN</t>
        </is>
      </c>
      <c r="E1090" t="inlineStr">
        <is>
          <t>SKELLEFTEÅ</t>
        </is>
      </c>
      <c r="G1090" t="n">
        <v>20</v>
      </c>
      <c r="H1090" t="n">
        <v>0</v>
      </c>
      <c r="I1090" t="n">
        <v>0</v>
      </c>
      <c r="J1090" t="n">
        <v>0</v>
      </c>
      <c r="K1090" t="n">
        <v>0</v>
      </c>
      <c r="L1090" t="n">
        <v>0</v>
      </c>
      <c r="M1090" t="n">
        <v>0</v>
      </c>
      <c r="N1090" t="n">
        <v>0</v>
      </c>
      <c r="O1090" t="n">
        <v>0</v>
      </c>
      <c r="P1090" t="n">
        <v>0</v>
      </c>
      <c r="Q1090" t="n">
        <v>0</v>
      </c>
      <c r="R1090" s="2" t="inlineStr"/>
    </row>
    <row r="1091" ht="15" customHeight="1">
      <c r="A1091" t="inlineStr">
        <is>
          <t>A 61654-2018</t>
        </is>
      </c>
      <c r="B1091" s="1" t="n">
        <v>43424</v>
      </c>
      <c r="C1091" s="1" t="n">
        <v>45204</v>
      </c>
      <c r="D1091" t="inlineStr">
        <is>
          <t>VÄSTERBOTTENS LÄN</t>
        </is>
      </c>
      <c r="E1091" t="inlineStr">
        <is>
          <t>ROBERTSFORS</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61321-2018</t>
        </is>
      </c>
      <c r="B1092" s="1" t="n">
        <v>43424</v>
      </c>
      <c r="C1092" s="1" t="n">
        <v>45204</v>
      </c>
      <c r="D1092" t="inlineStr">
        <is>
          <t>VÄSTERBOTTENS LÄN</t>
        </is>
      </c>
      <c r="E1092" t="inlineStr">
        <is>
          <t>UMEÅ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61543-2018</t>
        </is>
      </c>
      <c r="B1093" s="1" t="n">
        <v>43424</v>
      </c>
      <c r="C1093" s="1" t="n">
        <v>45204</v>
      </c>
      <c r="D1093" t="inlineStr">
        <is>
          <t>VÄSTERBOTTENS LÄN</t>
        </is>
      </c>
      <c r="E1093" t="inlineStr">
        <is>
          <t>UMEÅ</t>
        </is>
      </c>
      <c r="F1093" t="inlineStr">
        <is>
          <t>Holmen skog AB</t>
        </is>
      </c>
      <c r="G1093" t="n">
        <v>13.5</v>
      </c>
      <c r="H1093" t="n">
        <v>0</v>
      </c>
      <c r="I1093" t="n">
        <v>0</v>
      </c>
      <c r="J1093" t="n">
        <v>0</v>
      </c>
      <c r="K1093" t="n">
        <v>0</v>
      </c>
      <c r="L1093" t="n">
        <v>0</v>
      </c>
      <c r="M1093" t="n">
        <v>0</v>
      </c>
      <c r="N1093" t="n">
        <v>0</v>
      </c>
      <c r="O1093" t="n">
        <v>0</v>
      </c>
      <c r="P1093" t="n">
        <v>0</v>
      </c>
      <c r="Q1093" t="n">
        <v>0</v>
      </c>
      <c r="R1093" s="2" t="inlineStr"/>
    </row>
    <row r="1094" ht="15" customHeight="1">
      <c r="A1094" t="inlineStr">
        <is>
          <t>A 65269-2018</t>
        </is>
      </c>
      <c r="B1094" s="1" t="n">
        <v>43424</v>
      </c>
      <c r="C1094" s="1" t="n">
        <v>45204</v>
      </c>
      <c r="D1094" t="inlineStr">
        <is>
          <t>VÄSTERBOTTENS LÄN</t>
        </is>
      </c>
      <c r="E1094" t="inlineStr">
        <is>
          <t>SKELLEFTEÅ</t>
        </is>
      </c>
      <c r="G1094" t="n">
        <v>8</v>
      </c>
      <c r="H1094" t="n">
        <v>0</v>
      </c>
      <c r="I1094" t="n">
        <v>0</v>
      </c>
      <c r="J1094" t="n">
        <v>0</v>
      </c>
      <c r="K1094" t="n">
        <v>0</v>
      </c>
      <c r="L1094" t="n">
        <v>0</v>
      </c>
      <c r="M1094" t="n">
        <v>0</v>
      </c>
      <c r="N1094" t="n">
        <v>0</v>
      </c>
      <c r="O1094" t="n">
        <v>0</v>
      </c>
      <c r="P1094" t="n">
        <v>0</v>
      </c>
      <c r="Q1094" t="n">
        <v>0</v>
      </c>
      <c r="R1094" s="2" t="inlineStr"/>
    </row>
    <row r="1095" ht="15" customHeight="1">
      <c r="A1095" t="inlineStr">
        <is>
          <t>A 65504-2018</t>
        </is>
      </c>
      <c r="B1095" s="1" t="n">
        <v>43424</v>
      </c>
      <c r="C1095" s="1" t="n">
        <v>45204</v>
      </c>
      <c r="D1095" t="inlineStr">
        <is>
          <t>VÄSTERBOTTENS LÄN</t>
        </is>
      </c>
      <c r="E1095" t="inlineStr">
        <is>
          <t>ÅSELE</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65361-2018</t>
        </is>
      </c>
      <c r="B1096" s="1" t="n">
        <v>43424</v>
      </c>
      <c r="C1096" s="1" t="n">
        <v>45204</v>
      </c>
      <c r="D1096" t="inlineStr">
        <is>
          <t>VÄSTERBOTTENS LÄN</t>
        </is>
      </c>
      <c r="E1096" t="inlineStr">
        <is>
          <t>VÄNNÄS</t>
        </is>
      </c>
      <c r="G1096" t="n">
        <v>7.1</v>
      </c>
      <c r="H1096" t="n">
        <v>0</v>
      </c>
      <c r="I1096" t="n">
        <v>0</v>
      </c>
      <c r="J1096" t="n">
        <v>0</v>
      </c>
      <c r="K1096" t="n">
        <v>0</v>
      </c>
      <c r="L1096" t="n">
        <v>0</v>
      </c>
      <c r="M1096" t="n">
        <v>0</v>
      </c>
      <c r="N1096" t="n">
        <v>0</v>
      </c>
      <c r="O1096" t="n">
        <v>0</v>
      </c>
      <c r="P1096" t="n">
        <v>0</v>
      </c>
      <c r="Q1096" t="n">
        <v>0</v>
      </c>
      <c r="R1096" s="2" t="inlineStr"/>
    </row>
    <row r="1097" ht="15" customHeight="1">
      <c r="A1097" t="inlineStr">
        <is>
          <t>A 65480-2018</t>
        </is>
      </c>
      <c r="B1097" s="1" t="n">
        <v>43424</v>
      </c>
      <c r="C1097" s="1" t="n">
        <v>45204</v>
      </c>
      <c r="D1097" t="inlineStr">
        <is>
          <t>VÄSTERBOTTENS LÄN</t>
        </is>
      </c>
      <c r="E1097" t="inlineStr">
        <is>
          <t>UMEÅ</t>
        </is>
      </c>
      <c r="G1097" t="n">
        <v>6.7</v>
      </c>
      <c r="H1097" t="n">
        <v>0</v>
      </c>
      <c r="I1097" t="n">
        <v>0</v>
      </c>
      <c r="J1097" t="n">
        <v>0</v>
      </c>
      <c r="K1097" t="n">
        <v>0</v>
      </c>
      <c r="L1097" t="n">
        <v>0</v>
      </c>
      <c r="M1097" t="n">
        <v>0</v>
      </c>
      <c r="N1097" t="n">
        <v>0</v>
      </c>
      <c r="O1097" t="n">
        <v>0</v>
      </c>
      <c r="P1097" t="n">
        <v>0</v>
      </c>
      <c r="Q1097" t="n">
        <v>0</v>
      </c>
      <c r="R1097" s="2" t="inlineStr"/>
    </row>
    <row r="1098" ht="15" customHeight="1">
      <c r="A1098" t="inlineStr">
        <is>
          <t>A 61536-2018</t>
        </is>
      </c>
      <c r="B1098" s="1" t="n">
        <v>43424</v>
      </c>
      <c r="C1098" s="1" t="n">
        <v>45204</v>
      </c>
      <c r="D1098" t="inlineStr">
        <is>
          <t>VÄSTERBOTTENS LÄN</t>
        </is>
      </c>
      <c r="E1098" t="inlineStr">
        <is>
          <t>SKELLEFTEÅ</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65130-2018</t>
        </is>
      </c>
      <c r="B1099" s="1" t="n">
        <v>43424</v>
      </c>
      <c r="C1099" s="1" t="n">
        <v>45204</v>
      </c>
      <c r="D1099" t="inlineStr">
        <is>
          <t>VÄSTERBOTTENS LÄN</t>
        </is>
      </c>
      <c r="E1099" t="inlineStr">
        <is>
          <t>SKELLEFTEÅ</t>
        </is>
      </c>
      <c r="G1099" t="n">
        <v>10.8</v>
      </c>
      <c r="H1099" t="n">
        <v>0</v>
      </c>
      <c r="I1099" t="n">
        <v>0</v>
      </c>
      <c r="J1099" t="n">
        <v>0</v>
      </c>
      <c r="K1099" t="n">
        <v>0</v>
      </c>
      <c r="L1099" t="n">
        <v>0</v>
      </c>
      <c r="M1099" t="n">
        <v>0</v>
      </c>
      <c r="N1099" t="n">
        <v>0</v>
      </c>
      <c r="O1099" t="n">
        <v>0</v>
      </c>
      <c r="P1099" t="n">
        <v>0</v>
      </c>
      <c r="Q1099" t="n">
        <v>0</v>
      </c>
      <c r="R1099" s="2" t="inlineStr"/>
    </row>
    <row r="1100" ht="15" customHeight="1">
      <c r="A1100" t="inlineStr">
        <is>
          <t>A 62201-2018</t>
        </is>
      </c>
      <c r="B1100" s="1" t="n">
        <v>43425</v>
      </c>
      <c r="C1100" s="1" t="n">
        <v>45204</v>
      </c>
      <c r="D1100" t="inlineStr">
        <is>
          <t>VÄSTERBOTTENS LÄN</t>
        </is>
      </c>
      <c r="E1100" t="inlineStr">
        <is>
          <t>VINDELN</t>
        </is>
      </c>
      <c r="G1100" t="n">
        <v>3.4</v>
      </c>
      <c r="H1100" t="n">
        <v>0</v>
      </c>
      <c r="I1100" t="n">
        <v>0</v>
      </c>
      <c r="J1100" t="n">
        <v>0</v>
      </c>
      <c r="K1100" t="n">
        <v>0</v>
      </c>
      <c r="L1100" t="n">
        <v>0</v>
      </c>
      <c r="M1100" t="n">
        <v>0</v>
      </c>
      <c r="N1100" t="n">
        <v>0</v>
      </c>
      <c r="O1100" t="n">
        <v>0</v>
      </c>
      <c r="P1100" t="n">
        <v>0</v>
      </c>
      <c r="Q1100" t="n">
        <v>0</v>
      </c>
      <c r="R1100" s="2" t="inlineStr"/>
    </row>
    <row r="1101" ht="15" customHeight="1">
      <c r="A1101" t="inlineStr">
        <is>
          <t>A 65625-2018</t>
        </is>
      </c>
      <c r="B1101" s="1" t="n">
        <v>43425</v>
      </c>
      <c r="C1101" s="1" t="n">
        <v>45204</v>
      </c>
      <c r="D1101" t="inlineStr">
        <is>
          <t>VÄSTERBOTTENS LÄN</t>
        </is>
      </c>
      <c r="E1101" t="inlineStr">
        <is>
          <t>BJURHOLM</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61687-2018</t>
        </is>
      </c>
      <c r="B1102" s="1" t="n">
        <v>43425</v>
      </c>
      <c r="C1102" s="1" t="n">
        <v>45204</v>
      </c>
      <c r="D1102" t="inlineStr">
        <is>
          <t>VÄSTERBOTTENS LÄN</t>
        </is>
      </c>
      <c r="E1102" t="inlineStr">
        <is>
          <t>SKELLEFTEÅ</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62161-2018</t>
        </is>
      </c>
      <c r="B1103" s="1" t="n">
        <v>43425</v>
      </c>
      <c r="C1103" s="1" t="n">
        <v>45204</v>
      </c>
      <c r="D1103" t="inlineStr">
        <is>
          <t>VÄSTERBOTTENS LÄN</t>
        </is>
      </c>
      <c r="E1103" t="inlineStr">
        <is>
          <t>VINDELN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62207-2018</t>
        </is>
      </c>
      <c r="B1104" s="1" t="n">
        <v>43425</v>
      </c>
      <c r="C1104" s="1" t="n">
        <v>45204</v>
      </c>
      <c r="D1104" t="inlineStr">
        <is>
          <t>VÄSTERBOTTENS LÄN</t>
        </is>
      </c>
      <c r="E1104" t="inlineStr">
        <is>
          <t>VINDELN</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62155-2018</t>
        </is>
      </c>
      <c r="B1105" s="1" t="n">
        <v>43425</v>
      </c>
      <c r="C1105" s="1" t="n">
        <v>45204</v>
      </c>
      <c r="D1105" t="inlineStr">
        <is>
          <t>VÄSTERBOTTENS LÄN</t>
        </is>
      </c>
      <c r="E1105" t="inlineStr">
        <is>
          <t>VINDELN</t>
        </is>
      </c>
      <c r="G1105" t="n">
        <v>42.2</v>
      </c>
      <c r="H1105" t="n">
        <v>0</v>
      </c>
      <c r="I1105" t="n">
        <v>0</v>
      </c>
      <c r="J1105" t="n">
        <v>0</v>
      </c>
      <c r="K1105" t="n">
        <v>0</v>
      </c>
      <c r="L1105" t="n">
        <v>0</v>
      </c>
      <c r="M1105" t="n">
        <v>0</v>
      </c>
      <c r="N1105" t="n">
        <v>0</v>
      </c>
      <c r="O1105" t="n">
        <v>0</v>
      </c>
      <c r="P1105" t="n">
        <v>0</v>
      </c>
      <c r="Q1105" t="n">
        <v>0</v>
      </c>
      <c r="R1105" s="2" t="inlineStr"/>
    </row>
    <row r="1106" ht="15" customHeight="1">
      <c r="A1106" t="inlineStr">
        <is>
          <t>A 62163-2018</t>
        </is>
      </c>
      <c r="B1106" s="1" t="n">
        <v>43425</v>
      </c>
      <c r="C1106" s="1" t="n">
        <v>45204</v>
      </c>
      <c r="D1106" t="inlineStr">
        <is>
          <t>VÄSTERBOTTENS LÄN</t>
        </is>
      </c>
      <c r="E1106" t="inlineStr">
        <is>
          <t>VINDELN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62225-2018</t>
        </is>
      </c>
      <c r="B1107" s="1" t="n">
        <v>43425</v>
      </c>
      <c r="C1107" s="1" t="n">
        <v>45204</v>
      </c>
      <c r="D1107" t="inlineStr">
        <is>
          <t>VÄSTERBOTTENS LÄN</t>
        </is>
      </c>
      <c r="E1107" t="inlineStr">
        <is>
          <t>VINDELN</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61938-2018</t>
        </is>
      </c>
      <c r="B1108" s="1" t="n">
        <v>43425</v>
      </c>
      <c r="C1108" s="1" t="n">
        <v>45204</v>
      </c>
      <c r="D1108" t="inlineStr">
        <is>
          <t>VÄSTERBOTTENS LÄN</t>
        </is>
      </c>
      <c r="E1108" t="inlineStr">
        <is>
          <t>VINDELN</t>
        </is>
      </c>
      <c r="G1108" t="n">
        <v>12.3</v>
      </c>
      <c r="H1108" t="n">
        <v>0</v>
      </c>
      <c r="I1108" t="n">
        <v>0</v>
      </c>
      <c r="J1108" t="n">
        <v>0</v>
      </c>
      <c r="K1108" t="n">
        <v>0</v>
      </c>
      <c r="L1108" t="n">
        <v>0</v>
      </c>
      <c r="M1108" t="n">
        <v>0</v>
      </c>
      <c r="N1108" t="n">
        <v>0</v>
      </c>
      <c r="O1108" t="n">
        <v>0</v>
      </c>
      <c r="P1108" t="n">
        <v>0</v>
      </c>
      <c r="Q1108" t="n">
        <v>0</v>
      </c>
      <c r="R1108" s="2" t="inlineStr"/>
    </row>
    <row r="1109" ht="15" customHeight="1">
      <c r="A1109" t="inlineStr">
        <is>
          <t>A 62212-2018</t>
        </is>
      </c>
      <c r="B1109" s="1" t="n">
        <v>43425</v>
      </c>
      <c r="C1109" s="1" t="n">
        <v>45204</v>
      </c>
      <c r="D1109" t="inlineStr">
        <is>
          <t>VÄSTERBOTTENS LÄN</t>
        </is>
      </c>
      <c r="E1109" t="inlineStr">
        <is>
          <t>VINDELN</t>
        </is>
      </c>
      <c r="G1109" t="n">
        <v>3.8</v>
      </c>
      <c r="H1109" t="n">
        <v>0</v>
      </c>
      <c r="I1109" t="n">
        <v>0</v>
      </c>
      <c r="J1109" t="n">
        <v>0</v>
      </c>
      <c r="K1109" t="n">
        <v>0</v>
      </c>
      <c r="L1109" t="n">
        <v>0</v>
      </c>
      <c r="M1109" t="n">
        <v>0</v>
      </c>
      <c r="N1109" t="n">
        <v>0</v>
      </c>
      <c r="O1109" t="n">
        <v>0</v>
      </c>
      <c r="P1109" t="n">
        <v>0</v>
      </c>
      <c r="Q1109" t="n">
        <v>0</v>
      </c>
      <c r="R1109" s="2" t="inlineStr"/>
    </row>
    <row r="1110" ht="15" customHeight="1">
      <c r="A1110" t="inlineStr">
        <is>
          <t>A 62226-2018</t>
        </is>
      </c>
      <c r="B1110" s="1" t="n">
        <v>43425</v>
      </c>
      <c r="C1110" s="1" t="n">
        <v>45204</v>
      </c>
      <c r="D1110" t="inlineStr">
        <is>
          <t>VÄSTERBOTTENS LÄN</t>
        </is>
      </c>
      <c r="E1110" t="inlineStr">
        <is>
          <t>VINDELN</t>
        </is>
      </c>
      <c r="G1110" t="n">
        <v>4.5</v>
      </c>
      <c r="H1110" t="n">
        <v>0</v>
      </c>
      <c r="I1110" t="n">
        <v>0</v>
      </c>
      <c r="J1110" t="n">
        <v>0</v>
      </c>
      <c r="K1110" t="n">
        <v>0</v>
      </c>
      <c r="L1110" t="n">
        <v>0</v>
      </c>
      <c r="M1110" t="n">
        <v>0</v>
      </c>
      <c r="N1110" t="n">
        <v>0</v>
      </c>
      <c r="O1110" t="n">
        <v>0</v>
      </c>
      <c r="P1110" t="n">
        <v>0</v>
      </c>
      <c r="Q1110" t="n">
        <v>0</v>
      </c>
      <c r="R1110" s="2" t="inlineStr"/>
    </row>
    <row r="1111" ht="15" customHeight="1">
      <c r="A1111" t="inlineStr">
        <is>
          <t>A 65651-2018</t>
        </is>
      </c>
      <c r="B1111" s="1" t="n">
        <v>43425</v>
      </c>
      <c r="C1111" s="1" t="n">
        <v>45204</v>
      </c>
      <c r="D1111" t="inlineStr">
        <is>
          <t>VÄSTERBOTTENS LÄN</t>
        </is>
      </c>
      <c r="E1111" t="inlineStr">
        <is>
          <t>LYCKSELE</t>
        </is>
      </c>
      <c r="G1111" t="n">
        <v>11.9</v>
      </c>
      <c r="H1111" t="n">
        <v>0</v>
      </c>
      <c r="I1111" t="n">
        <v>0</v>
      </c>
      <c r="J1111" t="n">
        <v>0</v>
      </c>
      <c r="K1111" t="n">
        <v>0</v>
      </c>
      <c r="L1111" t="n">
        <v>0</v>
      </c>
      <c r="M1111" t="n">
        <v>0</v>
      </c>
      <c r="N1111" t="n">
        <v>0</v>
      </c>
      <c r="O1111" t="n">
        <v>0</v>
      </c>
      <c r="P1111" t="n">
        <v>0</v>
      </c>
      <c r="Q1111" t="n">
        <v>0</v>
      </c>
      <c r="R1111" s="2" t="inlineStr"/>
    </row>
    <row r="1112" ht="15" customHeight="1">
      <c r="A1112" t="inlineStr">
        <is>
          <t>A 66081-2018</t>
        </is>
      </c>
      <c r="B1112" s="1" t="n">
        <v>43425</v>
      </c>
      <c r="C1112" s="1" t="n">
        <v>45204</v>
      </c>
      <c r="D1112" t="inlineStr">
        <is>
          <t>VÄSTERBOTTENS LÄN</t>
        </is>
      </c>
      <c r="E1112" t="inlineStr">
        <is>
          <t>DOROTEA</t>
        </is>
      </c>
      <c r="F1112" t="inlineStr">
        <is>
          <t>SCA</t>
        </is>
      </c>
      <c r="G1112" t="n">
        <v>19.4</v>
      </c>
      <c r="H1112" t="n">
        <v>0</v>
      </c>
      <c r="I1112" t="n">
        <v>0</v>
      </c>
      <c r="J1112" t="n">
        <v>0</v>
      </c>
      <c r="K1112" t="n">
        <v>0</v>
      </c>
      <c r="L1112" t="n">
        <v>0</v>
      </c>
      <c r="M1112" t="n">
        <v>0</v>
      </c>
      <c r="N1112" t="n">
        <v>0</v>
      </c>
      <c r="O1112" t="n">
        <v>0</v>
      </c>
      <c r="P1112" t="n">
        <v>0</v>
      </c>
      <c r="Q1112" t="n">
        <v>0</v>
      </c>
      <c r="R1112" s="2" t="inlineStr"/>
    </row>
    <row r="1113" ht="15" customHeight="1">
      <c r="A1113" t="inlineStr">
        <is>
          <t>A 62921-2018</t>
        </is>
      </c>
      <c r="B1113" s="1" t="n">
        <v>43426</v>
      </c>
      <c r="C1113" s="1" t="n">
        <v>45204</v>
      </c>
      <c r="D1113" t="inlineStr">
        <is>
          <t>VÄSTERBOTTENS LÄN</t>
        </is>
      </c>
      <c r="E1113" t="inlineStr">
        <is>
          <t>MALÅ</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66237-2018</t>
        </is>
      </c>
      <c r="B1114" s="1" t="n">
        <v>43426</v>
      </c>
      <c r="C1114" s="1" t="n">
        <v>45204</v>
      </c>
      <c r="D1114" t="inlineStr">
        <is>
          <t>VÄSTERBOTTENS LÄN</t>
        </is>
      </c>
      <c r="E1114" t="inlineStr">
        <is>
          <t>BJURHOLM</t>
        </is>
      </c>
      <c r="G1114" t="n">
        <v>4.2</v>
      </c>
      <c r="H1114" t="n">
        <v>0</v>
      </c>
      <c r="I1114" t="n">
        <v>0</v>
      </c>
      <c r="J1114" t="n">
        <v>0</v>
      </c>
      <c r="K1114" t="n">
        <v>0</v>
      </c>
      <c r="L1114" t="n">
        <v>0</v>
      </c>
      <c r="M1114" t="n">
        <v>0</v>
      </c>
      <c r="N1114" t="n">
        <v>0</v>
      </c>
      <c r="O1114" t="n">
        <v>0</v>
      </c>
      <c r="P1114" t="n">
        <v>0</v>
      </c>
      <c r="Q1114" t="n">
        <v>0</v>
      </c>
      <c r="R1114" s="2" t="inlineStr"/>
    </row>
    <row r="1115" ht="15" customHeight="1">
      <c r="A1115" t="inlineStr">
        <is>
          <t>A 62319-2018</t>
        </is>
      </c>
      <c r="B1115" s="1" t="n">
        <v>43426</v>
      </c>
      <c r="C1115" s="1" t="n">
        <v>45204</v>
      </c>
      <c r="D1115" t="inlineStr">
        <is>
          <t>VÄSTERBOTTENS LÄN</t>
        </is>
      </c>
      <c r="E1115" t="inlineStr">
        <is>
          <t>SKELLEFTEÅ</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62588-2018</t>
        </is>
      </c>
      <c r="B1116" s="1" t="n">
        <v>43426</v>
      </c>
      <c r="C1116" s="1" t="n">
        <v>45204</v>
      </c>
      <c r="D1116" t="inlineStr">
        <is>
          <t>VÄSTERBOTTENS LÄN</t>
        </is>
      </c>
      <c r="E1116" t="inlineStr">
        <is>
          <t>SKELLEFTEÅ</t>
        </is>
      </c>
      <c r="F1116" t="inlineStr">
        <is>
          <t>Holmen skog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62864-2018</t>
        </is>
      </c>
      <c r="B1117" s="1" t="n">
        <v>43426</v>
      </c>
      <c r="C1117" s="1" t="n">
        <v>45204</v>
      </c>
      <c r="D1117" t="inlineStr">
        <is>
          <t>VÄSTERBOTTENS LÄN</t>
        </is>
      </c>
      <c r="E1117" t="inlineStr">
        <is>
          <t>UMEÅ</t>
        </is>
      </c>
      <c r="F1117" t="inlineStr">
        <is>
          <t>Holmen skog AB</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65948-2018</t>
        </is>
      </c>
      <c r="B1118" s="1" t="n">
        <v>43426</v>
      </c>
      <c r="C1118" s="1" t="n">
        <v>45204</v>
      </c>
      <c r="D1118" t="inlineStr">
        <is>
          <t>VÄSTERBOTTENS LÄN</t>
        </is>
      </c>
      <c r="E1118" t="inlineStr">
        <is>
          <t>SKELLEFTEÅ</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65939-2018</t>
        </is>
      </c>
      <c r="B1119" s="1" t="n">
        <v>43426</v>
      </c>
      <c r="C1119" s="1" t="n">
        <v>45204</v>
      </c>
      <c r="D1119" t="inlineStr">
        <is>
          <t>VÄSTERBOTTENS LÄN</t>
        </is>
      </c>
      <c r="E1119" t="inlineStr">
        <is>
          <t>SKELLEFTEÅ</t>
        </is>
      </c>
      <c r="G1119" t="n">
        <v>6</v>
      </c>
      <c r="H1119" t="n">
        <v>0</v>
      </c>
      <c r="I1119" t="n">
        <v>0</v>
      </c>
      <c r="J1119" t="n">
        <v>0</v>
      </c>
      <c r="K1119" t="n">
        <v>0</v>
      </c>
      <c r="L1119" t="n">
        <v>0</v>
      </c>
      <c r="M1119" t="n">
        <v>0</v>
      </c>
      <c r="N1119" t="n">
        <v>0</v>
      </c>
      <c r="O1119" t="n">
        <v>0</v>
      </c>
      <c r="P1119" t="n">
        <v>0</v>
      </c>
      <c r="Q1119" t="n">
        <v>0</v>
      </c>
      <c r="R1119" s="2" t="inlineStr"/>
    </row>
    <row r="1120" ht="15" customHeight="1">
      <c r="A1120" t="inlineStr">
        <is>
          <t>A 63336-2018</t>
        </is>
      </c>
      <c r="B1120" s="1" t="n">
        <v>43427</v>
      </c>
      <c r="C1120" s="1" t="n">
        <v>45204</v>
      </c>
      <c r="D1120" t="inlineStr">
        <is>
          <t>VÄSTERBOTTENS LÄN</t>
        </is>
      </c>
      <c r="E1120" t="inlineStr">
        <is>
          <t>SKELLEFTEÅ</t>
        </is>
      </c>
      <c r="G1120" t="n">
        <v>0.1</v>
      </c>
      <c r="H1120" t="n">
        <v>0</v>
      </c>
      <c r="I1120" t="n">
        <v>0</v>
      </c>
      <c r="J1120" t="n">
        <v>0</v>
      </c>
      <c r="K1120" t="n">
        <v>0</v>
      </c>
      <c r="L1120" t="n">
        <v>0</v>
      </c>
      <c r="M1120" t="n">
        <v>0</v>
      </c>
      <c r="N1120" t="n">
        <v>0</v>
      </c>
      <c r="O1120" t="n">
        <v>0</v>
      </c>
      <c r="P1120" t="n">
        <v>0</v>
      </c>
      <c r="Q1120" t="n">
        <v>0</v>
      </c>
      <c r="R1120" s="2" t="inlineStr"/>
    </row>
    <row r="1121" ht="15" customHeight="1">
      <c r="A1121" t="inlineStr">
        <is>
          <t>A 63364-2018</t>
        </is>
      </c>
      <c r="B1121" s="1" t="n">
        <v>43427</v>
      </c>
      <c r="C1121" s="1" t="n">
        <v>45204</v>
      </c>
      <c r="D1121" t="inlineStr">
        <is>
          <t>VÄSTERBOTTENS LÄN</t>
        </is>
      </c>
      <c r="E1121" t="inlineStr">
        <is>
          <t>ÅSELE</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63394-2018</t>
        </is>
      </c>
      <c r="B1122" s="1" t="n">
        <v>43427</v>
      </c>
      <c r="C1122" s="1" t="n">
        <v>45204</v>
      </c>
      <c r="D1122" t="inlineStr">
        <is>
          <t>VÄSTERBOTTENS LÄN</t>
        </is>
      </c>
      <c r="E1122" t="inlineStr">
        <is>
          <t>UMEÅ</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66322-2018</t>
        </is>
      </c>
      <c r="B1123" s="1" t="n">
        <v>43427</v>
      </c>
      <c r="C1123" s="1" t="n">
        <v>45204</v>
      </c>
      <c r="D1123" t="inlineStr">
        <is>
          <t>VÄSTERBOTTENS LÄN</t>
        </is>
      </c>
      <c r="E1123" t="inlineStr">
        <is>
          <t>LYCKSELE</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66328-2018</t>
        </is>
      </c>
      <c r="B1124" s="1" t="n">
        <v>43427</v>
      </c>
      <c r="C1124" s="1" t="n">
        <v>45204</v>
      </c>
      <c r="D1124" t="inlineStr">
        <is>
          <t>VÄSTERBOTTENS LÄN</t>
        </is>
      </c>
      <c r="E1124" t="inlineStr">
        <is>
          <t>VÄNNÄS</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63652-2018</t>
        </is>
      </c>
      <c r="B1125" s="1" t="n">
        <v>43427</v>
      </c>
      <c r="C1125" s="1" t="n">
        <v>45204</v>
      </c>
      <c r="D1125" t="inlineStr">
        <is>
          <t>VÄSTERBOTTENS LÄN</t>
        </is>
      </c>
      <c r="E1125" t="inlineStr">
        <is>
          <t>SKELLEFTEÅ</t>
        </is>
      </c>
      <c r="F1125" t="inlineStr">
        <is>
          <t>SCA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66338-2018</t>
        </is>
      </c>
      <c r="B1126" s="1" t="n">
        <v>43428</v>
      </c>
      <c r="C1126" s="1" t="n">
        <v>45204</v>
      </c>
      <c r="D1126" t="inlineStr">
        <is>
          <t>VÄSTERBOTTENS LÄN</t>
        </is>
      </c>
      <c r="E1126" t="inlineStr">
        <is>
          <t>SKELLEFTEÅ</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63881-2018</t>
        </is>
      </c>
      <c r="B1127" s="1" t="n">
        <v>43430</v>
      </c>
      <c r="C1127" s="1" t="n">
        <v>45204</v>
      </c>
      <c r="D1127" t="inlineStr">
        <is>
          <t>VÄSTERBOTTENS LÄN</t>
        </is>
      </c>
      <c r="E1127" t="inlineStr">
        <is>
          <t>SKELLEFTEÅ</t>
        </is>
      </c>
      <c r="F1127" t="inlineStr">
        <is>
          <t>Holmen skog AB</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64000-2018</t>
        </is>
      </c>
      <c r="B1128" s="1" t="n">
        <v>43430</v>
      </c>
      <c r="C1128" s="1" t="n">
        <v>45204</v>
      </c>
      <c r="D1128" t="inlineStr">
        <is>
          <t>VÄSTERBOTTENS LÄN</t>
        </is>
      </c>
      <c r="E1128" t="inlineStr">
        <is>
          <t>VINDELN</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64387-2018</t>
        </is>
      </c>
      <c r="B1129" s="1" t="n">
        <v>43430</v>
      </c>
      <c r="C1129" s="1" t="n">
        <v>45204</v>
      </c>
      <c r="D1129" t="inlineStr">
        <is>
          <t>VÄSTERBOTTENS LÄN</t>
        </is>
      </c>
      <c r="E1129" t="inlineStr">
        <is>
          <t>SKELLEFTEÅ</t>
        </is>
      </c>
      <c r="G1129" t="n">
        <v>3.1</v>
      </c>
      <c r="H1129" t="n">
        <v>0</v>
      </c>
      <c r="I1129" t="n">
        <v>0</v>
      </c>
      <c r="J1129" t="n">
        <v>0</v>
      </c>
      <c r="K1129" t="n">
        <v>0</v>
      </c>
      <c r="L1129" t="n">
        <v>0</v>
      </c>
      <c r="M1129" t="n">
        <v>0</v>
      </c>
      <c r="N1129" t="n">
        <v>0</v>
      </c>
      <c r="O1129" t="n">
        <v>0</v>
      </c>
      <c r="P1129" t="n">
        <v>0</v>
      </c>
      <c r="Q1129" t="n">
        <v>0</v>
      </c>
      <c r="R1129" s="2" t="inlineStr"/>
    </row>
    <row r="1130" ht="15" customHeight="1">
      <c r="A1130" t="inlineStr">
        <is>
          <t>A 64423-2018</t>
        </is>
      </c>
      <c r="B1130" s="1" t="n">
        <v>43430</v>
      </c>
      <c r="C1130" s="1" t="n">
        <v>45204</v>
      </c>
      <c r="D1130" t="inlineStr">
        <is>
          <t>VÄSTERBOTTENS LÄN</t>
        </is>
      </c>
      <c r="E1130" t="inlineStr">
        <is>
          <t>STORUMAN</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66741-2018</t>
        </is>
      </c>
      <c r="B1131" s="1" t="n">
        <v>43430</v>
      </c>
      <c r="C1131" s="1" t="n">
        <v>45204</v>
      </c>
      <c r="D1131" t="inlineStr">
        <is>
          <t>VÄSTERBOTTENS LÄN</t>
        </is>
      </c>
      <c r="E1131" t="inlineStr">
        <is>
          <t>SKELLEFTEÅ</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66958-2018</t>
        </is>
      </c>
      <c r="B1132" s="1" t="n">
        <v>43430</v>
      </c>
      <c r="C1132" s="1" t="n">
        <v>45204</v>
      </c>
      <c r="D1132" t="inlineStr">
        <is>
          <t>VÄSTERBOTTENS LÄN</t>
        </is>
      </c>
      <c r="E1132" t="inlineStr">
        <is>
          <t>LYCKSELE</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64388-2018</t>
        </is>
      </c>
      <c r="B1133" s="1" t="n">
        <v>43430</v>
      </c>
      <c r="C1133" s="1" t="n">
        <v>45204</v>
      </c>
      <c r="D1133" t="inlineStr">
        <is>
          <t>VÄSTERBOTTENS LÄN</t>
        </is>
      </c>
      <c r="E1133" t="inlineStr">
        <is>
          <t>SKELLEFTEÅ</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64424-2018</t>
        </is>
      </c>
      <c r="B1134" s="1" t="n">
        <v>43430</v>
      </c>
      <c r="C1134" s="1" t="n">
        <v>45204</v>
      </c>
      <c r="D1134" t="inlineStr">
        <is>
          <t>VÄSTERBOTTENS LÄN</t>
        </is>
      </c>
      <c r="E1134" t="inlineStr">
        <is>
          <t>STORUMAN</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66417-2018</t>
        </is>
      </c>
      <c r="B1135" s="1" t="n">
        <v>43430</v>
      </c>
      <c r="C1135" s="1" t="n">
        <v>45204</v>
      </c>
      <c r="D1135" t="inlineStr">
        <is>
          <t>VÄSTERBOTTENS LÄN</t>
        </is>
      </c>
      <c r="E1135" t="inlineStr">
        <is>
          <t>LYCKSELE</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66452-2018</t>
        </is>
      </c>
      <c r="B1136" s="1" t="n">
        <v>43430</v>
      </c>
      <c r="C1136" s="1" t="n">
        <v>45204</v>
      </c>
      <c r="D1136" t="inlineStr">
        <is>
          <t>VÄSTERBOTTENS LÄN</t>
        </is>
      </c>
      <c r="E1136" t="inlineStr">
        <is>
          <t>LYCKSELE</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66742-2018</t>
        </is>
      </c>
      <c r="B1137" s="1" t="n">
        <v>43430</v>
      </c>
      <c r="C1137" s="1" t="n">
        <v>45204</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63849-2018</t>
        </is>
      </c>
      <c r="B1138" s="1" t="n">
        <v>43430</v>
      </c>
      <c r="C1138" s="1" t="n">
        <v>45204</v>
      </c>
      <c r="D1138" t="inlineStr">
        <is>
          <t>VÄSTERBOTTENS LÄN</t>
        </is>
      </c>
      <c r="E1138" t="inlineStr">
        <is>
          <t>VINDELN</t>
        </is>
      </c>
      <c r="F1138" t="inlineStr">
        <is>
          <t>Sveaskog</t>
        </is>
      </c>
      <c r="G1138" t="n">
        <v>18.2</v>
      </c>
      <c r="H1138" t="n">
        <v>0</v>
      </c>
      <c r="I1138" t="n">
        <v>0</v>
      </c>
      <c r="J1138" t="n">
        <v>0</v>
      </c>
      <c r="K1138" t="n">
        <v>0</v>
      </c>
      <c r="L1138" t="n">
        <v>0</v>
      </c>
      <c r="M1138" t="n">
        <v>0</v>
      </c>
      <c r="N1138" t="n">
        <v>0</v>
      </c>
      <c r="O1138" t="n">
        <v>0</v>
      </c>
      <c r="P1138" t="n">
        <v>0</v>
      </c>
      <c r="Q1138" t="n">
        <v>0</v>
      </c>
      <c r="R1138" s="2" t="inlineStr"/>
    </row>
    <row r="1139" ht="15" customHeight="1">
      <c r="A1139" t="inlineStr">
        <is>
          <t>A 63923-2018</t>
        </is>
      </c>
      <c r="B1139" s="1" t="n">
        <v>43430</v>
      </c>
      <c r="C1139" s="1" t="n">
        <v>45204</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64386-2018</t>
        </is>
      </c>
      <c r="B1140" s="1" t="n">
        <v>43430</v>
      </c>
      <c r="C1140" s="1" t="n">
        <v>45204</v>
      </c>
      <c r="D1140" t="inlineStr">
        <is>
          <t>VÄSTERBOTTENS LÄN</t>
        </is>
      </c>
      <c r="E1140" t="inlineStr">
        <is>
          <t>SKELLEFTEÅ</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66506-2018</t>
        </is>
      </c>
      <c r="B1141" s="1" t="n">
        <v>43430</v>
      </c>
      <c r="C1141" s="1" t="n">
        <v>45204</v>
      </c>
      <c r="D1141" t="inlineStr">
        <is>
          <t>VÄSTERBOTTENS LÄN</t>
        </is>
      </c>
      <c r="E1141" t="inlineStr">
        <is>
          <t>SKELLEFTEÅ</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67088-2018</t>
        </is>
      </c>
      <c r="B1142" s="1" t="n">
        <v>43431</v>
      </c>
      <c r="C1142" s="1" t="n">
        <v>45204</v>
      </c>
      <c r="D1142" t="inlineStr">
        <is>
          <t>VÄSTERBOTTENS LÄN</t>
        </is>
      </c>
      <c r="E1142" t="inlineStr">
        <is>
          <t>VINDELN</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67250-2018</t>
        </is>
      </c>
      <c r="B1143" s="1" t="n">
        <v>43431</v>
      </c>
      <c r="C1143" s="1" t="n">
        <v>45204</v>
      </c>
      <c r="D1143" t="inlineStr">
        <is>
          <t>VÄSTERBOTTENS LÄN</t>
        </is>
      </c>
      <c r="E1143" t="inlineStr">
        <is>
          <t>SKELLEFTEÅ</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67226-2018</t>
        </is>
      </c>
      <c r="B1144" s="1" t="n">
        <v>43431</v>
      </c>
      <c r="C1144" s="1" t="n">
        <v>45204</v>
      </c>
      <c r="D1144" t="inlineStr">
        <is>
          <t>VÄSTERBOTTENS LÄN</t>
        </is>
      </c>
      <c r="E1144" t="inlineStr">
        <is>
          <t>SKELLEFTEÅ</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64632-2018</t>
        </is>
      </c>
      <c r="B1145" s="1" t="n">
        <v>43431</v>
      </c>
      <c r="C1145" s="1" t="n">
        <v>45204</v>
      </c>
      <c r="D1145" t="inlineStr">
        <is>
          <t>VÄSTERBOTTENS LÄN</t>
        </is>
      </c>
      <c r="E1145" t="inlineStr">
        <is>
          <t>STORUMAN</t>
        </is>
      </c>
      <c r="F1145" t="inlineStr">
        <is>
          <t>Holmen skog AB</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64759-2018</t>
        </is>
      </c>
      <c r="B1146" s="1" t="n">
        <v>43431</v>
      </c>
      <c r="C1146" s="1" t="n">
        <v>45204</v>
      </c>
      <c r="D1146" t="inlineStr">
        <is>
          <t>VÄSTERBOTTENS LÄN</t>
        </is>
      </c>
      <c r="E1146" t="inlineStr">
        <is>
          <t>LYCKSELE</t>
        </is>
      </c>
      <c r="F1146" t="inlineStr">
        <is>
          <t>Holmen skog AB</t>
        </is>
      </c>
      <c r="G1146" t="n">
        <v>12.2</v>
      </c>
      <c r="H1146" t="n">
        <v>0</v>
      </c>
      <c r="I1146" t="n">
        <v>0</v>
      </c>
      <c r="J1146" t="n">
        <v>0</v>
      </c>
      <c r="K1146" t="n">
        <v>0</v>
      </c>
      <c r="L1146" t="n">
        <v>0</v>
      </c>
      <c r="M1146" t="n">
        <v>0</v>
      </c>
      <c r="N1146" t="n">
        <v>0</v>
      </c>
      <c r="O1146" t="n">
        <v>0</v>
      </c>
      <c r="P1146" t="n">
        <v>0</v>
      </c>
      <c r="Q1146" t="n">
        <v>0</v>
      </c>
      <c r="R1146" s="2" t="inlineStr"/>
    </row>
    <row r="1147" ht="15" customHeight="1">
      <c r="A1147" t="inlineStr">
        <is>
          <t>A 65162-2018</t>
        </is>
      </c>
      <c r="B1147" s="1" t="n">
        <v>43432</v>
      </c>
      <c r="C1147" s="1" t="n">
        <v>45204</v>
      </c>
      <c r="D1147" t="inlineStr">
        <is>
          <t>VÄSTERBOTTENS LÄN</t>
        </is>
      </c>
      <c r="E1147" t="inlineStr">
        <is>
          <t>SKELLEFTEÅ</t>
        </is>
      </c>
      <c r="F1147" t="inlineStr">
        <is>
          <t>Sveaskog</t>
        </is>
      </c>
      <c r="G1147" t="n">
        <v>3.5</v>
      </c>
      <c r="H1147" t="n">
        <v>0</v>
      </c>
      <c r="I1147" t="n">
        <v>0</v>
      </c>
      <c r="J1147" t="n">
        <v>0</v>
      </c>
      <c r="K1147" t="n">
        <v>0</v>
      </c>
      <c r="L1147" t="n">
        <v>0</v>
      </c>
      <c r="M1147" t="n">
        <v>0</v>
      </c>
      <c r="N1147" t="n">
        <v>0</v>
      </c>
      <c r="O1147" t="n">
        <v>0</v>
      </c>
      <c r="P1147" t="n">
        <v>0</v>
      </c>
      <c r="Q1147" t="n">
        <v>0</v>
      </c>
      <c r="R1147" s="2" t="inlineStr"/>
    </row>
    <row r="1148" ht="15" customHeight="1">
      <c r="A1148" t="inlineStr">
        <is>
          <t>A 65177-2018</t>
        </is>
      </c>
      <c r="B1148" s="1" t="n">
        <v>43432</v>
      </c>
      <c r="C1148" s="1" t="n">
        <v>45204</v>
      </c>
      <c r="D1148" t="inlineStr">
        <is>
          <t>VÄSTERBOTTENS LÄN</t>
        </is>
      </c>
      <c r="E1148" t="inlineStr">
        <is>
          <t>SKELLEFTEÅ</t>
        </is>
      </c>
      <c r="F1148" t="inlineStr">
        <is>
          <t>Sveaskog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67355-2018</t>
        </is>
      </c>
      <c r="B1149" s="1" t="n">
        <v>43432</v>
      </c>
      <c r="C1149" s="1" t="n">
        <v>45204</v>
      </c>
      <c r="D1149" t="inlineStr">
        <is>
          <t>VÄSTERBOTTENS LÄN</t>
        </is>
      </c>
      <c r="E1149" t="inlineStr">
        <is>
          <t>SKELLEFTEÅ</t>
        </is>
      </c>
      <c r="G1149" t="n">
        <v>8</v>
      </c>
      <c r="H1149" t="n">
        <v>0</v>
      </c>
      <c r="I1149" t="n">
        <v>0</v>
      </c>
      <c r="J1149" t="n">
        <v>0</v>
      </c>
      <c r="K1149" t="n">
        <v>0</v>
      </c>
      <c r="L1149" t="n">
        <v>0</v>
      </c>
      <c r="M1149" t="n">
        <v>0</v>
      </c>
      <c r="N1149" t="n">
        <v>0</v>
      </c>
      <c r="O1149" t="n">
        <v>0</v>
      </c>
      <c r="P1149" t="n">
        <v>0</v>
      </c>
      <c r="Q1149" t="n">
        <v>0</v>
      </c>
      <c r="R1149" s="2" t="inlineStr"/>
    </row>
    <row r="1150" ht="15" customHeight="1">
      <c r="A1150" t="inlineStr">
        <is>
          <t>A 65069-2018</t>
        </is>
      </c>
      <c r="B1150" s="1" t="n">
        <v>43432</v>
      </c>
      <c r="C1150" s="1" t="n">
        <v>45204</v>
      </c>
      <c r="D1150" t="inlineStr">
        <is>
          <t>VÄSTERBOTTENS LÄN</t>
        </is>
      </c>
      <c r="E1150" t="inlineStr">
        <is>
          <t>LYCKSELE</t>
        </is>
      </c>
      <c r="F1150" t="inlineStr">
        <is>
          <t>Sveaskog</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65179-2018</t>
        </is>
      </c>
      <c r="B1151" s="1" t="n">
        <v>43432</v>
      </c>
      <c r="C1151" s="1" t="n">
        <v>45204</v>
      </c>
      <c r="D1151" t="inlineStr">
        <is>
          <t>VÄSTERBOTTENS LÄN</t>
        </is>
      </c>
      <c r="E1151" t="inlineStr">
        <is>
          <t>VINDELN</t>
        </is>
      </c>
      <c r="G1151" t="n">
        <v>8.1</v>
      </c>
      <c r="H1151" t="n">
        <v>0</v>
      </c>
      <c r="I1151" t="n">
        <v>0</v>
      </c>
      <c r="J1151" t="n">
        <v>0</v>
      </c>
      <c r="K1151" t="n">
        <v>0</v>
      </c>
      <c r="L1151" t="n">
        <v>0</v>
      </c>
      <c r="M1151" t="n">
        <v>0</v>
      </c>
      <c r="N1151" t="n">
        <v>0</v>
      </c>
      <c r="O1151" t="n">
        <v>0</v>
      </c>
      <c r="P1151" t="n">
        <v>0</v>
      </c>
      <c r="Q1151" t="n">
        <v>0</v>
      </c>
      <c r="R1151" s="2" t="inlineStr"/>
    </row>
    <row r="1152" ht="15" customHeight="1">
      <c r="A1152" t="inlineStr">
        <is>
          <t>A 65206-2018</t>
        </is>
      </c>
      <c r="B1152" s="1" t="n">
        <v>43432</v>
      </c>
      <c r="C1152" s="1" t="n">
        <v>45204</v>
      </c>
      <c r="D1152" t="inlineStr">
        <is>
          <t>VÄSTERBOTTENS LÄN</t>
        </is>
      </c>
      <c r="E1152" t="inlineStr">
        <is>
          <t>SKELLEFTEÅ</t>
        </is>
      </c>
      <c r="F1152" t="inlineStr">
        <is>
          <t>Holmen skog AB</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65303-2018</t>
        </is>
      </c>
      <c r="B1153" s="1" t="n">
        <v>43432</v>
      </c>
      <c r="C1153" s="1" t="n">
        <v>45204</v>
      </c>
      <c r="D1153" t="inlineStr">
        <is>
          <t>VÄSTERBOTTENS LÄN</t>
        </is>
      </c>
      <c r="E1153" t="inlineStr">
        <is>
          <t>VILHELMINA</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67381-2018</t>
        </is>
      </c>
      <c r="B1154" s="1" t="n">
        <v>43432</v>
      </c>
      <c r="C1154" s="1" t="n">
        <v>45204</v>
      </c>
      <c r="D1154" t="inlineStr">
        <is>
          <t>VÄSTERBOTTENS LÄN</t>
        </is>
      </c>
      <c r="E1154" t="inlineStr">
        <is>
          <t>VILHELMINA</t>
        </is>
      </c>
      <c r="F1154" t="inlineStr">
        <is>
          <t>Allmännings- och besparingsskogar</t>
        </is>
      </c>
      <c r="G1154" t="n">
        <v>11.8</v>
      </c>
      <c r="H1154" t="n">
        <v>0</v>
      </c>
      <c r="I1154" t="n">
        <v>0</v>
      </c>
      <c r="J1154" t="n">
        <v>0</v>
      </c>
      <c r="K1154" t="n">
        <v>0</v>
      </c>
      <c r="L1154" t="n">
        <v>0</v>
      </c>
      <c r="M1154" t="n">
        <v>0</v>
      </c>
      <c r="N1154" t="n">
        <v>0</v>
      </c>
      <c r="O1154" t="n">
        <v>0</v>
      </c>
      <c r="P1154" t="n">
        <v>0</v>
      </c>
      <c r="Q1154" t="n">
        <v>0</v>
      </c>
      <c r="R1154" s="2" t="inlineStr"/>
    </row>
    <row r="1155" ht="15" customHeight="1">
      <c r="A1155" t="inlineStr">
        <is>
          <t>A 65173-2018</t>
        </is>
      </c>
      <c r="B1155" s="1" t="n">
        <v>43432</v>
      </c>
      <c r="C1155" s="1" t="n">
        <v>45204</v>
      </c>
      <c r="D1155" t="inlineStr">
        <is>
          <t>VÄSTERBOTTENS LÄN</t>
        </is>
      </c>
      <c r="E1155" t="inlineStr">
        <is>
          <t>SKELLEFTEÅ</t>
        </is>
      </c>
      <c r="F1155" t="inlineStr">
        <is>
          <t>Sveaskog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65274-2018</t>
        </is>
      </c>
      <c r="B1156" s="1" t="n">
        <v>43432</v>
      </c>
      <c r="C1156" s="1" t="n">
        <v>45204</v>
      </c>
      <c r="D1156" t="inlineStr">
        <is>
          <t>VÄSTERBOTTENS LÄN</t>
        </is>
      </c>
      <c r="E1156" t="inlineStr">
        <is>
          <t>VINDELN</t>
        </is>
      </c>
      <c r="F1156" t="inlineStr">
        <is>
          <t>Sveaskog</t>
        </is>
      </c>
      <c r="G1156" t="n">
        <v>4.1</v>
      </c>
      <c r="H1156" t="n">
        <v>0</v>
      </c>
      <c r="I1156" t="n">
        <v>0</v>
      </c>
      <c r="J1156" t="n">
        <v>0</v>
      </c>
      <c r="K1156" t="n">
        <v>0</v>
      </c>
      <c r="L1156" t="n">
        <v>0</v>
      </c>
      <c r="M1156" t="n">
        <v>0</v>
      </c>
      <c r="N1156" t="n">
        <v>0</v>
      </c>
      <c r="O1156" t="n">
        <v>0</v>
      </c>
      <c r="P1156" t="n">
        <v>0</v>
      </c>
      <c r="Q1156" t="n">
        <v>0</v>
      </c>
      <c r="R1156" s="2" t="inlineStr"/>
    </row>
    <row r="1157" ht="15" customHeight="1">
      <c r="A1157" t="inlineStr">
        <is>
          <t>A 65178-2018</t>
        </is>
      </c>
      <c r="B1157" s="1" t="n">
        <v>43432</v>
      </c>
      <c r="C1157" s="1" t="n">
        <v>45204</v>
      </c>
      <c r="D1157" t="inlineStr">
        <is>
          <t>VÄSTERBOTTENS LÄN</t>
        </is>
      </c>
      <c r="E1157" t="inlineStr">
        <is>
          <t>SKELLEFTEÅ</t>
        </is>
      </c>
      <c r="F1157" t="inlineStr">
        <is>
          <t>Sveaskog</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67303-2018</t>
        </is>
      </c>
      <c r="B1158" s="1" t="n">
        <v>43432</v>
      </c>
      <c r="C1158" s="1" t="n">
        <v>45204</v>
      </c>
      <c r="D1158" t="inlineStr">
        <is>
          <t>VÄSTERBOTTENS LÄN</t>
        </is>
      </c>
      <c r="E1158" t="inlineStr">
        <is>
          <t>VILHELMINA</t>
        </is>
      </c>
      <c r="F1158" t="inlineStr">
        <is>
          <t>Allmännings- och besparingsskogar</t>
        </is>
      </c>
      <c r="G1158" t="n">
        <v>21.4</v>
      </c>
      <c r="H1158" t="n">
        <v>0</v>
      </c>
      <c r="I1158" t="n">
        <v>0</v>
      </c>
      <c r="J1158" t="n">
        <v>0</v>
      </c>
      <c r="K1158" t="n">
        <v>0</v>
      </c>
      <c r="L1158" t="n">
        <v>0</v>
      </c>
      <c r="M1158" t="n">
        <v>0</v>
      </c>
      <c r="N1158" t="n">
        <v>0</v>
      </c>
      <c r="O1158" t="n">
        <v>0</v>
      </c>
      <c r="P1158" t="n">
        <v>0</v>
      </c>
      <c r="Q1158" t="n">
        <v>0</v>
      </c>
      <c r="R1158" s="2" t="inlineStr"/>
    </row>
    <row r="1159" ht="15" customHeight="1">
      <c r="A1159" t="inlineStr">
        <is>
          <t>A 67361-2018</t>
        </is>
      </c>
      <c r="B1159" s="1" t="n">
        <v>43432</v>
      </c>
      <c r="C1159" s="1" t="n">
        <v>45204</v>
      </c>
      <c r="D1159" t="inlineStr">
        <is>
          <t>VÄSTERBOTTENS LÄN</t>
        </is>
      </c>
      <c r="E1159" t="inlineStr">
        <is>
          <t>VILHELMINA</t>
        </is>
      </c>
      <c r="F1159" t="inlineStr">
        <is>
          <t>Allmännings- och besparingsskogar</t>
        </is>
      </c>
      <c r="G1159" t="n">
        <v>25.1</v>
      </c>
      <c r="H1159" t="n">
        <v>0</v>
      </c>
      <c r="I1159" t="n">
        <v>0</v>
      </c>
      <c r="J1159" t="n">
        <v>0</v>
      </c>
      <c r="K1159" t="n">
        <v>0</v>
      </c>
      <c r="L1159" t="n">
        <v>0</v>
      </c>
      <c r="M1159" t="n">
        <v>0</v>
      </c>
      <c r="N1159" t="n">
        <v>0</v>
      </c>
      <c r="O1159" t="n">
        <v>0</v>
      </c>
      <c r="P1159" t="n">
        <v>0</v>
      </c>
      <c r="Q1159" t="n">
        <v>0</v>
      </c>
      <c r="R1159" s="2" t="inlineStr"/>
    </row>
    <row r="1160" ht="15" customHeight="1">
      <c r="A1160" t="inlineStr">
        <is>
          <t>A 67421-2018</t>
        </is>
      </c>
      <c r="B1160" s="1" t="n">
        <v>43432</v>
      </c>
      <c r="C1160" s="1" t="n">
        <v>45204</v>
      </c>
      <c r="D1160" t="inlineStr">
        <is>
          <t>VÄSTERBOTTENS LÄN</t>
        </is>
      </c>
      <c r="E1160" t="inlineStr">
        <is>
          <t>SORSELE</t>
        </is>
      </c>
      <c r="G1160" t="n">
        <v>9</v>
      </c>
      <c r="H1160" t="n">
        <v>0</v>
      </c>
      <c r="I1160" t="n">
        <v>0</v>
      </c>
      <c r="J1160" t="n">
        <v>0</v>
      </c>
      <c r="K1160" t="n">
        <v>0</v>
      </c>
      <c r="L1160" t="n">
        <v>0</v>
      </c>
      <c r="M1160" t="n">
        <v>0</v>
      </c>
      <c r="N1160" t="n">
        <v>0</v>
      </c>
      <c r="O1160" t="n">
        <v>0</v>
      </c>
      <c r="P1160" t="n">
        <v>0</v>
      </c>
      <c r="Q1160" t="n">
        <v>0</v>
      </c>
      <c r="R1160" s="2" t="inlineStr"/>
    </row>
    <row r="1161" ht="15" customHeight="1">
      <c r="A1161" t="inlineStr">
        <is>
          <t>A 65809-2018</t>
        </is>
      </c>
      <c r="B1161" s="1" t="n">
        <v>43433</v>
      </c>
      <c r="C1161" s="1" t="n">
        <v>45204</v>
      </c>
      <c r="D1161" t="inlineStr">
        <is>
          <t>VÄSTERBOTTENS LÄN</t>
        </is>
      </c>
      <c r="E1161" t="inlineStr">
        <is>
          <t>VINDELN</t>
        </is>
      </c>
      <c r="F1161" t="inlineStr">
        <is>
          <t>Sveaskog</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67620-2018</t>
        </is>
      </c>
      <c r="B1162" s="1" t="n">
        <v>43433</v>
      </c>
      <c r="C1162" s="1" t="n">
        <v>45204</v>
      </c>
      <c r="D1162" t="inlineStr">
        <is>
          <t>VÄSTERBOTTENS LÄN</t>
        </is>
      </c>
      <c r="E1162" t="inlineStr">
        <is>
          <t>STORUMAN</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67691-2018</t>
        </is>
      </c>
      <c r="B1163" s="1" t="n">
        <v>43433</v>
      </c>
      <c r="C1163" s="1" t="n">
        <v>45204</v>
      </c>
      <c r="D1163" t="inlineStr">
        <is>
          <t>VÄSTERBOTTENS LÄN</t>
        </is>
      </c>
      <c r="E1163" t="inlineStr">
        <is>
          <t>UMEÅ</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65341-2018</t>
        </is>
      </c>
      <c r="B1164" s="1" t="n">
        <v>43433</v>
      </c>
      <c r="C1164" s="1" t="n">
        <v>45204</v>
      </c>
      <c r="D1164" t="inlineStr">
        <is>
          <t>VÄSTERBOTTENS LÄN</t>
        </is>
      </c>
      <c r="E1164" t="inlineStr">
        <is>
          <t>SKELLEFTEÅ</t>
        </is>
      </c>
      <c r="F1164" t="inlineStr">
        <is>
          <t>Holmen skog AB</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65359-2018</t>
        </is>
      </c>
      <c r="B1165" s="1" t="n">
        <v>43433</v>
      </c>
      <c r="C1165" s="1" t="n">
        <v>45204</v>
      </c>
      <c r="D1165" t="inlineStr">
        <is>
          <t>VÄSTERBOTTENS LÄN</t>
        </is>
      </c>
      <c r="E1165" t="inlineStr">
        <is>
          <t>LYCKSELE</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65579-2018</t>
        </is>
      </c>
      <c r="B1166" s="1" t="n">
        <v>43433</v>
      </c>
      <c r="C1166" s="1" t="n">
        <v>45204</v>
      </c>
      <c r="D1166" t="inlineStr">
        <is>
          <t>VÄSTERBOTTENS LÄN</t>
        </is>
      </c>
      <c r="E1166" t="inlineStr">
        <is>
          <t>VÄNNÄS</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65822-2018</t>
        </is>
      </c>
      <c r="B1167" s="1" t="n">
        <v>43433</v>
      </c>
      <c r="C1167" s="1" t="n">
        <v>45204</v>
      </c>
      <c r="D1167" t="inlineStr">
        <is>
          <t>VÄSTERBOTTENS LÄN</t>
        </is>
      </c>
      <c r="E1167" t="inlineStr">
        <is>
          <t>SKELLEFTEÅ</t>
        </is>
      </c>
      <c r="F1167" t="inlineStr">
        <is>
          <t>Sveaskog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67619-2018</t>
        </is>
      </c>
      <c r="B1168" s="1" t="n">
        <v>43433</v>
      </c>
      <c r="C1168" s="1" t="n">
        <v>45204</v>
      </c>
      <c r="D1168" t="inlineStr">
        <is>
          <t>VÄSTERBOTTENS LÄN</t>
        </is>
      </c>
      <c r="E1168" t="inlineStr">
        <is>
          <t>STORUMAN</t>
        </is>
      </c>
      <c r="G1168" t="n">
        <v>23.1</v>
      </c>
      <c r="H1168" t="n">
        <v>0</v>
      </c>
      <c r="I1168" t="n">
        <v>0</v>
      </c>
      <c r="J1168" t="n">
        <v>0</v>
      </c>
      <c r="K1168" t="n">
        <v>0</v>
      </c>
      <c r="L1168" t="n">
        <v>0</v>
      </c>
      <c r="M1168" t="n">
        <v>0</v>
      </c>
      <c r="N1168" t="n">
        <v>0</v>
      </c>
      <c r="O1168" t="n">
        <v>0</v>
      </c>
      <c r="P1168" t="n">
        <v>0</v>
      </c>
      <c r="Q1168" t="n">
        <v>0</v>
      </c>
      <c r="R1168" s="2" t="inlineStr"/>
    </row>
    <row r="1169" ht="15" customHeight="1">
      <c r="A1169" t="inlineStr">
        <is>
          <t>A 67696-2018</t>
        </is>
      </c>
      <c r="B1169" s="1" t="n">
        <v>43433</v>
      </c>
      <c r="C1169" s="1" t="n">
        <v>45204</v>
      </c>
      <c r="D1169" t="inlineStr">
        <is>
          <t>VÄSTERBOTTENS LÄN</t>
        </is>
      </c>
      <c r="E1169" t="inlineStr">
        <is>
          <t>VÄNNÄS</t>
        </is>
      </c>
      <c r="G1169" t="n">
        <v>19.1</v>
      </c>
      <c r="H1169" t="n">
        <v>0</v>
      </c>
      <c r="I1169" t="n">
        <v>0</v>
      </c>
      <c r="J1169" t="n">
        <v>0</v>
      </c>
      <c r="K1169" t="n">
        <v>0</v>
      </c>
      <c r="L1169" t="n">
        <v>0</v>
      </c>
      <c r="M1169" t="n">
        <v>0</v>
      </c>
      <c r="N1169" t="n">
        <v>0</v>
      </c>
      <c r="O1169" t="n">
        <v>0</v>
      </c>
      <c r="P1169" t="n">
        <v>0</v>
      </c>
      <c r="Q1169" t="n">
        <v>0</v>
      </c>
      <c r="R1169" s="2" t="inlineStr"/>
    </row>
    <row r="1170" ht="15" customHeight="1">
      <c r="A1170" t="inlineStr">
        <is>
          <t>A 65494-2018</t>
        </is>
      </c>
      <c r="B1170" s="1" t="n">
        <v>43433</v>
      </c>
      <c r="C1170" s="1" t="n">
        <v>45204</v>
      </c>
      <c r="D1170" t="inlineStr">
        <is>
          <t>VÄSTERBOTTENS LÄN</t>
        </is>
      </c>
      <c r="E1170" t="inlineStr">
        <is>
          <t>NORSJÖ</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65811-2018</t>
        </is>
      </c>
      <c r="B1171" s="1" t="n">
        <v>43433</v>
      </c>
      <c r="C1171" s="1" t="n">
        <v>45204</v>
      </c>
      <c r="D1171" t="inlineStr">
        <is>
          <t>VÄSTERBOTTENS LÄN</t>
        </is>
      </c>
      <c r="E1171" t="inlineStr">
        <is>
          <t>VINDELN</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67537-2018</t>
        </is>
      </c>
      <c r="B1172" s="1" t="n">
        <v>43433</v>
      </c>
      <c r="C1172" s="1" t="n">
        <v>45204</v>
      </c>
      <c r="D1172" t="inlineStr">
        <is>
          <t>VÄSTERBOTTENS LÄN</t>
        </is>
      </c>
      <c r="E1172" t="inlineStr">
        <is>
          <t>SORSELE</t>
        </is>
      </c>
      <c r="G1172" t="n">
        <v>3.6</v>
      </c>
      <c r="H1172" t="n">
        <v>0</v>
      </c>
      <c r="I1172" t="n">
        <v>0</v>
      </c>
      <c r="J1172" t="n">
        <v>0</v>
      </c>
      <c r="K1172" t="n">
        <v>0</v>
      </c>
      <c r="L1172" t="n">
        <v>0</v>
      </c>
      <c r="M1172" t="n">
        <v>0</v>
      </c>
      <c r="N1172" t="n">
        <v>0</v>
      </c>
      <c r="O1172" t="n">
        <v>0</v>
      </c>
      <c r="P1172" t="n">
        <v>0</v>
      </c>
      <c r="Q1172" t="n">
        <v>0</v>
      </c>
      <c r="R1172" s="2" t="inlineStr"/>
    </row>
    <row r="1173" ht="15" customHeight="1">
      <c r="A1173" t="inlineStr">
        <is>
          <t>A 67772-2018</t>
        </is>
      </c>
      <c r="B1173" s="1" t="n">
        <v>43433</v>
      </c>
      <c r="C1173" s="1" t="n">
        <v>45204</v>
      </c>
      <c r="D1173" t="inlineStr">
        <is>
          <t>VÄSTERBOTTENS LÄN</t>
        </is>
      </c>
      <c r="E1173" t="inlineStr">
        <is>
          <t>NORSJÖ</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67728-2018</t>
        </is>
      </c>
      <c r="B1174" s="1" t="n">
        <v>43434</v>
      </c>
      <c r="C1174" s="1" t="n">
        <v>45204</v>
      </c>
      <c r="D1174" t="inlineStr">
        <is>
          <t>VÄSTERBOTTENS LÄN</t>
        </is>
      </c>
      <c r="E1174" t="inlineStr">
        <is>
          <t>SORSELE</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65854-2018</t>
        </is>
      </c>
      <c r="B1175" s="1" t="n">
        <v>43434</v>
      </c>
      <c r="C1175" s="1" t="n">
        <v>45204</v>
      </c>
      <c r="D1175" t="inlineStr">
        <is>
          <t>VÄSTERBOTTENS LÄN</t>
        </is>
      </c>
      <c r="E1175" t="inlineStr">
        <is>
          <t>SKELLEFTEÅ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67797-2018</t>
        </is>
      </c>
      <c r="B1176" s="1" t="n">
        <v>43434</v>
      </c>
      <c r="C1176" s="1" t="n">
        <v>45204</v>
      </c>
      <c r="D1176" t="inlineStr">
        <is>
          <t>VÄSTERBOTTENS LÄN</t>
        </is>
      </c>
      <c r="E1176" t="inlineStr">
        <is>
          <t>SKELLEFTEÅ</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68100-2018</t>
        </is>
      </c>
      <c r="B1177" s="1" t="n">
        <v>43434</v>
      </c>
      <c r="C1177" s="1" t="n">
        <v>45204</v>
      </c>
      <c r="D1177" t="inlineStr">
        <is>
          <t>VÄSTERBOTTENS LÄN</t>
        </is>
      </c>
      <c r="E1177" t="inlineStr">
        <is>
          <t>BJURHOLM</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68106-2018</t>
        </is>
      </c>
      <c r="B1178" s="1" t="n">
        <v>43434</v>
      </c>
      <c r="C1178" s="1" t="n">
        <v>45204</v>
      </c>
      <c r="D1178" t="inlineStr">
        <is>
          <t>VÄSTERBOTTENS LÄN</t>
        </is>
      </c>
      <c r="E1178" t="inlineStr">
        <is>
          <t>BJURHOLM</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68066-2018</t>
        </is>
      </c>
      <c r="B1179" s="1" t="n">
        <v>43437</v>
      </c>
      <c r="C1179" s="1" t="n">
        <v>45204</v>
      </c>
      <c r="D1179" t="inlineStr">
        <is>
          <t>VÄSTERBOTTENS LÄN</t>
        </is>
      </c>
      <c r="E1179" t="inlineStr">
        <is>
          <t>SKELLEFTEÅ</t>
        </is>
      </c>
      <c r="F1179" t="inlineStr">
        <is>
          <t>Kommuner</t>
        </is>
      </c>
      <c r="G1179" t="n">
        <v>5.7</v>
      </c>
      <c r="H1179" t="n">
        <v>0</v>
      </c>
      <c r="I1179" t="n">
        <v>0</v>
      </c>
      <c r="J1179" t="n">
        <v>0</v>
      </c>
      <c r="K1179" t="n">
        <v>0</v>
      </c>
      <c r="L1179" t="n">
        <v>0</v>
      </c>
      <c r="M1179" t="n">
        <v>0</v>
      </c>
      <c r="N1179" t="n">
        <v>0</v>
      </c>
      <c r="O1179" t="n">
        <v>0</v>
      </c>
      <c r="P1179" t="n">
        <v>0</v>
      </c>
      <c r="Q1179" t="n">
        <v>0</v>
      </c>
      <c r="R1179" s="2" t="inlineStr"/>
    </row>
    <row r="1180" ht="15" customHeight="1">
      <c r="A1180" t="inlineStr">
        <is>
          <t>A 66447-2018</t>
        </is>
      </c>
      <c r="B1180" s="1" t="n">
        <v>43437</v>
      </c>
      <c r="C1180" s="1" t="n">
        <v>45204</v>
      </c>
      <c r="D1180" t="inlineStr">
        <is>
          <t>VÄSTERBOTTENS LÄN</t>
        </is>
      </c>
      <c r="E1180" t="inlineStr">
        <is>
          <t>LYCKSELE</t>
        </is>
      </c>
      <c r="F1180" t="inlineStr">
        <is>
          <t>Sveaskog</t>
        </is>
      </c>
      <c r="G1180" t="n">
        <v>11.9</v>
      </c>
      <c r="H1180" t="n">
        <v>0</v>
      </c>
      <c r="I1180" t="n">
        <v>0</v>
      </c>
      <c r="J1180" t="n">
        <v>0</v>
      </c>
      <c r="K1180" t="n">
        <v>0</v>
      </c>
      <c r="L1180" t="n">
        <v>0</v>
      </c>
      <c r="M1180" t="n">
        <v>0</v>
      </c>
      <c r="N1180" t="n">
        <v>0</v>
      </c>
      <c r="O1180" t="n">
        <v>0</v>
      </c>
      <c r="P1180" t="n">
        <v>0</v>
      </c>
      <c r="Q1180" t="n">
        <v>0</v>
      </c>
      <c r="R1180" s="2" t="inlineStr"/>
    </row>
    <row r="1181" ht="15" customHeight="1">
      <c r="A1181" t="inlineStr">
        <is>
          <t>A 66620-2018</t>
        </is>
      </c>
      <c r="B1181" s="1" t="n">
        <v>43437</v>
      </c>
      <c r="C1181" s="1" t="n">
        <v>45204</v>
      </c>
      <c r="D1181" t="inlineStr">
        <is>
          <t>VÄSTERBOTTENS LÄN</t>
        </is>
      </c>
      <c r="E1181" t="inlineStr">
        <is>
          <t>SKELLEFTEÅ</t>
        </is>
      </c>
      <c r="F1181" t="inlineStr">
        <is>
          <t>Kommuner</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66676-2018</t>
        </is>
      </c>
      <c r="B1182" s="1" t="n">
        <v>43437</v>
      </c>
      <c r="C1182" s="1" t="n">
        <v>45204</v>
      </c>
      <c r="D1182" t="inlineStr">
        <is>
          <t>VÄSTERBOTTENS LÄN</t>
        </is>
      </c>
      <c r="E1182" t="inlineStr">
        <is>
          <t>MALÅ</t>
        </is>
      </c>
      <c r="F1182" t="inlineStr">
        <is>
          <t>Sveaskog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68036-2018</t>
        </is>
      </c>
      <c r="B1183" s="1" t="n">
        <v>43437</v>
      </c>
      <c r="C1183" s="1" t="n">
        <v>45204</v>
      </c>
      <c r="D1183" t="inlineStr">
        <is>
          <t>VÄSTERBOTTENS LÄN</t>
        </is>
      </c>
      <c r="E1183" t="inlineStr">
        <is>
          <t>LYCKSELE</t>
        </is>
      </c>
      <c r="F1183" t="inlineStr">
        <is>
          <t>Sveaskog</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66464-2018</t>
        </is>
      </c>
      <c r="B1184" s="1" t="n">
        <v>43437</v>
      </c>
      <c r="C1184" s="1" t="n">
        <v>45204</v>
      </c>
      <c r="D1184" t="inlineStr">
        <is>
          <t>VÄSTERBOTTENS LÄN</t>
        </is>
      </c>
      <c r="E1184" t="inlineStr">
        <is>
          <t>NORSJÖ</t>
        </is>
      </c>
      <c r="F1184" t="inlineStr">
        <is>
          <t>Sveaskog</t>
        </is>
      </c>
      <c r="G1184" t="n">
        <v>18.4</v>
      </c>
      <c r="H1184" t="n">
        <v>0</v>
      </c>
      <c r="I1184" t="n">
        <v>0</v>
      </c>
      <c r="J1184" t="n">
        <v>0</v>
      </c>
      <c r="K1184" t="n">
        <v>0</v>
      </c>
      <c r="L1184" t="n">
        <v>0</v>
      </c>
      <c r="M1184" t="n">
        <v>0</v>
      </c>
      <c r="N1184" t="n">
        <v>0</v>
      </c>
      <c r="O1184" t="n">
        <v>0</v>
      </c>
      <c r="P1184" t="n">
        <v>0</v>
      </c>
      <c r="Q1184" t="n">
        <v>0</v>
      </c>
      <c r="R1184" s="2" t="inlineStr"/>
    </row>
    <row r="1185" ht="15" customHeight="1">
      <c r="A1185" t="inlineStr">
        <is>
          <t>A 66610-2018</t>
        </is>
      </c>
      <c r="B1185" s="1" t="n">
        <v>43437</v>
      </c>
      <c r="C1185" s="1" t="n">
        <v>45204</v>
      </c>
      <c r="D1185" t="inlineStr">
        <is>
          <t>VÄSTERBOTTENS LÄN</t>
        </is>
      </c>
      <c r="E1185" t="inlineStr">
        <is>
          <t>LYCKSELE</t>
        </is>
      </c>
      <c r="F1185" t="inlineStr">
        <is>
          <t>Sveaskog</t>
        </is>
      </c>
      <c r="G1185" t="n">
        <v>15.6</v>
      </c>
      <c r="H1185" t="n">
        <v>0</v>
      </c>
      <c r="I1185" t="n">
        <v>0</v>
      </c>
      <c r="J1185" t="n">
        <v>0</v>
      </c>
      <c r="K1185" t="n">
        <v>0</v>
      </c>
      <c r="L1185" t="n">
        <v>0</v>
      </c>
      <c r="M1185" t="n">
        <v>0</v>
      </c>
      <c r="N1185" t="n">
        <v>0</v>
      </c>
      <c r="O1185" t="n">
        <v>0</v>
      </c>
      <c r="P1185" t="n">
        <v>0</v>
      </c>
      <c r="Q1185" t="n">
        <v>0</v>
      </c>
      <c r="R1185" s="2" t="inlineStr"/>
    </row>
    <row r="1186" ht="15" customHeight="1">
      <c r="A1186" t="inlineStr">
        <is>
          <t>A 66670-2018</t>
        </is>
      </c>
      <c r="B1186" s="1" t="n">
        <v>43437</v>
      </c>
      <c r="C1186" s="1" t="n">
        <v>45204</v>
      </c>
      <c r="D1186" t="inlineStr">
        <is>
          <t>VÄSTERBOTTENS LÄN</t>
        </is>
      </c>
      <c r="E1186" t="inlineStr">
        <is>
          <t>MALÅ</t>
        </is>
      </c>
      <c r="F1186" t="inlineStr">
        <is>
          <t>Sveaskog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68252-2018</t>
        </is>
      </c>
      <c r="B1187" s="1" t="n">
        <v>43437</v>
      </c>
      <c r="C1187" s="1" t="n">
        <v>45204</v>
      </c>
      <c r="D1187" t="inlineStr">
        <is>
          <t>VÄSTERBOTTENS LÄN</t>
        </is>
      </c>
      <c r="E1187" t="inlineStr">
        <is>
          <t>VÄNNÄS</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66652-2018</t>
        </is>
      </c>
      <c r="B1188" s="1" t="n">
        <v>43437</v>
      </c>
      <c r="C1188" s="1" t="n">
        <v>45204</v>
      </c>
      <c r="D1188" t="inlineStr">
        <is>
          <t>VÄSTERBOTTENS LÄN</t>
        </is>
      </c>
      <c r="E1188" t="inlineStr">
        <is>
          <t>SKELLEFTEÅ</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68094-2018</t>
        </is>
      </c>
      <c r="B1189" s="1" t="n">
        <v>43437</v>
      </c>
      <c r="C1189" s="1" t="n">
        <v>45204</v>
      </c>
      <c r="D1189" t="inlineStr">
        <is>
          <t>VÄSTERBOTTENS LÄN</t>
        </is>
      </c>
      <c r="E1189" t="inlineStr">
        <is>
          <t>NORSJÖ</t>
        </is>
      </c>
      <c r="G1189" t="n">
        <v>16.2</v>
      </c>
      <c r="H1189" t="n">
        <v>0</v>
      </c>
      <c r="I1189" t="n">
        <v>0</v>
      </c>
      <c r="J1189" t="n">
        <v>0</v>
      </c>
      <c r="K1189" t="n">
        <v>0</v>
      </c>
      <c r="L1189" t="n">
        <v>0</v>
      </c>
      <c r="M1189" t="n">
        <v>0</v>
      </c>
      <c r="N1189" t="n">
        <v>0</v>
      </c>
      <c r="O1189" t="n">
        <v>0</v>
      </c>
      <c r="P1189" t="n">
        <v>0</v>
      </c>
      <c r="Q1189" t="n">
        <v>0</v>
      </c>
      <c r="R1189" s="2" t="inlineStr"/>
    </row>
    <row r="1190" ht="15" customHeight="1">
      <c r="A1190" t="inlineStr">
        <is>
          <t>A 68190-2018</t>
        </is>
      </c>
      <c r="B1190" s="1" t="n">
        <v>43437</v>
      </c>
      <c r="C1190" s="1" t="n">
        <v>45204</v>
      </c>
      <c r="D1190" t="inlineStr">
        <is>
          <t>VÄSTERBOTTENS LÄN</t>
        </is>
      </c>
      <c r="E1190" t="inlineStr">
        <is>
          <t>VÄNNÄS</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66905-2018</t>
        </is>
      </c>
      <c r="B1191" s="1" t="n">
        <v>43438</v>
      </c>
      <c r="C1191" s="1" t="n">
        <v>45204</v>
      </c>
      <c r="D1191" t="inlineStr">
        <is>
          <t>VÄSTERBOTTENS LÄN</t>
        </is>
      </c>
      <c r="E1191" t="inlineStr">
        <is>
          <t>LYCKSELE</t>
        </is>
      </c>
      <c r="F1191" t="inlineStr">
        <is>
          <t>Sveaskog</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66843-2018</t>
        </is>
      </c>
      <c r="B1192" s="1" t="n">
        <v>43438</v>
      </c>
      <c r="C1192" s="1" t="n">
        <v>45204</v>
      </c>
      <c r="D1192" t="inlineStr">
        <is>
          <t>VÄSTERBOTTENS LÄN</t>
        </is>
      </c>
      <c r="E1192" t="inlineStr">
        <is>
          <t>LYCKSELE</t>
        </is>
      </c>
      <c r="F1192" t="inlineStr">
        <is>
          <t>Sveaskog</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66746-2018</t>
        </is>
      </c>
      <c r="B1193" s="1" t="n">
        <v>43438</v>
      </c>
      <c r="C1193" s="1" t="n">
        <v>45204</v>
      </c>
      <c r="D1193" t="inlineStr">
        <is>
          <t>VÄSTERBOTTENS LÄN</t>
        </is>
      </c>
      <c r="E1193" t="inlineStr">
        <is>
          <t>LYCKSELE</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66866-2018</t>
        </is>
      </c>
      <c r="B1194" s="1" t="n">
        <v>43438</v>
      </c>
      <c r="C1194" s="1" t="n">
        <v>45204</v>
      </c>
      <c r="D1194" t="inlineStr">
        <is>
          <t>VÄSTERBOTTENS LÄN</t>
        </is>
      </c>
      <c r="E1194" t="inlineStr">
        <is>
          <t>MALÅ</t>
        </is>
      </c>
      <c r="F1194" t="inlineStr">
        <is>
          <t>Sveaskog</t>
        </is>
      </c>
      <c r="G1194" t="n">
        <v>10.1</v>
      </c>
      <c r="H1194" t="n">
        <v>0</v>
      </c>
      <c r="I1194" t="n">
        <v>0</v>
      </c>
      <c r="J1194" t="n">
        <v>0</v>
      </c>
      <c r="K1194" t="n">
        <v>0</v>
      </c>
      <c r="L1194" t="n">
        <v>0</v>
      </c>
      <c r="M1194" t="n">
        <v>0</v>
      </c>
      <c r="N1194" t="n">
        <v>0</v>
      </c>
      <c r="O1194" t="n">
        <v>0</v>
      </c>
      <c r="P1194" t="n">
        <v>0</v>
      </c>
      <c r="Q1194" t="n">
        <v>0</v>
      </c>
      <c r="R1194" s="2" t="inlineStr"/>
    </row>
    <row r="1195" ht="15" customHeight="1">
      <c r="A1195" t="inlineStr">
        <is>
          <t>A 67450-2018</t>
        </is>
      </c>
      <c r="B1195" s="1" t="n">
        <v>43439</v>
      </c>
      <c r="C1195" s="1" t="n">
        <v>45204</v>
      </c>
      <c r="D1195" t="inlineStr">
        <is>
          <t>VÄSTERBOTTENS LÄN</t>
        </is>
      </c>
      <c r="E1195" t="inlineStr">
        <is>
          <t>NORSJÖ</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68692-2018</t>
        </is>
      </c>
      <c r="B1196" s="1" t="n">
        <v>43439</v>
      </c>
      <c r="C1196" s="1" t="n">
        <v>45204</v>
      </c>
      <c r="D1196" t="inlineStr">
        <is>
          <t>VÄSTERBOTTENS LÄN</t>
        </is>
      </c>
      <c r="E1196" t="inlineStr">
        <is>
          <t>LYCKSELE</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67211-2018</t>
        </is>
      </c>
      <c r="B1197" s="1" t="n">
        <v>43439</v>
      </c>
      <c r="C1197" s="1" t="n">
        <v>45204</v>
      </c>
      <c r="D1197" t="inlineStr">
        <is>
          <t>VÄSTERBOTTENS LÄN</t>
        </is>
      </c>
      <c r="E1197" t="inlineStr">
        <is>
          <t>SKELLEFTEÅ</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67262-2018</t>
        </is>
      </c>
      <c r="B1198" s="1" t="n">
        <v>43439</v>
      </c>
      <c r="C1198" s="1" t="n">
        <v>45204</v>
      </c>
      <c r="D1198" t="inlineStr">
        <is>
          <t>VÄSTERBOTTENS LÄN</t>
        </is>
      </c>
      <c r="E1198" t="inlineStr">
        <is>
          <t>SKELLEFTEÅ</t>
        </is>
      </c>
      <c r="F1198" t="inlineStr">
        <is>
          <t>Holmen skog AB</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68702-2018</t>
        </is>
      </c>
      <c r="B1199" s="1" t="n">
        <v>43439</v>
      </c>
      <c r="C1199" s="1" t="n">
        <v>45204</v>
      </c>
      <c r="D1199" t="inlineStr">
        <is>
          <t>VÄSTERBOTTENS LÄN</t>
        </is>
      </c>
      <c r="E1199" t="inlineStr">
        <is>
          <t>LYCKSELE</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67379-2018</t>
        </is>
      </c>
      <c r="B1200" s="1" t="n">
        <v>43439</v>
      </c>
      <c r="C1200" s="1" t="n">
        <v>45204</v>
      </c>
      <c r="D1200" t="inlineStr">
        <is>
          <t>VÄSTERBOTTENS LÄN</t>
        </is>
      </c>
      <c r="E1200" t="inlineStr">
        <is>
          <t>MALÅ</t>
        </is>
      </c>
      <c r="F1200" t="inlineStr">
        <is>
          <t>Sveaskog</t>
        </is>
      </c>
      <c r="G1200" t="n">
        <v>8.5</v>
      </c>
      <c r="H1200" t="n">
        <v>0</v>
      </c>
      <c r="I1200" t="n">
        <v>0</v>
      </c>
      <c r="J1200" t="n">
        <v>0</v>
      </c>
      <c r="K1200" t="n">
        <v>0</v>
      </c>
      <c r="L1200" t="n">
        <v>0</v>
      </c>
      <c r="M1200" t="n">
        <v>0</v>
      </c>
      <c r="N1200" t="n">
        <v>0</v>
      </c>
      <c r="O1200" t="n">
        <v>0</v>
      </c>
      <c r="P1200" t="n">
        <v>0</v>
      </c>
      <c r="Q1200" t="n">
        <v>0</v>
      </c>
      <c r="R1200" s="2" t="inlineStr"/>
    </row>
    <row r="1201" ht="15" customHeight="1">
      <c r="A1201" t="inlineStr">
        <is>
          <t>A 67462-2018</t>
        </is>
      </c>
      <c r="B1201" s="1" t="n">
        <v>43439</v>
      </c>
      <c r="C1201" s="1" t="n">
        <v>45204</v>
      </c>
      <c r="D1201" t="inlineStr">
        <is>
          <t>VÄSTERBOTTENS LÄN</t>
        </is>
      </c>
      <c r="E1201" t="inlineStr">
        <is>
          <t>MALÅ</t>
        </is>
      </c>
      <c r="F1201" t="inlineStr">
        <is>
          <t>Sveaskog</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67679-2018</t>
        </is>
      </c>
      <c r="B1202" s="1" t="n">
        <v>43440</v>
      </c>
      <c r="C1202" s="1" t="n">
        <v>45204</v>
      </c>
      <c r="D1202" t="inlineStr">
        <is>
          <t>VÄSTERBOTTENS LÄN</t>
        </is>
      </c>
      <c r="E1202" t="inlineStr">
        <is>
          <t>VINDELN</t>
        </is>
      </c>
      <c r="F1202" t="inlineStr">
        <is>
          <t>Naturvårdsverket</t>
        </is>
      </c>
      <c r="G1202" t="n">
        <v>32.4</v>
      </c>
      <c r="H1202" t="n">
        <v>0</v>
      </c>
      <c r="I1202" t="n">
        <v>0</v>
      </c>
      <c r="J1202" t="n">
        <v>0</v>
      </c>
      <c r="K1202" t="n">
        <v>0</v>
      </c>
      <c r="L1202" t="n">
        <v>0</v>
      </c>
      <c r="M1202" t="n">
        <v>0</v>
      </c>
      <c r="N1202" t="n">
        <v>0</v>
      </c>
      <c r="O1202" t="n">
        <v>0</v>
      </c>
      <c r="P1202" t="n">
        <v>0</v>
      </c>
      <c r="Q1202" t="n">
        <v>0</v>
      </c>
      <c r="R1202" s="2" t="inlineStr"/>
    </row>
    <row r="1203" ht="15" customHeight="1">
      <c r="A1203" t="inlineStr">
        <is>
          <t>A 67919-2018</t>
        </is>
      </c>
      <c r="B1203" s="1" t="n">
        <v>43440</v>
      </c>
      <c r="C1203" s="1" t="n">
        <v>45204</v>
      </c>
      <c r="D1203" t="inlineStr">
        <is>
          <t>VÄSTERBOTTENS LÄN</t>
        </is>
      </c>
      <c r="E1203" t="inlineStr">
        <is>
          <t>SKELLEFTEÅ</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67680-2018</t>
        </is>
      </c>
      <c r="B1204" s="1" t="n">
        <v>43440</v>
      </c>
      <c r="C1204" s="1" t="n">
        <v>45204</v>
      </c>
      <c r="D1204" t="inlineStr">
        <is>
          <t>VÄSTERBOTTENS LÄN</t>
        </is>
      </c>
      <c r="E1204" t="inlineStr">
        <is>
          <t>SKELLEFTEÅ</t>
        </is>
      </c>
      <c r="G1204" t="n">
        <v>6.4</v>
      </c>
      <c r="H1204" t="n">
        <v>0</v>
      </c>
      <c r="I1204" t="n">
        <v>0</v>
      </c>
      <c r="J1204" t="n">
        <v>0</v>
      </c>
      <c r="K1204" t="n">
        <v>0</v>
      </c>
      <c r="L1204" t="n">
        <v>0</v>
      </c>
      <c r="M1204" t="n">
        <v>0</v>
      </c>
      <c r="N1204" t="n">
        <v>0</v>
      </c>
      <c r="O1204" t="n">
        <v>0</v>
      </c>
      <c r="P1204" t="n">
        <v>0</v>
      </c>
      <c r="Q1204" t="n">
        <v>0</v>
      </c>
      <c r="R1204" s="2" t="inlineStr"/>
    </row>
    <row r="1205" ht="15" customHeight="1">
      <c r="A1205" t="inlineStr">
        <is>
          <t>A 67697-2018</t>
        </is>
      </c>
      <c r="B1205" s="1" t="n">
        <v>43440</v>
      </c>
      <c r="C1205" s="1" t="n">
        <v>45204</v>
      </c>
      <c r="D1205" t="inlineStr">
        <is>
          <t>VÄSTERBOTTENS LÄN</t>
        </is>
      </c>
      <c r="E1205" t="inlineStr">
        <is>
          <t>SKELLEFTEÅ</t>
        </is>
      </c>
      <c r="F1205" t="inlineStr">
        <is>
          <t>Sveaskog</t>
        </is>
      </c>
      <c r="G1205" t="n">
        <v>25.8</v>
      </c>
      <c r="H1205" t="n">
        <v>0</v>
      </c>
      <c r="I1205" t="n">
        <v>0</v>
      </c>
      <c r="J1205" t="n">
        <v>0</v>
      </c>
      <c r="K1205" t="n">
        <v>0</v>
      </c>
      <c r="L1205" t="n">
        <v>0</v>
      </c>
      <c r="M1205" t="n">
        <v>0</v>
      </c>
      <c r="N1205" t="n">
        <v>0</v>
      </c>
      <c r="O1205" t="n">
        <v>0</v>
      </c>
      <c r="P1205" t="n">
        <v>0</v>
      </c>
      <c r="Q1205" t="n">
        <v>0</v>
      </c>
      <c r="R1205" s="2" t="inlineStr"/>
    </row>
    <row r="1206" ht="15" customHeight="1">
      <c r="A1206" t="inlineStr">
        <is>
          <t>A 67785-2018</t>
        </is>
      </c>
      <c r="B1206" s="1" t="n">
        <v>43440</v>
      </c>
      <c r="C1206" s="1" t="n">
        <v>45204</v>
      </c>
      <c r="D1206" t="inlineStr">
        <is>
          <t>VÄSTERBOTTENS LÄN</t>
        </is>
      </c>
      <c r="E1206" t="inlineStr">
        <is>
          <t>UMEÅ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68958-2018</t>
        </is>
      </c>
      <c r="B1207" s="1" t="n">
        <v>43440</v>
      </c>
      <c r="C1207" s="1" t="n">
        <v>45204</v>
      </c>
      <c r="D1207" t="inlineStr">
        <is>
          <t>VÄSTERBOTTENS LÄN</t>
        </is>
      </c>
      <c r="E1207" t="inlineStr">
        <is>
          <t>NORDMALING</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67681-2018</t>
        </is>
      </c>
      <c r="B1208" s="1" t="n">
        <v>43440</v>
      </c>
      <c r="C1208" s="1" t="n">
        <v>45204</v>
      </c>
      <c r="D1208" t="inlineStr">
        <is>
          <t>VÄSTERBOTTENS LÄN</t>
        </is>
      </c>
      <c r="E1208" t="inlineStr">
        <is>
          <t>SKELLEFTEÅ</t>
        </is>
      </c>
      <c r="F1208" t="inlineStr">
        <is>
          <t>Sveaskog</t>
        </is>
      </c>
      <c r="G1208" t="n">
        <v>25.6</v>
      </c>
      <c r="H1208" t="n">
        <v>0</v>
      </c>
      <c r="I1208" t="n">
        <v>0</v>
      </c>
      <c r="J1208" t="n">
        <v>0</v>
      </c>
      <c r="K1208" t="n">
        <v>0</v>
      </c>
      <c r="L1208" t="n">
        <v>0</v>
      </c>
      <c r="M1208" t="n">
        <v>0</v>
      </c>
      <c r="N1208" t="n">
        <v>0</v>
      </c>
      <c r="O1208" t="n">
        <v>0</v>
      </c>
      <c r="P1208" t="n">
        <v>0</v>
      </c>
      <c r="Q1208" t="n">
        <v>0</v>
      </c>
      <c r="R1208" s="2" t="inlineStr"/>
    </row>
    <row r="1209" ht="15" customHeight="1">
      <c r="A1209" t="inlineStr">
        <is>
          <t>A 67970-2018</t>
        </is>
      </c>
      <c r="B1209" s="1" t="n">
        <v>43440</v>
      </c>
      <c r="C1209" s="1" t="n">
        <v>45204</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68908-2018</t>
        </is>
      </c>
      <c r="B1210" s="1" t="n">
        <v>43440</v>
      </c>
      <c r="C1210" s="1" t="n">
        <v>45204</v>
      </c>
      <c r="D1210" t="inlineStr">
        <is>
          <t>VÄSTERBOTTENS LÄN</t>
        </is>
      </c>
      <c r="E1210" t="inlineStr">
        <is>
          <t>SKELLEFTEÅ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69053-2018</t>
        </is>
      </c>
      <c r="B1211" s="1" t="n">
        <v>43440</v>
      </c>
      <c r="C1211" s="1" t="n">
        <v>45204</v>
      </c>
      <c r="D1211" t="inlineStr">
        <is>
          <t>VÄSTERBOTTENS LÄN</t>
        </is>
      </c>
      <c r="E1211" t="inlineStr">
        <is>
          <t>VILHELMINA</t>
        </is>
      </c>
      <c r="G1211" t="n">
        <v>8.1</v>
      </c>
      <c r="H1211" t="n">
        <v>0</v>
      </c>
      <c r="I1211" t="n">
        <v>0</v>
      </c>
      <c r="J1211" t="n">
        <v>0</v>
      </c>
      <c r="K1211" t="n">
        <v>0</v>
      </c>
      <c r="L1211" t="n">
        <v>0</v>
      </c>
      <c r="M1211" t="n">
        <v>0</v>
      </c>
      <c r="N1211" t="n">
        <v>0</v>
      </c>
      <c r="O1211" t="n">
        <v>0</v>
      </c>
      <c r="P1211" t="n">
        <v>0</v>
      </c>
      <c r="Q1211" t="n">
        <v>0</v>
      </c>
      <c r="R1211" s="2" t="inlineStr"/>
    </row>
    <row r="1212" ht="15" customHeight="1">
      <c r="A1212" t="inlineStr">
        <is>
          <t>A 68019-2018</t>
        </is>
      </c>
      <c r="B1212" s="1" t="n">
        <v>43441</v>
      </c>
      <c r="C1212" s="1" t="n">
        <v>45204</v>
      </c>
      <c r="D1212" t="inlineStr">
        <is>
          <t>VÄSTERBOTTENS LÄN</t>
        </is>
      </c>
      <c r="E1212" t="inlineStr">
        <is>
          <t>SKELLEFTEÅ</t>
        </is>
      </c>
      <c r="G1212" t="n">
        <v>9.1</v>
      </c>
      <c r="H1212" t="n">
        <v>0</v>
      </c>
      <c r="I1212" t="n">
        <v>0</v>
      </c>
      <c r="J1212" t="n">
        <v>0</v>
      </c>
      <c r="K1212" t="n">
        <v>0</v>
      </c>
      <c r="L1212" t="n">
        <v>0</v>
      </c>
      <c r="M1212" t="n">
        <v>0</v>
      </c>
      <c r="N1212" t="n">
        <v>0</v>
      </c>
      <c r="O1212" t="n">
        <v>0</v>
      </c>
      <c r="P1212" t="n">
        <v>0</v>
      </c>
      <c r="Q1212" t="n">
        <v>0</v>
      </c>
      <c r="R1212" s="2" t="inlineStr"/>
    </row>
    <row r="1213" ht="15" customHeight="1">
      <c r="A1213" t="inlineStr">
        <is>
          <t>A 68085-2018</t>
        </is>
      </c>
      <c r="B1213" s="1" t="n">
        <v>43441</v>
      </c>
      <c r="C1213" s="1" t="n">
        <v>45204</v>
      </c>
      <c r="D1213" t="inlineStr">
        <is>
          <t>VÄSTERBOTTENS LÄN</t>
        </is>
      </c>
      <c r="E1213" t="inlineStr">
        <is>
          <t>LYCKSELE</t>
        </is>
      </c>
      <c r="F1213" t="inlineStr">
        <is>
          <t>Sveaskog</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68114-2018</t>
        </is>
      </c>
      <c r="B1214" s="1" t="n">
        <v>43441</v>
      </c>
      <c r="C1214" s="1" t="n">
        <v>45204</v>
      </c>
      <c r="D1214" t="inlineStr">
        <is>
          <t>VÄSTERBOTTENS LÄN</t>
        </is>
      </c>
      <c r="E1214" t="inlineStr">
        <is>
          <t>SKELLEFTEÅ</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69305-2018</t>
        </is>
      </c>
      <c r="B1215" s="1" t="n">
        <v>43441</v>
      </c>
      <c r="C1215" s="1" t="n">
        <v>45204</v>
      </c>
      <c r="D1215" t="inlineStr">
        <is>
          <t>VÄSTERBOTTENS LÄN</t>
        </is>
      </c>
      <c r="E1215" t="inlineStr">
        <is>
          <t>MALÅ</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68283-2018</t>
        </is>
      </c>
      <c r="B1216" s="1" t="n">
        <v>43441</v>
      </c>
      <c r="C1216" s="1" t="n">
        <v>45204</v>
      </c>
      <c r="D1216" t="inlineStr">
        <is>
          <t>VÄSTERBOTTENS LÄN</t>
        </is>
      </c>
      <c r="E1216" t="inlineStr">
        <is>
          <t>MALÅ</t>
        </is>
      </c>
      <c r="F1216" t="inlineStr">
        <is>
          <t>Sveaskog</t>
        </is>
      </c>
      <c r="G1216" t="n">
        <v>4.6</v>
      </c>
      <c r="H1216" t="n">
        <v>0</v>
      </c>
      <c r="I1216" t="n">
        <v>0</v>
      </c>
      <c r="J1216" t="n">
        <v>0</v>
      </c>
      <c r="K1216" t="n">
        <v>0</v>
      </c>
      <c r="L1216" t="n">
        <v>0</v>
      </c>
      <c r="M1216" t="n">
        <v>0</v>
      </c>
      <c r="N1216" t="n">
        <v>0</v>
      </c>
      <c r="O1216" t="n">
        <v>0</v>
      </c>
      <c r="P1216" t="n">
        <v>0</v>
      </c>
      <c r="Q1216" t="n">
        <v>0</v>
      </c>
      <c r="R1216" s="2" t="inlineStr"/>
    </row>
    <row r="1217" ht="15" customHeight="1">
      <c r="A1217" t="inlineStr">
        <is>
          <t>A 68352-2018</t>
        </is>
      </c>
      <c r="B1217" s="1" t="n">
        <v>43441</v>
      </c>
      <c r="C1217" s="1" t="n">
        <v>45204</v>
      </c>
      <c r="D1217" t="inlineStr">
        <is>
          <t>VÄSTERBOTTENS LÄN</t>
        </is>
      </c>
      <c r="E1217" t="inlineStr">
        <is>
          <t>BJURHOLM</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68103-2018</t>
        </is>
      </c>
      <c r="B1218" s="1" t="n">
        <v>43441</v>
      </c>
      <c r="C1218" s="1" t="n">
        <v>45204</v>
      </c>
      <c r="D1218" t="inlineStr">
        <is>
          <t>VÄSTERBOTTENS LÄN</t>
        </is>
      </c>
      <c r="E1218" t="inlineStr">
        <is>
          <t>SKELLEFTEÅ</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68965-2018</t>
        </is>
      </c>
      <c r="B1219" s="1" t="n">
        <v>43441</v>
      </c>
      <c r="C1219" s="1" t="n">
        <v>45204</v>
      </c>
      <c r="D1219" t="inlineStr">
        <is>
          <t>VÄSTERBOTTENS LÄN</t>
        </is>
      </c>
      <c r="E1219" t="inlineStr">
        <is>
          <t>LYCKSELE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68761-2018</t>
        </is>
      </c>
      <c r="B1220" s="1" t="n">
        <v>43444</v>
      </c>
      <c r="C1220" s="1" t="n">
        <v>45204</v>
      </c>
      <c r="D1220" t="inlineStr">
        <is>
          <t>VÄSTERBOTTENS LÄN</t>
        </is>
      </c>
      <c r="E1220" t="inlineStr">
        <is>
          <t>SKELLEFTEÅ</t>
        </is>
      </c>
      <c r="F1220" t="inlineStr">
        <is>
          <t>Sveaskog</t>
        </is>
      </c>
      <c r="G1220" t="n">
        <v>9.699999999999999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69747-2018</t>
        </is>
      </c>
      <c r="B1221" s="1" t="n">
        <v>43444</v>
      </c>
      <c r="C1221" s="1" t="n">
        <v>45204</v>
      </c>
      <c r="D1221" t="inlineStr">
        <is>
          <t>VÄSTERBOTTENS LÄN</t>
        </is>
      </c>
      <c r="E1221" t="inlineStr">
        <is>
          <t>UMEÅ</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69902-2018</t>
        </is>
      </c>
      <c r="B1222" s="1" t="n">
        <v>43444</v>
      </c>
      <c r="C1222" s="1" t="n">
        <v>45204</v>
      </c>
      <c r="D1222" t="inlineStr">
        <is>
          <t>VÄSTERBOTTENS LÄN</t>
        </is>
      </c>
      <c r="E1222" t="inlineStr">
        <is>
          <t>LYCKSELE</t>
        </is>
      </c>
      <c r="G1222" t="n">
        <v>21.1</v>
      </c>
      <c r="H1222" t="n">
        <v>0</v>
      </c>
      <c r="I1222" t="n">
        <v>0</v>
      </c>
      <c r="J1222" t="n">
        <v>0</v>
      </c>
      <c r="K1222" t="n">
        <v>0</v>
      </c>
      <c r="L1222" t="n">
        <v>0</v>
      </c>
      <c r="M1222" t="n">
        <v>0</v>
      </c>
      <c r="N1222" t="n">
        <v>0</v>
      </c>
      <c r="O1222" t="n">
        <v>0</v>
      </c>
      <c r="P1222" t="n">
        <v>0</v>
      </c>
      <c r="Q1222" t="n">
        <v>0</v>
      </c>
      <c r="R1222" s="2" t="inlineStr"/>
    </row>
    <row r="1223" ht="15" customHeight="1">
      <c r="A1223" t="inlineStr">
        <is>
          <t>A 69848-2018</t>
        </is>
      </c>
      <c r="B1223" s="1" t="n">
        <v>43444</v>
      </c>
      <c r="C1223" s="1" t="n">
        <v>45204</v>
      </c>
      <c r="D1223" t="inlineStr">
        <is>
          <t>VÄSTERBOTTENS LÄN</t>
        </is>
      </c>
      <c r="E1223" t="inlineStr">
        <is>
          <t>LYCKSELE</t>
        </is>
      </c>
      <c r="G1223" t="n">
        <v>11.2</v>
      </c>
      <c r="H1223" t="n">
        <v>0</v>
      </c>
      <c r="I1223" t="n">
        <v>0</v>
      </c>
      <c r="J1223" t="n">
        <v>0</v>
      </c>
      <c r="K1223" t="n">
        <v>0</v>
      </c>
      <c r="L1223" t="n">
        <v>0</v>
      </c>
      <c r="M1223" t="n">
        <v>0</v>
      </c>
      <c r="N1223" t="n">
        <v>0</v>
      </c>
      <c r="O1223" t="n">
        <v>0</v>
      </c>
      <c r="P1223" t="n">
        <v>0</v>
      </c>
      <c r="Q1223" t="n">
        <v>0</v>
      </c>
      <c r="R1223" s="2" t="inlineStr"/>
    </row>
    <row r="1224" ht="15" customHeight="1">
      <c r="A1224" t="inlineStr">
        <is>
          <t>A 69838-2018</t>
        </is>
      </c>
      <c r="B1224" s="1" t="n">
        <v>43444</v>
      </c>
      <c r="C1224" s="1" t="n">
        <v>45204</v>
      </c>
      <c r="D1224" t="inlineStr">
        <is>
          <t>VÄSTERBOTTENS LÄN</t>
        </is>
      </c>
      <c r="E1224" t="inlineStr">
        <is>
          <t>VILHELMINA</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68932-2018</t>
        </is>
      </c>
      <c r="B1225" s="1" t="n">
        <v>43445</v>
      </c>
      <c r="C1225" s="1" t="n">
        <v>45204</v>
      </c>
      <c r="D1225" t="inlineStr">
        <is>
          <t>VÄSTERBOTTENS LÄN</t>
        </is>
      </c>
      <c r="E1225" t="inlineStr">
        <is>
          <t>BJURHOLM</t>
        </is>
      </c>
      <c r="F1225" t="inlineStr">
        <is>
          <t>Holmen skog AB</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69033-2018</t>
        </is>
      </c>
      <c r="B1226" s="1" t="n">
        <v>43445</v>
      </c>
      <c r="C1226" s="1" t="n">
        <v>45204</v>
      </c>
      <c r="D1226" t="inlineStr">
        <is>
          <t>VÄSTERBOTTENS LÄN</t>
        </is>
      </c>
      <c r="E1226" t="inlineStr">
        <is>
          <t>NORDMALING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69101-2018</t>
        </is>
      </c>
      <c r="B1227" s="1" t="n">
        <v>43445</v>
      </c>
      <c r="C1227" s="1" t="n">
        <v>45204</v>
      </c>
      <c r="D1227" t="inlineStr">
        <is>
          <t>VÄSTERBOTTENS LÄN</t>
        </is>
      </c>
      <c r="E1227" t="inlineStr">
        <is>
          <t>SORSELE</t>
        </is>
      </c>
      <c r="F1227" t="inlineStr">
        <is>
          <t>Sveaskog</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68924-2018</t>
        </is>
      </c>
      <c r="B1228" s="1" t="n">
        <v>43445</v>
      </c>
      <c r="C1228" s="1" t="n">
        <v>45204</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69105-2018</t>
        </is>
      </c>
      <c r="B1229" s="1" t="n">
        <v>43445</v>
      </c>
      <c r="C1229" s="1" t="n">
        <v>45204</v>
      </c>
      <c r="D1229" t="inlineStr">
        <is>
          <t>VÄSTERBOTTENS LÄN</t>
        </is>
      </c>
      <c r="E1229" t="inlineStr">
        <is>
          <t>MALÅ</t>
        </is>
      </c>
      <c r="F1229" t="inlineStr">
        <is>
          <t>Sveaskog</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70289-2018</t>
        </is>
      </c>
      <c r="B1230" s="1" t="n">
        <v>43445</v>
      </c>
      <c r="C1230" s="1" t="n">
        <v>45204</v>
      </c>
      <c r="D1230" t="inlineStr">
        <is>
          <t>VÄSTERBOTTENS LÄN</t>
        </is>
      </c>
      <c r="E1230" t="inlineStr">
        <is>
          <t>SKELLEFTEÅ</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70305-2018</t>
        </is>
      </c>
      <c r="B1231" s="1" t="n">
        <v>43445</v>
      </c>
      <c r="C1231" s="1" t="n">
        <v>45204</v>
      </c>
      <c r="D1231" t="inlineStr">
        <is>
          <t>VÄSTERBOTTENS LÄN</t>
        </is>
      </c>
      <c r="E1231" t="inlineStr">
        <is>
          <t>ÅSELE</t>
        </is>
      </c>
      <c r="F1231" t="inlineStr">
        <is>
          <t>Kommuner</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70318-2018</t>
        </is>
      </c>
      <c r="B1232" s="1" t="n">
        <v>43445</v>
      </c>
      <c r="C1232" s="1" t="n">
        <v>45204</v>
      </c>
      <c r="D1232" t="inlineStr">
        <is>
          <t>VÄSTERBOTTENS LÄN</t>
        </is>
      </c>
      <c r="E1232" t="inlineStr">
        <is>
          <t>VÄNNÄS</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69035-2018</t>
        </is>
      </c>
      <c r="B1233" s="1" t="n">
        <v>43445</v>
      </c>
      <c r="C1233" s="1" t="n">
        <v>45204</v>
      </c>
      <c r="D1233" t="inlineStr">
        <is>
          <t>VÄSTERBOTTENS LÄN</t>
        </is>
      </c>
      <c r="E1233" t="inlineStr">
        <is>
          <t>NORDMALING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69342-2018</t>
        </is>
      </c>
      <c r="B1234" s="1" t="n">
        <v>43446</v>
      </c>
      <c r="C1234" s="1" t="n">
        <v>45204</v>
      </c>
      <c r="D1234" t="inlineStr">
        <is>
          <t>VÄSTERBOTTENS LÄN</t>
        </is>
      </c>
      <c r="E1234" t="inlineStr">
        <is>
          <t>VÄNNÄS</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69413-2018</t>
        </is>
      </c>
      <c r="B1235" s="1" t="n">
        <v>43446</v>
      </c>
      <c r="C1235" s="1" t="n">
        <v>45204</v>
      </c>
      <c r="D1235" t="inlineStr">
        <is>
          <t>VÄSTERBOTTENS LÄN</t>
        </is>
      </c>
      <c r="E1235" t="inlineStr">
        <is>
          <t>SKELLEFTEÅ</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69548-2018</t>
        </is>
      </c>
      <c r="B1236" s="1" t="n">
        <v>43446</v>
      </c>
      <c r="C1236" s="1" t="n">
        <v>45204</v>
      </c>
      <c r="D1236" t="inlineStr">
        <is>
          <t>VÄSTERBOTTENS LÄN</t>
        </is>
      </c>
      <c r="E1236" t="inlineStr">
        <is>
          <t>VINDELN</t>
        </is>
      </c>
      <c r="G1236" t="n">
        <v>3.9</v>
      </c>
      <c r="H1236" t="n">
        <v>0</v>
      </c>
      <c r="I1236" t="n">
        <v>0</v>
      </c>
      <c r="J1236" t="n">
        <v>0</v>
      </c>
      <c r="K1236" t="n">
        <v>0</v>
      </c>
      <c r="L1236" t="n">
        <v>0</v>
      </c>
      <c r="M1236" t="n">
        <v>0</v>
      </c>
      <c r="N1236" t="n">
        <v>0</v>
      </c>
      <c r="O1236" t="n">
        <v>0</v>
      </c>
      <c r="P1236" t="n">
        <v>0</v>
      </c>
      <c r="Q1236" t="n">
        <v>0</v>
      </c>
      <c r="R1236" s="2" t="inlineStr"/>
    </row>
    <row r="1237" ht="15" customHeight="1">
      <c r="A1237" t="inlineStr">
        <is>
          <t>A 70364-2018</t>
        </is>
      </c>
      <c r="B1237" s="1" t="n">
        <v>43446</v>
      </c>
      <c r="C1237" s="1" t="n">
        <v>45204</v>
      </c>
      <c r="D1237" t="inlineStr">
        <is>
          <t>VÄSTERBOTTENS LÄN</t>
        </is>
      </c>
      <c r="E1237" t="inlineStr">
        <is>
          <t>VÄNNÄS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69543-2018</t>
        </is>
      </c>
      <c r="B1238" s="1" t="n">
        <v>43446</v>
      </c>
      <c r="C1238" s="1" t="n">
        <v>45204</v>
      </c>
      <c r="D1238" t="inlineStr">
        <is>
          <t>VÄSTERBOTTENS LÄN</t>
        </is>
      </c>
      <c r="E1238" t="inlineStr">
        <is>
          <t>VINDELN</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69881-2018</t>
        </is>
      </c>
      <c r="B1239" s="1" t="n">
        <v>43447</v>
      </c>
      <c r="C1239" s="1" t="n">
        <v>45204</v>
      </c>
      <c r="D1239" t="inlineStr">
        <is>
          <t>VÄSTERBOTTENS LÄN</t>
        </is>
      </c>
      <c r="E1239" t="inlineStr">
        <is>
          <t>SKELLEFTEÅ</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70484-2018</t>
        </is>
      </c>
      <c r="B1240" s="1" t="n">
        <v>43447</v>
      </c>
      <c r="C1240" s="1" t="n">
        <v>45204</v>
      </c>
      <c r="D1240" t="inlineStr">
        <is>
          <t>VÄSTERBOTTENS LÄN</t>
        </is>
      </c>
      <c r="E1240" t="inlineStr">
        <is>
          <t>LYCKSELE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70695-2018</t>
        </is>
      </c>
      <c r="B1241" s="1" t="n">
        <v>43447</v>
      </c>
      <c r="C1241" s="1" t="n">
        <v>45204</v>
      </c>
      <c r="D1241" t="inlineStr">
        <is>
          <t>VÄSTERBOTTENS LÄN</t>
        </is>
      </c>
      <c r="E1241" t="inlineStr">
        <is>
          <t>LYCKSELE</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69662-2018</t>
        </is>
      </c>
      <c r="B1242" s="1" t="n">
        <v>43447</v>
      </c>
      <c r="C1242" s="1" t="n">
        <v>45204</v>
      </c>
      <c r="D1242" t="inlineStr">
        <is>
          <t>VÄSTERBOTTENS LÄN</t>
        </is>
      </c>
      <c r="E1242" t="inlineStr">
        <is>
          <t>VÄNNÄS</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70608-2018</t>
        </is>
      </c>
      <c r="B1243" s="1" t="n">
        <v>43447</v>
      </c>
      <c r="C1243" s="1" t="n">
        <v>45204</v>
      </c>
      <c r="D1243" t="inlineStr">
        <is>
          <t>VÄSTERBOTTENS LÄN</t>
        </is>
      </c>
      <c r="E1243" t="inlineStr">
        <is>
          <t>SKELLEFTEÅ</t>
        </is>
      </c>
      <c r="G1243" t="n">
        <v>11.9</v>
      </c>
      <c r="H1243" t="n">
        <v>0</v>
      </c>
      <c r="I1243" t="n">
        <v>0</v>
      </c>
      <c r="J1243" t="n">
        <v>0</v>
      </c>
      <c r="K1243" t="n">
        <v>0</v>
      </c>
      <c r="L1243" t="n">
        <v>0</v>
      </c>
      <c r="M1243" t="n">
        <v>0</v>
      </c>
      <c r="N1243" t="n">
        <v>0</v>
      </c>
      <c r="O1243" t="n">
        <v>0</v>
      </c>
      <c r="P1243" t="n">
        <v>0</v>
      </c>
      <c r="Q1243" t="n">
        <v>0</v>
      </c>
      <c r="R1243" s="2" t="inlineStr"/>
    </row>
    <row r="1244" ht="15" customHeight="1">
      <c r="A1244" t="inlineStr">
        <is>
          <t>A 69770-2018</t>
        </is>
      </c>
      <c r="B1244" s="1" t="n">
        <v>43447</v>
      </c>
      <c r="C1244" s="1" t="n">
        <v>45204</v>
      </c>
      <c r="D1244" t="inlineStr">
        <is>
          <t>VÄSTERBOTTENS LÄN</t>
        </is>
      </c>
      <c r="E1244" t="inlineStr">
        <is>
          <t>MALÅ</t>
        </is>
      </c>
      <c r="F1244" t="inlineStr">
        <is>
          <t>Sveaskog</t>
        </is>
      </c>
      <c r="G1244" t="n">
        <v>4.6</v>
      </c>
      <c r="H1244" t="n">
        <v>0</v>
      </c>
      <c r="I1244" t="n">
        <v>0</v>
      </c>
      <c r="J1244" t="n">
        <v>0</v>
      </c>
      <c r="K1244" t="n">
        <v>0</v>
      </c>
      <c r="L1244" t="n">
        <v>0</v>
      </c>
      <c r="M1244" t="n">
        <v>0</v>
      </c>
      <c r="N1244" t="n">
        <v>0</v>
      </c>
      <c r="O1244" t="n">
        <v>0</v>
      </c>
      <c r="P1244" t="n">
        <v>0</v>
      </c>
      <c r="Q1244" t="n">
        <v>0</v>
      </c>
      <c r="R1244" s="2" t="inlineStr"/>
    </row>
    <row r="1245" ht="15" customHeight="1">
      <c r="A1245" t="inlineStr">
        <is>
          <t>A 69852-2018</t>
        </is>
      </c>
      <c r="B1245" s="1" t="n">
        <v>43447</v>
      </c>
      <c r="C1245" s="1" t="n">
        <v>45204</v>
      </c>
      <c r="D1245" t="inlineStr">
        <is>
          <t>VÄSTERBOTTENS LÄN</t>
        </is>
      </c>
      <c r="E1245" t="inlineStr">
        <is>
          <t>VÄNNÄS</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70491-2018</t>
        </is>
      </c>
      <c r="B1246" s="1" t="n">
        <v>43447</v>
      </c>
      <c r="C1246" s="1" t="n">
        <v>45204</v>
      </c>
      <c r="D1246" t="inlineStr">
        <is>
          <t>VÄSTERBOTTENS LÄN</t>
        </is>
      </c>
      <c r="E1246" t="inlineStr">
        <is>
          <t>LYCKSELE</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70553-2018</t>
        </is>
      </c>
      <c r="B1247" s="1" t="n">
        <v>43447</v>
      </c>
      <c r="C1247" s="1" t="n">
        <v>45204</v>
      </c>
      <c r="D1247" t="inlineStr">
        <is>
          <t>VÄSTERBOTTENS LÄN</t>
        </is>
      </c>
      <c r="E1247" t="inlineStr">
        <is>
          <t>NORSJÖ</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70565-2018</t>
        </is>
      </c>
      <c r="B1248" s="1" t="n">
        <v>43447</v>
      </c>
      <c r="C1248" s="1" t="n">
        <v>45204</v>
      </c>
      <c r="D1248" t="inlineStr">
        <is>
          <t>VÄSTERBOTTENS LÄN</t>
        </is>
      </c>
      <c r="E1248" t="inlineStr">
        <is>
          <t>LYCKSELE</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70023-2018</t>
        </is>
      </c>
      <c r="B1249" s="1" t="n">
        <v>43448</v>
      </c>
      <c r="C1249" s="1" t="n">
        <v>45204</v>
      </c>
      <c r="D1249" t="inlineStr">
        <is>
          <t>VÄSTERBOTTENS LÄN</t>
        </is>
      </c>
      <c r="E1249" t="inlineStr">
        <is>
          <t>NORDMALING</t>
        </is>
      </c>
      <c r="G1249" t="n">
        <v>4.5</v>
      </c>
      <c r="H1249" t="n">
        <v>0</v>
      </c>
      <c r="I1249" t="n">
        <v>0</v>
      </c>
      <c r="J1249" t="n">
        <v>0</v>
      </c>
      <c r="K1249" t="n">
        <v>0</v>
      </c>
      <c r="L1249" t="n">
        <v>0</v>
      </c>
      <c r="M1249" t="n">
        <v>0</v>
      </c>
      <c r="N1249" t="n">
        <v>0</v>
      </c>
      <c r="O1249" t="n">
        <v>0</v>
      </c>
      <c r="P1249" t="n">
        <v>0</v>
      </c>
      <c r="Q1249" t="n">
        <v>0</v>
      </c>
      <c r="R1249" s="2" t="inlineStr"/>
    </row>
    <row r="1250" ht="15" customHeight="1">
      <c r="A1250" t="inlineStr">
        <is>
          <t>A 70977-2018</t>
        </is>
      </c>
      <c r="B1250" s="1" t="n">
        <v>43448</v>
      </c>
      <c r="C1250" s="1" t="n">
        <v>45204</v>
      </c>
      <c r="D1250" t="inlineStr">
        <is>
          <t>VÄSTERBOTTENS LÄN</t>
        </is>
      </c>
      <c r="E1250" t="inlineStr">
        <is>
          <t>SKELLEFTEÅ</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70049-2018</t>
        </is>
      </c>
      <c r="B1251" s="1" t="n">
        <v>43448</v>
      </c>
      <c r="C1251" s="1" t="n">
        <v>45204</v>
      </c>
      <c r="D1251" t="inlineStr">
        <is>
          <t>VÄSTERBOTTENS LÄN</t>
        </is>
      </c>
      <c r="E1251" t="inlineStr">
        <is>
          <t>UMEÅ</t>
        </is>
      </c>
      <c r="F1251" t="inlineStr">
        <is>
          <t>Holmen skog AB</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70105-2018</t>
        </is>
      </c>
      <c r="B1252" s="1" t="n">
        <v>43448</v>
      </c>
      <c r="C1252" s="1" t="n">
        <v>45204</v>
      </c>
      <c r="D1252" t="inlineStr">
        <is>
          <t>VÄSTERBOTTENS LÄN</t>
        </is>
      </c>
      <c r="E1252" t="inlineStr">
        <is>
          <t>VILHELMINA</t>
        </is>
      </c>
      <c r="F1252" t="inlineStr">
        <is>
          <t>Sveaskog</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70111-2018</t>
        </is>
      </c>
      <c r="B1253" s="1" t="n">
        <v>43448</v>
      </c>
      <c r="C1253" s="1" t="n">
        <v>45204</v>
      </c>
      <c r="D1253" t="inlineStr">
        <is>
          <t>VÄSTERBOTTENS LÄN</t>
        </is>
      </c>
      <c r="E1253" t="inlineStr">
        <is>
          <t>SKELLEFTEÅ</t>
        </is>
      </c>
      <c r="F1253" t="inlineStr">
        <is>
          <t>Kommuner</t>
        </is>
      </c>
      <c r="G1253" t="n">
        <v>8.199999999999999</v>
      </c>
      <c r="H1253" t="n">
        <v>0</v>
      </c>
      <c r="I1253" t="n">
        <v>0</v>
      </c>
      <c r="J1253" t="n">
        <v>0</v>
      </c>
      <c r="K1253" t="n">
        <v>0</v>
      </c>
      <c r="L1253" t="n">
        <v>0</v>
      </c>
      <c r="M1253" t="n">
        <v>0</v>
      </c>
      <c r="N1253" t="n">
        <v>0</v>
      </c>
      <c r="O1253" t="n">
        <v>0</v>
      </c>
      <c r="P1253" t="n">
        <v>0</v>
      </c>
      <c r="Q1253" t="n">
        <v>0</v>
      </c>
      <c r="R1253" s="2" t="inlineStr"/>
    </row>
    <row r="1254" ht="15" customHeight="1">
      <c r="A1254" t="inlineStr">
        <is>
          <t>A 70981-2018</t>
        </is>
      </c>
      <c r="B1254" s="1" t="n">
        <v>43448</v>
      </c>
      <c r="C1254" s="1" t="n">
        <v>45204</v>
      </c>
      <c r="D1254" t="inlineStr">
        <is>
          <t>VÄSTERBOTTENS LÄN</t>
        </is>
      </c>
      <c r="E1254" t="inlineStr">
        <is>
          <t>SKELLEFTEÅ</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70109-2018</t>
        </is>
      </c>
      <c r="B1255" s="1" t="n">
        <v>43448</v>
      </c>
      <c r="C1255" s="1" t="n">
        <v>45204</v>
      </c>
      <c r="D1255" t="inlineStr">
        <is>
          <t>VÄSTERBOTTENS LÄN</t>
        </is>
      </c>
      <c r="E1255" t="inlineStr">
        <is>
          <t>SKELLEFTEÅ</t>
        </is>
      </c>
      <c r="F1255" t="inlineStr">
        <is>
          <t>Kommuner</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70706-2018</t>
        </is>
      </c>
      <c r="B1256" s="1" t="n">
        <v>43451</v>
      </c>
      <c r="C1256" s="1" t="n">
        <v>45204</v>
      </c>
      <c r="D1256" t="inlineStr">
        <is>
          <t>VÄSTERBOTTENS LÄN</t>
        </is>
      </c>
      <c r="E1256" t="inlineStr">
        <is>
          <t>SORSELE</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70733-2018</t>
        </is>
      </c>
      <c r="B1257" s="1" t="n">
        <v>43451</v>
      </c>
      <c r="C1257" s="1" t="n">
        <v>45204</v>
      </c>
      <c r="D1257" t="inlineStr">
        <is>
          <t>VÄSTERBOTTENS LÄN</t>
        </is>
      </c>
      <c r="E1257" t="inlineStr">
        <is>
          <t>UMEÅ</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71444-2018</t>
        </is>
      </c>
      <c r="B1258" s="1" t="n">
        <v>43451</v>
      </c>
      <c r="C1258" s="1" t="n">
        <v>45204</v>
      </c>
      <c r="D1258" t="inlineStr">
        <is>
          <t>VÄSTERBOTTENS LÄN</t>
        </is>
      </c>
      <c r="E1258" t="inlineStr">
        <is>
          <t>UMEÅ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70716-2018</t>
        </is>
      </c>
      <c r="B1259" s="1" t="n">
        <v>43451</v>
      </c>
      <c r="C1259" s="1" t="n">
        <v>45204</v>
      </c>
      <c r="D1259" t="inlineStr">
        <is>
          <t>VÄSTERBOTTENS LÄN</t>
        </is>
      </c>
      <c r="E1259" t="inlineStr">
        <is>
          <t>NORDMALING</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71048-2018</t>
        </is>
      </c>
      <c r="B1260" s="1" t="n">
        <v>43451</v>
      </c>
      <c r="C1260" s="1" t="n">
        <v>45204</v>
      </c>
      <c r="D1260" t="inlineStr">
        <is>
          <t>VÄSTERBOTTENS LÄN</t>
        </is>
      </c>
      <c r="E1260" t="inlineStr">
        <is>
          <t>MALÅ</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71448-2018</t>
        </is>
      </c>
      <c r="B1261" s="1" t="n">
        <v>43451</v>
      </c>
      <c r="C1261" s="1" t="n">
        <v>45204</v>
      </c>
      <c r="D1261" t="inlineStr">
        <is>
          <t>VÄSTERBOTTENS LÄN</t>
        </is>
      </c>
      <c r="E1261" t="inlineStr">
        <is>
          <t>UMEÅ</t>
        </is>
      </c>
      <c r="G1261" t="n">
        <v>4.6</v>
      </c>
      <c r="H1261" t="n">
        <v>0</v>
      </c>
      <c r="I1261" t="n">
        <v>0</v>
      </c>
      <c r="J1261" t="n">
        <v>0</v>
      </c>
      <c r="K1261" t="n">
        <v>0</v>
      </c>
      <c r="L1261" t="n">
        <v>0</v>
      </c>
      <c r="M1261" t="n">
        <v>0</v>
      </c>
      <c r="N1261" t="n">
        <v>0</v>
      </c>
      <c r="O1261" t="n">
        <v>0</v>
      </c>
      <c r="P1261" t="n">
        <v>0</v>
      </c>
      <c r="Q1261" t="n">
        <v>0</v>
      </c>
      <c r="R1261" s="2" t="inlineStr"/>
    </row>
    <row r="1262" ht="15" customHeight="1">
      <c r="A1262" t="inlineStr">
        <is>
          <t>A 70669-2018</t>
        </is>
      </c>
      <c r="B1262" s="1" t="n">
        <v>43451</v>
      </c>
      <c r="C1262" s="1" t="n">
        <v>45204</v>
      </c>
      <c r="D1262" t="inlineStr">
        <is>
          <t>VÄSTERBOTTENS LÄN</t>
        </is>
      </c>
      <c r="E1262" t="inlineStr">
        <is>
          <t>SKELLEFTEÅ</t>
        </is>
      </c>
      <c r="G1262" t="n">
        <v>16.2</v>
      </c>
      <c r="H1262" t="n">
        <v>0</v>
      </c>
      <c r="I1262" t="n">
        <v>0</v>
      </c>
      <c r="J1262" t="n">
        <v>0</v>
      </c>
      <c r="K1262" t="n">
        <v>0</v>
      </c>
      <c r="L1262" t="n">
        <v>0</v>
      </c>
      <c r="M1262" t="n">
        <v>0</v>
      </c>
      <c r="N1262" t="n">
        <v>0</v>
      </c>
      <c r="O1262" t="n">
        <v>0</v>
      </c>
      <c r="P1262" t="n">
        <v>0</v>
      </c>
      <c r="Q1262" t="n">
        <v>0</v>
      </c>
      <c r="R1262" s="2" t="inlineStr"/>
    </row>
    <row r="1263" ht="15" customHeight="1">
      <c r="A1263" t="inlineStr">
        <is>
          <t>A 70689-2018</t>
        </is>
      </c>
      <c r="B1263" s="1" t="n">
        <v>43451</v>
      </c>
      <c r="C1263" s="1" t="n">
        <v>45204</v>
      </c>
      <c r="D1263" t="inlineStr">
        <is>
          <t>VÄSTERBOTTENS LÄN</t>
        </is>
      </c>
      <c r="E1263" t="inlineStr">
        <is>
          <t>NORDMALING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70712-2018</t>
        </is>
      </c>
      <c r="B1264" s="1" t="n">
        <v>43451</v>
      </c>
      <c r="C1264" s="1" t="n">
        <v>45204</v>
      </c>
      <c r="D1264" t="inlineStr">
        <is>
          <t>VÄSTERBOTTENS LÄN</t>
        </is>
      </c>
      <c r="E1264" t="inlineStr">
        <is>
          <t>VINDELN</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70790-2018</t>
        </is>
      </c>
      <c r="B1265" s="1" t="n">
        <v>43451</v>
      </c>
      <c r="C1265" s="1" t="n">
        <v>45204</v>
      </c>
      <c r="D1265" t="inlineStr">
        <is>
          <t>VÄSTERBOTTENS LÄN</t>
        </is>
      </c>
      <c r="E1265" t="inlineStr">
        <is>
          <t>SKELLEFTEÅ</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71446-2018</t>
        </is>
      </c>
      <c r="B1266" s="1" t="n">
        <v>43451</v>
      </c>
      <c r="C1266" s="1" t="n">
        <v>45204</v>
      </c>
      <c r="D1266" t="inlineStr">
        <is>
          <t>VÄSTERBOTTENS LÄN</t>
        </is>
      </c>
      <c r="E1266" t="inlineStr">
        <is>
          <t>VILHELMINA</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71571-2018</t>
        </is>
      </c>
      <c r="B1267" s="1" t="n">
        <v>43452</v>
      </c>
      <c r="C1267" s="1" t="n">
        <v>45204</v>
      </c>
      <c r="D1267" t="inlineStr">
        <is>
          <t>VÄSTERBOTTENS LÄN</t>
        </is>
      </c>
      <c r="E1267" t="inlineStr">
        <is>
          <t>SKELLEFTEÅ</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71681-2018</t>
        </is>
      </c>
      <c r="B1268" s="1" t="n">
        <v>43452</v>
      </c>
      <c r="C1268" s="1" t="n">
        <v>45204</v>
      </c>
      <c r="D1268" t="inlineStr">
        <is>
          <t>VÄSTERBOTTENS LÄN</t>
        </is>
      </c>
      <c r="E1268" t="inlineStr">
        <is>
          <t>VÄNNÄS</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70930-2018</t>
        </is>
      </c>
      <c r="B1269" s="1" t="n">
        <v>43452</v>
      </c>
      <c r="C1269" s="1" t="n">
        <v>45204</v>
      </c>
      <c r="D1269" t="inlineStr">
        <is>
          <t>VÄSTERBOTTENS LÄN</t>
        </is>
      </c>
      <c r="E1269" t="inlineStr">
        <is>
          <t>SKELLEFTEÅ</t>
        </is>
      </c>
      <c r="G1269" t="n">
        <v>6.9</v>
      </c>
      <c r="H1269" t="n">
        <v>0</v>
      </c>
      <c r="I1269" t="n">
        <v>0</v>
      </c>
      <c r="J1269" t="n">
        <v>0</v>
      </c>
      <c r="K1269" t="n">
        <v>0</v>
      </c>
      <c r="L1269" t="n">
        <v>0</v>
      </c>
      <c r="M1269" t="n">
        <v>0</v>
      </c>
      <c r="N1269" t="n">
        <v>0</v>
      </c>
      <c r="O1269" t="n">
        <v>0</v>
      </c>
      <c r="P1269" t="n">
        <v>0</v>
      </c>
      <c r="Q1269" t="n">
        <v>0</v>
      </c>
      <c r="R1269" s="2" t="inlineStr"/>
    </row>
    <row r="1270" ht="15" customHeight="1">
      <c r="A1270" t="inlineStr">
        <is>
          <t>A 71077-2018</t>
        </is>
      </c>
      <c r="B1270" s="1" t="n">
        <v>43452</v>
      </c>
      <c r="C1270" s="1" t="n">
        <v>45204</v>
      </c>
      <c r="D1270" t="inlineStr">
        <is>
          <t>VÄSTERBOTTENS LÄN</t>
        </is>
      </c>
      <c r="E1270" t="inlineStr">
        <is>
          <t>SKELLEFTEÅ</t>
        </is>
      </c>
      <c r="G1270" t="n">
        <v>7.7</v>
      </c>
      <c r="H1270" t="n">
        <v>0</v>
      </c>
      <c r="I1270" t="n">
        <v>0</v>
      </c>
      <c r="J1270" t="n">
        <v>0</v>
      </c>
      <c r="K1270" t="n">
        <v>0</v>
      </c>
      <c r="L1270" t="n">
        <v>0</v>
      </c>
      <c r="M1270" t="n">
        <v>0</v>
      </c>
      <c r="N1270" t="n">
        <v>0</v>
      </c>
      <c r="O1270" t="n">
        <v>0</v>
      </c>
      <c r="P1270" t="n">
        <v>0</v>
      </c>
      <c r="Q1270" t="n">
        <v>0</v>
      </c>
      <c r="R1270" s="2" t="inlineStr"/>
    </row>
    <row r="1271" ht="15" customHeight="1">
      <c r="A1271" t="inlineStr">
        <is>
          <t>A 71568-2018</t>
        </is>
      </c>
      <c r="B1271" s="1" t="n">
        <v>43452</v>
      </c>
      <c r="C1271" s="1" t="n">
        <v>45204</v>
      </c>
      <c r="D1271" t="inlineStr">
        <is>
          <t>VÄSTERBOTTENS LÄN</t>
        </is>
      </c>
      <c r="E1271" t="inlineStr">
        <is>
          <t>SKELLEFTEÅ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71678-2018</t>
        </is>
      </c>
      <c r="B1272" s="1" t="n">
        <v>43452</v>
      </c>
      <c r="C1272" s="1" t="n">
        <v>45204</v>
      </c>
      <c r="D1272" t="inlineStr">
        <is>
          <t>VÄSTERBOTTENS LÄN</t>
        </is>
      </c>
      <c r="E1272" t="inlineStr">
        <is>
          <t>UMEÅ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71094-2018</t>
        </is>
      </c>
      <c r="B1273" s="1" t="n">
        <v>43452</v>
      </c>
      <c r="C1273" s="1" t="n">
        <v>45204</v>
      </c>
      <c r="D1273" t="inlineStr">
        <is>
          <t>VÄSTERBOTTENS LÄN</t>
        </is>
      </c>
      <c r="E1273" t="inlineStr">
        <is>
          <t>BJURHOLM</t>
        </is>
      </c>
      <c r="F1273" t="inlineStr">
        <is>
          <t>Sveaskog</t>
        </is>
      </c>
      <c r="G1273" t="n">
        <v>6</v>
      </c>
      <c r="H1273" t="n">
        <v>0</v>
      </c>
      <c r="I1273" t="n">
        <v>0</v>
      </c>
      <c r="J1273" t="n">
        <v>0</v>
      </c>
      <c r="K1273" t="n">
        <v>0</v>
      </c>
      <c r="L1273" t="n">
        <v>0</v>
      </c>
      <c r="M1273" t="n">
        <v>0</v>
      </c>
      <c r="N1273" t="n">
        <v>0</v>
      </c>
      <c r="O1273" t="n">
        <v>0</v>
      </c>
      <c r="P1273" t="n">
        <v>0</v>
      </c>
      <c r="Q1273" t="n">
        <v>0</v>
      </c>
      <c r="R1273" s="2" t="inlineStr"/>
    </row>
    <row r="1274" ht="15" customHeight="1">
      <c r="A1274" t="inlineStr">
        <is>
          <t>A 71242-2018</t>
        </is>
      </c>
      <c r="B1274" s="1" t="n">
        <v>43453</v>
      </c>
      <c r="C1274" s="1" t="n">
        <v>45204</v>
      </c>
      <c r="D1274" t="inlineStr">
        <is>
          <t>VÄSTERBOTTENS LÄN</t>
        </is>
      </c>
      <c r="E1274" t="inlineStr">
        <is>
          <t>NORDMALING</t>
        </is>
      </c>
      <c r="G1274" t="n">
        <v>7.1</v>
      </c>
      <c r="H1274" t="n">
        <v>0</v>
      </c>
      <c r="I1274" t="n">
        <v>0</v>
      </c>
      <c r="J1274" t="n">
        <v>0</v>
      </c>
      <c r="K1274" t="n">
        <v>0</v>
      </c>
      <c r="L1274" t="n">
        <v>0</v>
      </c>
      <c r="M1274" t="n">
        <v>0</v>
      </c>
      <c r="N1274" t="n">
        <v>0</v>
      </c>
      <c r="O1274" t="n">
        <v>0</v>
      </c>
      <c r="P1274" t="n">
        <v>0</v>
      </c>
      <c r="Q1274" t="n">
        <v>0</v>
      </c>
      <c r="R1274" s="2" t="inlineStr"/>
    </row>
    <row r="1275" ht="15" customHeight="1">
      <c r="A1275" t="inlineStr">
        <is>
          <t>A 71324-2018</t>
        </is>
      </c>
      <c r="B1275" s="1" t="n">
        <v>43453</v>
      </c>
      <c r="C1275" s="1" t="n">
        <v>45204</v>
      </c>
      <c r="D1275" t="inlineStr">
        <is>
          <t>VÄSTERBOTTENS LÄN</t>
        </is>
      </c>
      <c r="E1275" t="inlineStr">
        <is>
          <t>SKELLEFTEÅ</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72055-2018</t>
        </is>
      </c>
      <c r="B1276" s="1" t="n">
        <v>43453</v>
      </c>
      <c r="C1276" s="1" t="n">
        <v>45204</v>
      </c>
      <c r="D1276" t="inlineStr">
        <is>
          <t>VÄSTERBOTTENS LÄN</t>
        </is>
      </c>
      <c r="E1276" t="inlineStr">
        <is>
          <t>VINDELN</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71246-2018</t>
        </is>
      </c>
      <c r="B1277" s="1" t="n">
        <v>43453</v>
      </c>
      <c r="C1277" s="1" t="n">
        <v>45204</v>
      </c>
      <c r="D1277" t="inlineStr">
        <is>
          <t>VÄSTERBOTTENS LÄN</t>
        </is>
      </c>
      <c r="E1277" t="inlineStr">
        <is>
          <t>VÄNNÄS</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71473-2018</t>
        </is>
      </c>
      <c r="B1278" s="1" t="n">
        <v>43453</v>
      </c>
      <c r="C1278" s="1" t="n">
        <v>45204</v>
      </c>
      <c r="D1278" t="inlineStr">
        <is>
          <t>VÄSTERBOTTENS LÄN</t>
        </is>
      </c>
      <c r="E1278" t="inlineStr">
        <is>
          <t>VILHELMINA</t>
        </is>
      </c>
      <c r="G1278" t="n">
        <v>39.3</v>
      </c>
      <c r="H1278" t="n">
        <v>0</v>
      </c>
      <c r="I1278" t="n">
        <v>0</v>
      </c>
      <c r="J1278" t="n">
        <v>0</v>
      </c>
      <c r="K1278" t="n">
        <v>0</v>
      </c>
      <c r="L1278" t="n">
        <v>0</v>
      </c>
      <c r="M1278" t="n">
        <v>0</v>
      </c>
      <c r="N1278" t="n">
        <v>0</v>
      </c>
      <c r="O1278" t="n">
        <v>0</v>
      </c>
      <c r="P1278" t="n">
        <v>0</v>
      </c>
      <c r="Q1278" t="n">
        <v>0</v>
      </c>
      <c r="R1278" s="2" t="inlineStr"/>
    </row>
    <row r="1279" ht="15" customHeight="1">
      <c r="A1279" t="inlineStr">
        <is>
          <t>A 71811-2018</t>
        </is>
      </c>
      <c r="B1279" s="1" t="n">
        <v>43454</v>
      </c>
      <c r="C1279" s="1" t="n">
        <v>45204</v>
      </c>
      <c r="D1279" t="inlineStr">
        <is>
          <t>VÄSTERBOTTENS LÄN</t>
        </is>
      </c>
      <c r="E1279" t="inlineStr">
        <is>
          <t>UMEÅ</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147-2019</t>
        </is>
      </c>
      <c r="B1280" s="1" t="n">
        <v>43454</v>
      </c>
      <c r="C1280" s="1" t="n">
        <v>45204</v>
      </c>
      <c r="D1280" t="inlineStr">
        <is>
          <t>VÄSTERBOTTENS LÄN</t>
        </is>
      </c>
      <c r="E1280" t="inlineStr">
        <is>
          <t>VINDELN</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306-2019</t>
        </is>
      </c>
      <c r="B1281" s="1" t="n">
        <v>43454</v>
      </c>
      <c r="C1281" s="1" t="n">
        <v>45204</v>
      </c>
      <c r="D1281" t="inlineStr">
        <is>
          <t>VÄSTERBOTTENS LÄN</t>
        </is>
      </c>
      <c r="E1281" t="inlineStr">
        <is>
          <t>MALÅ</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360-2019</t>
        </is>
      </c>
      <c r="B1282" s="1" t="n">
        <v>43454</v>
      </c>
      <c r="C1282" s="1" t="n">
        <v>45204</v>
      </c>
      <c r="D1282" t="inlineStr">
        <is>
          <t>VÄSTERBOTTENS LÄN</t>
        </is>
      </c>
      <c r="E1282" t="inlineStr">
        <is>
          <t>LYCKSELE</t>
        </is>
      </c>
      <c r="G1282" t="n">
        <v>10.9</v>
      </c>
      <c r="H1282" t="n">
        <v>0</v>
      </c>
      <c r="I1282" t="n">
        <v>0</v>
      </c>
      <c r="J1282" t="n">
        <v>0</v>
      </c>
      <c r="K1282" t="n">
        <v>0</v>
      </c>
      <c r="L1282" t="n">
        <v>0</v>
      </c>
      <c r="M1282" t="n">
        <v>0</v>
      </c>
      <c r="N1282" t="n">
        <v>0</v>
      </c>
      <c r="O1282" t="n">
        <v>0</v>
      </c>
      <c r="P1282" t="n">
        <v>0</v>
      </c>
      <c r="Q1282" t="n">
        <v>0</v>
      </c>
      <c r="R1282" s="2" t="inlineStr"/>
    </row>
    <row r="1283" ht="15" customHeight="1">
      <c r="A1283" t="inlineStr">
        <is>
          <t>A 72252-2018</t>
        </is>
      </c>
      <c r="B1283" s="1" t="n">
        <v>43454</v>
      </c>
      <c r="C1283" s="1" t="n">
        <v>45204</v>
      </c>
      <c r="D1283" t="inlineStr">
        <is>
          <t>VÄSTERBOTTENS LÄN</t>
        </is>
      </c>
      <c r="E1283" t="inlineStr">
        <is>
          <t>SKELLEFTEÅ</t>
        </is>
      </c>
      <c r="G1283" t="n">
        <v>20.7</v>
      </c>
      <c r="H1283" t="n">
        <v>0</v>
      </c>
      <c r="I1283" t="n">
        <v>0</v>
      </c>
      <c r="J1283" t="n">
        <v>0</v>
      </c>
      <c r="K1283" t="n">
        <v>0</v>
      </c>
      <c r="L1283" t="n">
        <v>0</v>
      </c>
      <c r="M1283" t="n">
        <v>0</v>
      </c>
      <c r="N1283" t="n">
        <v>0</v>
      </c>
      <c r="O1283" t="n">
        <v>0</v>
      </c>
      <c r="P1283" t="n">
        <v>0</v>
      </c>
      <c r="Q1283" t="n">
        <v>0</v>
      </c>
      <c r="R1283" s="2" t="inlineStr"/>
    </row>
    <row r="1284" ht="15" customHeight="1">
      <c r="A1284" t="inlineStr">
        <is>
          <t>A 71548-2018</t>
        </is>
      </c>
      <c r="B1284" s="1" t="n">
        <v>43454</v>
      </c>
      <c r="C1284" s="1" t="n">
        <v>45204</v>
      </c>
      <c r="D1284" t="inlineStr">
        <is>
          <t>VÄSTERBOTTENS LÄN</t>
        </is>
      </c>
      <c r="E1284" t="inlineStr">
        <is>
          <t>SKELLEFTEÅ</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72519-2018</t>
        </is>
      </c>
      <c r="B1285" s="1" t="n">
        <v>43454</v>
      </c>
      <c r="C1285" s="1" t="n">
        <v>45204</v>
      </c>
      <c r="D1285" t="inlineStr">
        <is>
          <t>VÄSTERBOTTENS LÄN</t>
        </is>
      </c>
      <c r="E1285" t="inlineStr">
        <is>
          <t>VINDELN</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361-2019</t>
        </is>
      </c>
      <c r="B1286" s="1" t="n">
        <v>43454</v>
      </c>
      <c r="C1286" s="1" t="n">
        <v>45204</v>
      </c>
      <c r="D1286" t="inlineStr">
        <is>
          <t>VÄSTERBOTTENS LÄN</t>
        </is>
      </c>
      <c r="E1286" t="inlineStr">
        <is>
          <t>LYCKSELE</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72082-2018</t>
        </is>
      </c>
      <c r="B1287" s="1" t="n">
        <v>43455</v>
      </c>
      <c r="C1287" s="1" t="n">
        <v>45204</v>
      </c>
      <c r="D1287" t="inlineStr">
        <is>
          <t>VÄSTERBOTTENS LÄN</t>
        </is>
      </c>
      <c r="E1287" t="inlineStr">
        <is>
          <t>SKELLEFTEÅ</t>
        </is>
      </c>
      <c r="F1287" t="inlineStr">
        <is>
          <t>Holmen skog AB</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72183-2018</t>
        </is>
      </c>
      <c r="B1288" s="1" t="n">
        <v>43455</v>
      </c>
      <c r="C1288" s="1" t="n">
        <v>45204</v>
      </c>
      <c r="D1288" t="inlineStr">
        <is>
          <t>VÄSTERBOTTENS LÄN</t>
        </is>
      </c>
      <c r="E1288" t="inlineStr">
        <is>
          <t>SORSELE</t>
        </is>
      </c>
      <c r="F1288" t="inlineStr">
        <is>
          <t>Sveaskog</t>
        </is>
      </c>
      <c r="G1288" t="n">
        <v>10.6</v>
      </c>
      <c r="H1288" t="n">
        <v>0</v>
      </c>
      <c r="I1288" t="n">
        <v>0</v>
      </c>
      <c r="J1288" t="n">
        <v>0</v>
      </c>
      <c r="K1288" t="n">
        <v>0</v>
      </c>
      <c r="L1288" t="n">
        <v>0</v>
      </c>
      <c r="M1288" t="n">
        <v>0</v>
      </c>
      <c r="N1288" t="n">
        <v>0</v>
      </c>
      <c r="O1288" t="n">
        <v>0</v>
      </c>
      <c r="P1288" t="n">
        <v>0</v>
      </c>
      <c r="Q1288" t="n">
        <v>0</v>
      </c>
      <c r="R1288" s="2" t="inlineStr"/>
    </row>
    <row r="1289" ht="15" customHeight="1">
      <c r="A1289" t="inlineStr">
        <is>
          <t>A 72242-2018</t>
        </is>
      </c>
      <c r="B1289" s="1" t="n">
        <v>43455</v>
      </c>
      <c r="C1289" s="1" t="n">
        <v>45204</v>
      </c>
      <c r="D1289" t="inlineStr">
        <is>
          <t>VÄSTERBOTTENS LÄN</t>
        </is>
      </c>
      <c r="E1289" t="inlineStr">
        <is>
          <t>VÄNNÄS</t>
        </is>
      </c>
      <c r="G1289" t="n">
        <v>6.8</v>
      </c>
      <c r="H1289" t="n">
        <v>0</v>
      </c>
      <c r="I1289" t="n">
        <v>0</v>
      </c>
      <c r="J1289" t="n">
        <v>0</v>
      </c>
      <c r="K1289" t="n">
        <v>0</v>
      </c>
      <c r="L1289" t="n">
        <v>0</v>
      </c>
      <c r="M1289" t="n">
        <v>0</v>
      </c>
      <c r="N1289" t="n">
        <v>0</v>
      </c>
      <c r="O1289" t="n">
        <v>0</v>
      </c>
      <c r="P1289" t="n">
        <v>0</v>
      </c>
      <c r="Q1289" t="n">
        <v>0</v>
      </c>
      <c r="R1289" s="2" t="inlineStr"/>
    </row>
    <row r="1290" ht="15" customHeight="1">
      <c r="A1290" t="inlineStr">
        <is>
          <t>A 799-2019</t>
        </is>
      </c>
      <c r="B1290" s="1" t="n">
        <v>43455</v>
      </c>
      <c r="C1290" s="1" t="n">
        <v>45204</v>
      </c>
      <c r="D1290" t="inlineStr">
        <is>
          <t>VÄSTERBOTTENS LÄN</t>
        </is>
      </c>
      <c r="E1290" t="inlineStr">
        <is>
          <t>UMEÅ</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72187-2018</t>
        </is>
      </c>
      <c r="B1291" s="1" t="n">
        <v>43455</v>
      </c>
      <c r="C1291" s="1" t="n">
        <v>45204</v>
      </c>
      <c r="D1291" t="inlineStr">
        <is>
          <t>VÄSTERBOTTENS LÄN</t>
        </is>
      </c>
      <c r="E1291" t="inlineStr">
        <is>
          <t>SORSELE</t>
        </is>
      </c>
      <c r="F1291" t="inlineStr">
        <is>
          <t>Sveaskog</t>
        </is>
      </c>
      <c r="G1291" t="n">
        <v>14.2</v>
      </c>
      <c r="H1291" t="n">
        <v>0</v>
      </c>
      <c r="I1291" t="n">
        <v>0</v>
      </c>
      <c r="J1291" t="n">
        <v>0</v>
      </c>
      <c r="K1291" t="n">
        <v>0</v>
      </c>
      <c r="L1291" t="n">
        <v>0</v>
      </c>
      <c r="M1291" t="n">
        <v>0</v>
      </c>
      <c r="N1291" t="n">
        <v>0</v>
      </c>
      <c r="O1291" t="n">
        <v>0</v>
      </c>
      <c r="P1291" t="n">
        <v>0</v>
      </c>
      <c r="Q1291" t="n">
        <v>0</v>
      </c>
      <c r="R1291" s="2" t="inlineStr"/>
    </row>
    <row r="1292" ht="15" customHeight="1">
      <c r="A1292" t="inlineStr">
        <is>
          <t>A 626-2019</t>
        </is>
      </c>
      <c r="B1292" s="1" t="n">
        <v>43455</v>
      </c>
      <c r="C1292" s="1" t="n">
        <v>45204</v>
      </c>
      <c r="D1292" t="inlineStr">
        <is>
          <t>VÄSTERBOTTENS LÄN</t>
        </is>
      </c>
      <c r="E1292" t="inlineStr">
        <is>
          <t>SKELLEFTEÅ</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72299-2018</t>
        </is>
      </c>
      <c r="B1293" s="1" t="n">
        <v>43455</v>
      </c>
      <c r="C1293" s="1" t="n">
        <v>45204</v>
      </c>
      <c r="D1293" t="inlineStr">
        <is>
          <t>VÄSTERBOTTENS LÄN</t>
        </is>
      </c>
      <c r="E1293" t="inlineStr">
        <is>
          <t>NORDMALING</t>
        </is>
      </c>
      <c r="F1293" t="inlineStr">
        <is>
          <t>SCA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402-2019</t>
        </is>
      </c>
      <c r="B1294" s="1" t="n">
        <v>43455</v>
      </c>
      <c r="C1294" s="1" t="n">
        <v>45204</v>
      </c>
      <c r="D1294" t="inlineStr">
        <is>
          <t>VÄSTERBOTTENS LÄN</t>
        </is>
      </c>
      <c r="E1294" t="inlineStr">
        <is>
          <t>BJURHOLM</t>
        </is>
      </c>
      <c r="G1294" t="n">
        <v>9.9</v>
      </c>
      <c r="H1294" t="n">
        <v>0</v>
      </c>
      <c r="I1294" t="n">
        <v>0</v>
      </c>
      <c r="J1294" t="n">
        <v>0</v>
      </c>
      <c r="K1294" t="n">
        <v>0</v>
      </c>
      <c r="L1294" t="n">
        <v>0</v>
      </c>
      <c r="M1294" t="n">
        <v>0</v>
      </c>
      <c r="N1294" t="n">
        <v>0</v>
      </c>
      <c r="O1294" t="n">
        <v>0</v>
      </c>
      <c r="P1294" t="n">
        <v>0</v>
      </c>
      <c r="Q1294" t="n">
        <v>0</v>
      </c>
      <c r="R1294" s="2" t="inlineStr"/>
    </row>
    <row r="1295" ht="15" customHeight="1">
      <c r="A1295" t="inlineStr">
        <is>
          <t>A 623-2019</t>
        </is>
      </c>
      <c r="B1295" s="1" t="n">
        <v>43455</v>
      </c>
      <c r="C1295" s="1" t="n">
        <v>45204</v>
      </c>
      <c r="D1295" t="inlineStr">
        <is>
          <t>VÄSTERBOTTENS LÄN</t>
        </is>
      </c>
      <c r="E1295" t="inlineStr">
        <is>
          <t>SKELLEFTEÅ</t>
        </is>
      </c>
      <c r="G1295" t="n">
        <v>7.4</v>
      </c>
      <c r="H1295" t="n">
        <v>0</v>
      </c>
      <c r="I1295" t="n">
        <v>0</v>
      </c>
      <c r="J1295" t="n">
        <v>0</v>
      </c>
      <c r="K1295" t="n">
        <v>0</v>
      </c>
      <c r="L1295" t="n">
        <v>0</v>
      </c>
      <c r="M1295" t="n">
        <v>0</v>
      </c>
      <c r="N1295" t="n">
        <v>0</v>
      </c>
      <c r="O1295" t="n">
        <v>0</v>
      </c>
      <c r="P1295" t="n">
        <v>0</v>
      </c>
      <c r="Q1295" t="n">
        <v>0</v>
      </c>
      <c r="R1295" s="2" t="inlineStr"/>
    </row>
    <row r="1296" ht="15" customHeight="1">
      <c r="A1296" t="inlineStr">
        <is>
          <t>A 71948-2018</t>
        </is>
      </c>
      <c r="B1296" s="1" t="n">
        <v>43455</v>
      </c>
      <c r="C1296" s="1" t="n">
        <v>45204</v>
      </c>
      <c r="D1296" t="inlineStr">
        <is>
          <t>VÄSTERBOTTENS LÄN</t>
        </is>
      </c>
      <c r="E1296" t="inlineStr">
        <is>
          <t>SKELLEFTEÅ</t>
        </is>
      </c>
      <c r="G1296" t="n">
        <v>9.4</v>
      </c>
      <c r="H1296" t="n">
        <v>0</v>
      </c>
      <c r="I1296" t="n">
        <v>0</v>
      </c>
      <c r="J1296" t="n">
        <v>0</v>
      </c>
      <c r="K1296" t="n">
        <v>0</v>
      </c>
      <c r="L1296" t="n">
        <v>0</v>
      </c>
      <c r="M1296" t="n">
        <v>0</v>
      </c>
      <c r="N1296" t="n">
        <v>0</v>
      </c>
      <c r="O1296" t="n">
        <v>0</v>
      </c>
      <c r="P1296" t="n">
        <v>0</v>
      </c>
      <c r="Q1296" t="n">
        <v>0</v>
      </c>
      <c r="R1296" s="2" t="inlineStr"/>
    </row>
    <row r="1297" ht="15" customHeight="1">
      <c r="A1297" t="inlineStr">
        <is>
          <t>A 72104-2018</t>
        </is>
      </c>
      <c r="B1297" s="1" t="n">
        <v>43455</v>
      </c>
      <c r="C1297" s="1" t="n">
        <v>45204</v>
      </c>
      <c r="D1297" t="inlineStr">
        <is>
          <t>VÄSTERBOTTENS LÄN</t>
        </is>
      </c>
      <c r="E1297" t="inlineStr">
        <is>
          <t>SKELLEFTEÅ</t>
        </is>
      </c>
      <c r="F1297" t="inlineStr">
        <is>
          <t>Holmen skog AB</t>
        </is>
      </c>
      <c r="G1297" t="n">
        <v>9</v>
      </c>
      <c r="H1297" t="n">
        <v>0</v>
      </c>
      <c r="I1297" t="n">
        <v>0</v>
      </c>
      <c r="J1297" t="n">
        <v>0</v>
      </c>
      <c r="K1297" t="n">
        <v>0</v>
      </c>
      <c r="L1297" t="n">
        <v>0</v>
      </c>
      <c r="M1297" t="n">
        <v>0</v>
      </c>
      <c r="N1297" t="n">
        <v>0</v>
      </c>
      <c r="O1297" t="n">
        <v>0</v>
      </c>
      <c r="P1297" t="n">
        <v>0</v>
      </c>
      <c r="Q1297" t="n">
        <v>0</v>
      </c>
      <c r="R1297" s="2" t="inlineStr"/>
    </row>
    <row r="1298" ht="15" customHeight="1">
      <c r="A1298" t="inlineStr">
        <is>
          <t>A 650-2019</t>
        </is>
      </c>
      <c r="B1298" s="1" t="n">
        <v>43455</v>
      </c>
      <c r="C1298" s="1" t="n">
        <v>45204</v>
      </c>
      <c r="D1298" t="inlineStr">
        <is>
          <t>VÄSTERBOTTENS LÄN</t>
        </is>
      </c>
      <c r="E1298" t="inlineStr">
        <is>
          <t>UMEÅ</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841-2019</t>
        </is>
      </c>
      <c r="B1299" s="1" t="n">
        <v>43455</v>
      </c>
      <c r="C1299" s="1" t="n">
        <v>45204</v>
      </c>
      <c r="D1299" t="inlineStr">
        <is>
          <t>VÄSTERBOTTENS LÄN</t>
        </is>
      </c>
      <c r="E1299" t="inlineStr">
        <is>
          <t>VÄNNÄS</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955-2019</t>
        </is>
      </c>
      <c r="B1300" s="1" t="n">
        <v>43456</v>
      </c>
      <c r="C1300" s="1" t="n">
        <v>45204</v>
      </c>
      <c r="D1300" t="inlineStr">
        <is>
          <t>VÄSTERBOTTENS LÄN</t>
        </is>
      </c>
      <c r="E1300" t="inlineStr">
        <is>
          <t>BJURHOLM</t>
        </is>
      </c>
      <c r="G1300" t="n">
        <v>7</v>
      </c>
      <c r="H1300" t="n">
        <v>0</v>
      </c>
      <c r="I1300" t="n">
        <v>0</v>
      </c>
      <c r="J1300" t="n">
        <v>0</v>
      </c>
      <c r="K1300" t="n">
        <v>0</v>
      </c>
      <c r="L1300" t="n">
        <v>0</v>
      </c>
      <c r="M1300" t="n">
        <v>0</v>
      </c>
      <c r="N1300" t="n">
        <v>0</v>
      </c>
      <c r="O1300" t="n">
        <v>0</v>
      </c>
      <c r="P1300" t="n">
        <v>0</v>
      </c>
      <c r="Q1300" t="n">
        <v>0</v>
      </c>
      <c r="R1300" s="2" t="inlineStr"/>
    </row>
    <row r="1301" ht="15" customHeight="1">
      <c r="A1301" t="inlineStr">
        <is>
          <t>A 924-2019</t>
        </is>
      </c>
      <c r="B1301" s="1" t="n">
        <v>43461</v>
      </c>
      <c r="C1301" s="1" t="n">
        <v>45204</v>
      </c>
      <c r="D1301" t="inlineStr">
        <is>
          <t>VÄSTERBOTTENS LÄN</t>
        </is>
      </c>
      <c r="E1301" t="inlineStr">
        <is>
          <t>LYCKSELE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1646-2019</t>
        </is>
      </c>
      <c r="B1302" s="1" t="n">
        <v>43461</v>
      </c>
      <c r="C1302" s="1" t="n">
        <v>45204</v>
      </c>
      <c r="D1302" t="inlineStr">
        <is>
          <t>VÄSTERBOTTENS LÄN</t>
        </is>
      </c>
      <c r="E1302" t="inlineStr">
        <is>
          <t>STORUMAN</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72624-2018</t>
        </is>
      </c>
      <c r="B1303" s="1" t="n">
        <v>43464</v>
      </c>
      <c r="C1303" s="1" t="n">
        <v>45204</v>
      </c>
      <c r="D1303" t="inlineStr">
        <is>
          <t>VÄSTERBOTTENS LÄN</t>
        </is>
      </c>
      <c r="E1303" t="inlineStr">
        <is>
          <t>UMEÅ</t>
        </is>
      </c>
      <c r="F1303" t="inlineStr">
        <is>
          <t>Kommuner</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2102-2019</t>
        </is>
      </c>
      <c r="B1304" s="1" t="n">
        <v>43467</v>
      </c>
      <c r="C1304" s="1" t="n">
        <v>45204</v>
      </c>
      <c r="D1304" t="inlineStr">
        <is>
          <t>VÄSTERBOTTENS LÄN</t>
        </is>
      </c>
      <c r="E1304" t="inlineStr">
        <is>
          <t>VINDELN</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194-2019</t>
        </is>
      </c>
      <c r="B1305" s="1" t="n">
        <v>43467</v>
      </c>
      <c r="C1305" s="1" t="n">
        <v>45204</v>
      </c>
      <c r="D1305" t="inlineStr">
        <is>
          <t>VÄSTERBOTTENS LÄN</t>
        </is>
      </c>
      <c r="E1305" t="inlineStr">
        <is>
          <t>VILHELMINA</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202-2019</t>
        </is>
      </c>
      <c r="B1306" s="1" t="n">
        <v>43467</v>
      </c>
      <c r="C1306" s="1" t="n">
        <v>45204</v>
      </c>
      <c r="D1306" t="inlineStr">
        <is>
          <t>VÄSTERBOTTENS LÄN</t>
        </is>
      </c>
      <c r="E1306" t="inlineStr">
        <is>
          <t>UMEÅ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2123-2019</t>
        </is>
      </c>
      <c r="B1307" s="1" t="n">
        <v>43467</v>
      </c>
      <c r="C1307" s="1" t="n">
        <v>45204</v>
      </c>
      <c r="D1307" t="inlineStr">
        <is>
          <t>VÄSTERBOTTENS LÄN</t>
        </is>
      </c>
      <c r="E1307" t="inlineStr">
        <is>
          <t>VINDELN</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122-2019</t>
        </is>
      </c>
      <c r="B1308" s="1" t="n">
        <v>43467</v>
      </c>
      <c r="C1308" s="1" t="n">
        <v>45204</v>
      </c>
      <c r="D1308" t="inlineStr">
        <is>
          <t>VÄSTERBOTTENS LÄN</t>
        </is>
      </c>
      <c r="E1308" t="inlineStr">
        <is>
          <t>UMEÅ</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379-2019</t>
        </is>
      </c>
      <c r="B1309" s="1" t="n">
        <v>43468</v>
      </c>
      <c r="C1309" s="1" t="n">
        <v>45204</v>
      </c>
      <c r="D1309" t="inlineStr">
        <is>
          <t>VÄSTERBOTTENS LÄN</t>
        </is>
      </c>
      <c r="E1309" t="inlineStr">
        <is>
          <t>LYCKSELE</t>
        </is>
      </c>
      <c r="F1309" t="inlineStr">
        <is>
          <t>Sveaskog</t>
        </is>
      </c>
      <c r="G1309" t="n">
        <v>0.2</v>
      </c>
      <c r="H1309" t="n">
        <v>0</v>
      </c>
      <c r="I1309" t="n">
        <v>0</v>
      </c>
      <c r="J1309" t="n">
        <v>0</v>
      </c>
      <c r="K1309" t="n">
        <v>0</v>
      </c>
      <c r="L1309" t="n">
        <v>0</v>
      </c>
      <c r="M1309" t="n">
        <v>0</v>
      </c>
      <c r="N1309" t="n">
        <v>0</v>
      </c>
      <c r="O1309" t="n">
        <v>0</v>
      </c>
      <c r="P1309" t="n">
        <v>0</v>
      </c>
      <c r="Q1309" t="n">
        <v>0</v>
      </c>
      <c r="R1309" s="2" t="inlineStr"/>
    </row>
    <row r="1310" ht="15" customHeight="1">
      <c r="A1310" t="inlineStr">
        <is>
          <t>A 469-2019</t>
        </is>
      </c>
      <c r="B1310" s="1" t="n">
        <v>43468</v>
      </c>
      <c r="C1310" s="1" t="n">
        <v>45204</v>
      </c>
      <c r="D1310" t="inlineStr">
        <is>
          <t>VÄSTERBOTTENS LÄN</t>
        </is>
      </c>
      <c r="E1310" t="inlineStr">
        <is>
          <t>VILHELMINA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294-2019</t>
        </is>
      </c>
      <c r="B1311" s="1" t="n">
        <v>43468</v>
      </c>
      <c r="C1311" s="1" t="n">
        <v>45204</v>
      </c>
      <c r="D1311" t="inlineStr">
        <is>
          <t>VÄSTERBOTTENS LÄN</t>
        </is>
      </c>
      <c r="E1311" t="inlineStr">
        <is>
          <t>SKELLEFTEÅ</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254-2019</t>
        </is>
      </c>
      <c r="B1312" s="1" t="n">
        <v>43468</v>
      </c>
      <c r="C1312" s="1" t="n">
        <v>45204</v>
      </c>
      <c r="D1312" t="inlineStr">
        <is>
          <t>VÄSTERBOTTENS LÄN</t>
        </is>
      </c>
      <c r="E1312" t="inlineStr">
        <is>
          <t>BJURHOLM</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545-2019</t>
        </is>
      </c>
      <c r="B1313" s="1" t="n">
        <v>43469</v>
      </c>
      <c r="C1313" s="1" t="n">
        <v>45204</v>
      </c>
      <c r="D1313" t="inlineStr">
        <is>
          <t>VÄSTERBOTTENS LÄN</t>
        </is>
      </c>
      <c r="E1313" t="inlineStr">
        <is>
          <t>ROBERTSFORS</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696-2019</t>
        </is>
      </c>
      <c r="B1314" s="1" t="n">
        <v>43469</v>
      </c>
      <c r="C1314" s="1" t="n">
        <v>45204</v>
      </c>
      <c r="D1314" t="inlineStr">
        <is>
          <t>VÄSTERBOTTENS LÄN</t>
        </is>
      </c>
      <c r="E1314" t="inlineStr">
        <is>
          <t>LYCKSELE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2902-2019</t>
        </is>
      </c>
      <c r="B1315" s="1" t="n">
        <v>43469</v>
      </c>
      <c r="C1315" s="1" t="n">
        <v>45204</v>
      </c>
      <c r="D1315" t="inlineStr">
        <is>
          <t>VÄSTERBOTTENS LÄN</t>
        </is>
      </c>
      <c r="E1315" t="inlineStr">
        <is>
          <t>NORSJÖ</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2928-2019</t>
        </is>
      </c>
      <c r="B1316" s="1" t="n">
        <v>43469</v>
      </c>
      <c r="C1316" s="1" t="n">
        <v>45204</v>
      </c>
      <c r="D1316" t="inlineStr">
        <is>
          <t>VÄSTERBOTTENS LÄN</t>
        </is>
      </c>
      <c r="E1316" t="inlineStr">
        <is>
          <t>DOROTEA</t>
        </is>
      </c>
      <c r="G1316" t="n">
        <v>11.6</v>
      </c>
      <c r="H1316" t="n">
        <v>0</v>
      </c>
      <c r="I1316" t="n">
        <v>0</v>
      </c>
      <c r="J1316" t="n">
        <v>0</v>
      </c>
      <c r="K1316" t="n">
        <v>0</v>
      </c>
      <c r="L1316" t="n">
        <v>0</v>
      </c>
      <c r="M1316" t="n">
        <v>0</v>
      </c>
      <c r="N1316" t="n">
        <v>0</v>
      </c>
      <c r="O1316" t="n">
        <v>0</v>
      </c>
      <c r="P1316" t="n">
        <v>0</v>
      </c>
      <c r="Q1316" t="n">
        <v>0</v>
      </c>
      <c r="R1316" s="2" t="inlineStr"/>
    </row>
    <row r="1317" ht="15" customHeight="1">
      <c r="A1317" t="inlineStr">
        <is>
          <t>A 707-2019</t>
        </is>
      </c>
      <c r="B1317" s="1" t="n">
        <v>43470</v>
      </c>
      <c r="C1317" s="1" t="n">
        <v>45204</v>
      </c>
      <c r="D1317" t="inlineStr">
        <is>
          <t>VÄSTERBOTTENS LÄN</t>
        </is>
      </c>
      <c r="E1317" t="inlineStr">
        <is>
          <t>VINDELN</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900-2019</t>
        </is>
      </c>
      <c r="B1318" s="1" t="n">
        <v>43472</v>
      </c>
      <c r="C1318" s="1" t="n">
        <v>45204</v>
      </c>
      <c r="D1318" t="inlineStr">
        <is>
          <t>VÄSTERBOTTENS LÄN</t>
        </is>
      </c>
      <c r="E1318" t="inlineStr">
        <is>
          <t>LYCKSELE</t>
        </is>
      </c>
      <c r="F1318" t="inlineStr">
        <is>
          <t>Holmen skog AB</t>
        </is>
      </c>
      <c r="G1318" t="n">
        <v>35.4</v>
      </c>
      <c r="H1318" t="n">
        <v>0</v>
      </c>
      <c r="I1318" t="n">
        <v>0</v>
      </c>
      <c r="J1318" t="n">
        <v>0</v>
      </c>
      <c r="K1318" t="n">
        <v>0</v>
      </c>
      <c r="L1318" t="n">
        <v>0</v>
      </c>
      <c r="M1318" t="n">
        <v>0</v>
      </c>
      <c r="N1318" t="n">
        <v>0</v>
      </c>
      <c r="O1318" t="n">
        <v>0</v>
      </c>
      <c r="P1318" t="n">
        <v>0</v>
      </c>
      <c r="Q1318" t="n">
        <v>0</v>
      </c>
      <c r="R1318" s="2" t="inlineStr"/>
    </row>
    <row r="1319" ht="15" customHeight="1">
      <c r="A1319" t="inlineStr">
        <is>
          <t>A 1146-2019</t>
        </is>
      </c>
      <c r="B1319" s="1" t="n">
        <v>43472</v>
      </c>
      <c r="C1319" s="1" t="n">
        <v>45204</v>
      </c>
      <c r="D1319" t="inlineStr">
        <is>
          <t>VÄSTERBOTTENS LÄN</t>
        </is>
      </c>
      <c r="E1319" t="inlineStr">
        <is>
          <t>VILHELMINA</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3011-2019</t>
        </is>
      </c>
      <c r="B1320" s="1" t="n">
        <v>43472</v>
      </c>
      <c r="C1320" s="1" t="n">
        <v>45204</v>
      </c>
      <c r="D1320" t="inlineStr">
        <is>
          <t>VÄSTERBOTTENS LÄN</t>
        </is>
      </c>
      <c r="E1320" t="inlineStr">
        <is>
          <t>SKELLEFTEÅ</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1134-2019</t>
        </is>
      </c>
      <c r="B1321" s="1" t="n">
        <v>43472</v>
      </c>
      <c r="C1321" s="1" t="n">
        <v>45204</v>
      </c>
      <c r="D1321" t="inlineStr">
        <is>
          <t>VÄSTERBOTTENS LÄN</t>
        </is>
      </c>
      <c r="E1321" t="inlineStr">
        <is>
          <t>VILHELMINA</t>
        </is>
      </c>
      <c r="G1321" t="n">
        <v>23.7</v>
      </c>
      <c r="H1321" t="n">
        <v>0</v>
      </c>
      <c r="I1321" t="n">
        <v>0</v>
      </c>
      <c r="J1321" t="n">
        <v>0</v>
      </c>
      <c r="K1321" t="n">
        <v>0</v>
      </c>
      <c r="L1321" t="n">
        <v>0</v>
      </c>
      <c r="M1321" t="n">
        <v>0</v>
      </c>
      <c r="N1321" t="n">
        <v>0</v>
      </c>
      <c r="O1321" t="n">
        <v>0</v>
      </c>
      <c r="P1321" t="n">
        <v>0</v>
      </c>
      <c r="Q1321" t="n">
        <v>0</v>
      </c>
      <c r="R1321" s="2" t="inlineStr"/>
    </row>
    <row r="1322" ht="15" customHeight="1">
      <c r="A1322" t="inlineStr">
        <is>
          <t>A 1800-2019</t>
        </is>
      </c>
      <c r="B1322" s="1" t="n">
        <v>43472</v>
      </c>
      <c r="C1322" s="1" t="n">
        <v>45204</v>
      </c>
      <c r="D1322" t="inlineStr">
        <is>
          <t>VÄSTERBOTTENS LÄN</t>
        </is>
      </c>
      <c r="E1322" t="inlineStr">
        <is>
          <t>VILHELMINA</t>
        </is>
      </c>
      <c r="G1322" t="n">
        <v>0.3</v>
      </c>
      <c r="H1322" t="n">
        <v>0</v>
      </c>
      <c r="I1322" t="n">
        <v>0</v>
      </c>
      <c r="J1322" t="n">
        <v>0</v>
      </c>
      <c r="K1322" t="n">
        <v>0</v>
      </c>
      <c r="L1322" t="n">
        <v>0</v>
      </c>
      <c r="M1322" t="n">
        <v>0</v>
      </c>
      <c r="N1322" t="n">
        <v>0</v>
      </c>
      <c r="O1322" t="n">
        <v>0</v>
      </c>
      <c r="P1322" t="n">
        <v>0</v>
      </c>
      <c r="Q1322" t="n">
        <v>0</v>
      </c>
      <c r="R1322" s="2" t="inlineStr"/>
    </row>
    <row r="1323" ht="15" customHeight="1">
      <c r="A1323" t="inlineStr">
        <is>
          <t>A 2970-2019</t>
        </is>
      </c>
      <c r="B1323" s="1" t="n">
        <v>43472</v>
      </c>
      <c r="C1323" s="1" t="n">
        <v>45204</v>
      </c>
      <c r="D1323" t="inlineStr">
        <is>
          <t>VÄSTERBOTTENS LÄN</t>
        </is>
      </c>
      <c r="E1323" t="inlineStr">
        <is>
          <t>ROBERTSFORS</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795-2019</t>
        </is>
      </c>
      <c r="B1324" s="1" t="n">
        <v>43472</v>
      </c>
      <c r="C1324" s="1" t="n">
        <v>45204</v>
      </c>
      <c r="D1324" t="inlineStr">
        <is>
          <t>VÄSTERBOTTENS LÄN</t>
        </is>
      </c>
      <c r="E1324" t="inlineStr">
        <is>
          <t>VINDELN</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1141-2019</t>
        </is>
      </c>
      <c r="B1325" s="1" t="n">
        <v>43472</v>
      </c>
      <c r="C1325" s="1" t="n">
        <v>45204</v>
      </c>
      <c r="D1325" t="inlineStr">
        <is>
          <t>VÄSTERBOTTENS LÄN</t>
        </is>
      </c>
      <c r="E1325" t="inlineStr">
        <is>
          <t>VILHELMINA</t>
        </is>
      </c>
      <c r="G1325" t="n">
        <v>8.800000000000001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2943-2019</t>
        </is>
      </c>
      <c r="B1326" s="1" t="n">
        <v>43472</v>
      </c>
      <c r="C1326" s="1" t="n">
        <v>45204</v>
      </c>
      <c r="D1326" t="inlineStr">
        <is>
          <t>VÄSTERBOTTENS LÄN</t>
        </is>
      </c>
      <c r="E1326" t="inlineStr">
        <is>
          <t>SKELLEFTEÅ</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3141-2019</t>
        </is>
      </c>
      <c r="B1327" s="1" t="n">
        <v>43472</v>
      </c>
      <c r="C1327" s="1" t="n">
        <v>45204</v>
      </c>
      <c r="D1327" t="inlineStr">
        <is>
          <t>VÄSTERBOTTENS LÄN</t>
        </is>
      </c>
      <c r="E1327" t="inlineStr">
        <is>
          <t>SKELLEFTEÅ</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1142-2019</t>
        </is>
      </c>
      <c r="B1328" s="1" t="n">
        <v>43472</v>
      </c>
      <c r="C1328" s="1" t="n">
        <v>45204</v>
      </c>
      <c r="D1328" t="inlineStr">
        <is>
          <t>VÄSTERBOTTENS LÄN</t>
        </is>
      </c>
      <c r="E1328" t="inlineStr">
        <is>
          <t>DOROTEA</t>
        </is>
      </c>
      <c r="G1328" t="n">
        <v>7.7</v>
      </c>
      <c r="H1328" t="n">
        <v>0</v>
      </c>
      <c r="I1328" t="n">
        <v>0</v>
      </c>
      <c r="J1328" t="n">
        <v>0</v>
      </c>
      <c r="K1328" t="n">
        <v>0</v>
      </c>
      <c r="L1328" t="n">
        <v>0</v>
      </c>
      <c r="M1328" t="n">
        <v>0</v>
      </c>
      <c r="N1328" t="n">
        <v>0</v>
      </c>
      <c r="O1328" t="n">
        <v>0</v>
      </c>
      <c r="P1328" t="n">
        <v>0</v>
      </c>
      <c r="Q1328" t="n">
        <v>0</v>
      </c>
      <c r="R1328" s="2" t="inlineStr"/>
    </row>
    <row r="1329" ht="15" customHeight="1">
      <c r="A1329" t="inlineStr">
        <is>
          <t>A 1354-2019</t>
        </is>
      </c>
      <c r="B1329" s="1" t="n">
        <v>43473</v>
      </c>
      <c r="C1329" s="1" t="n">
        <v>45204</v>
      </c>
      <c r="D1329" t="inlineStr">
        <is>
          <t>VÄSTERBOTTENS LÄN</t>
        </is>
      </c>
      <c r="E1329" t="inlineStr">
        <is>
          <t>UMEÅ</t>
        </is>
      </c>
      <c r="F1329" t="inlineStr">
        <is>
          <t>Kommuner</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1542-2019</t>
        </is>
      </c>
      <c r="B1330" s="1" t="n">
        <v>43473</v>
      </c>
      <c r="C1330" s="1" t="n">
        <v>45204</v>
      </c>
      <c r="D1330" t="inlineStr">
        <is>
          <t>VÄSTERBOTTENS LÄN</t>
        </is>
      </c>
      <c r="E1330" t="inlineStr">
        <is>
          <t>BJURHOLM</t>
        </is>
      </c>
      <c r="G1330" t="n">
        <v>8.199999999999999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1258-2019</t>
        </is>
      </c>
      <c r="B1331" s="1" t="n">
        <v>43473</v>
      </c>
      <c r="C1331" s="1" t="n">
        <v>45204</v>
      </c>
      <c r="D1331" t="inlineStr">
        <is>
          <t>VÄSTERBOTTENS LÄN</t>
        </is>
      </c>
      <c r="E1331" t="inlineStr">
        <is>
          <t>SKELLEFTEÅ</t>
        </is>
      </c>
      <c r="F1331" t="inlineStr">
        <is>
          <t>Sveaskog</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1267-2019</t>
        </is>
      </c>
      <c r="B1332" s="1" t="n">
        <v>43473</v>
      </c>
      <c r="C1332" s="1" t="n">
        <v>45204</v>
      </c>
      <c r="D1332" t="inlineStr">
        <is>
          <t>VÄSTERBOTTENS LÄN</t>
        </is>
      </c>
      <c r="E1332" t="inlineStr">
        <is>
          <t>SKELLEFTEÅ</t>
        </is>
      </c>
      <c r="F1332" t="inlineStr">
        <is>
          <t>Sveaskog</t>
        </is>
      </c>
      <c r="G1332" t="n">
        <v>11.4</v>
      </c>
      <c r="H1332" t="n">
        <v>0</v>
      </c>
      <c r="I1332" t="n">
        <v>0</v>
      </c>
      <c r="J1332" t="n">
        <v>0</v>
      </c>
      <c r="K1332" t="n">
        <v>0</v>
      </c>
      <c r="L1332" t="n">
        <v>0</v>
      </c>
      <c r="M1332" t="n">
        <v>0</v>
      </c>
      <c r="N1332" t="n">
        <v>0</v>
      </c>
      <c r="O1332" t="n">
        <v>0</v>
      </c>
      <c r="P1332" t="n">
        <v>0</v>
      </c>
      <c r="Q1332" t="n">
        <v>0</v>
      </c>
      <c r="R1332" s="2" t="inlineStr"/>
    </row>
    <row r="1333" ht="15" customHeight="1">
      <c r="A1333" t="inlineStr">
        <is>
          <t>A 1463-2019</t>
        </is>
      </c>
      <c r="B1333" s="1" t="n">
        <v>43473</v>
      </c>
      <c r="C1333" s="1" t="n">
        <v>45204</v>
      </c>
      <c r="D1333" t="inlineStr">
        <is>
          <t>VÄSTERBOTTENS LÄN</t>
        </is>
      </c>
      <c r="E1333" t="inlineStr">
        <is>
          <t>SKELLEFTEÅ</t>
        </is>
      </c>
      <c r="G1333" t="n">
        <v>6.5</v>
      </c>
      <c r="H1333" t="n">
        <v>0</v>
      </c>
      <c r="I1333" t="n">
        <v>0</v>
      </c>
      <c r="J1333" t="n">
        <v>0</v>
      </c>
      <c r="K1333" t="n">
        <v>0</v>
      </c>
      <c r="L1333" t="n">
        <v>0</v>
      </c>
      <c r="M1333" t="n">
        <v>0</v>
      </c>
      <c r="N1333" t="n">
        <v>0</v>
      </c>
      <c r="O1333" t="n">
        <v>0</v>
      </c>
      <c r="P1333" t="n">
        <v>0</v>
      </c>
      <c r="Q1333" t="n">
        <v>0</v>
      </c>
      <c r="R1333" s="2" t="inlineStr"/>
    </row>
    <row r="1334" ht="15" customHeight="1">
      <c r="A1334" t="inlineStr">
        <is>
          <t>A 1540-2019</t>
        </is>
      </c>
      <c r="B1334" s="1" t="n">
        <v>43473</v>
      </c>
      <c r="C1334" s="1" t="n">
        <v>45204</v>
      </c>
      <c r="D1334" t="inlineStr">
        <is>
          <t>VÄSTERBOTTENS LÄN</t>
        </is>
      </c>
      <c r="E1334" t="inlineStr">
        <is>
          <t>BJURHOLM</t>
        </is>
      </c>
      <c r="G1334" t="n">
        <v>6.5</v>
      </c>
      <c r="H1334" t="n">
        <v>0</v>
      </c>
      <c r="I1334" t="n">
        <v>0</v>
      </c>
      <c r="J1334" t="n">
        <v>0</v>
      </c>
      <c r="K1334" t="n">
        <v>0</v>
      </c>
      <c r="L1334" t="n">
        <v>0</v>
      </c>
      <c r="M1334" t="n">
        <v>0</v>
      </c>
      <c r="N1334" t="n">
        <v>0</v>
      </c>
      <c r="O1334" t="n">
        <v>0</v>
      </c>
      <c r="P1334" t="n">
        <v>0</v>
      </c>
      <c r="Q1334" t="n">
        <v>0</v>
      </c>
      <c r="R1334" s="2" t="inlineStr"/>
    </row>
    <row r="1335" ht="15" customHeight="1">
      <c r="A1335" t="inlineStr">
        <is>
          <t>A 3206-2019</t>
        </is>
      </c>
      <c r="B1335" s="1" t="n">
        <v>43473</v>
      </c>
      <c r="C1335" s="1" t="n">
        <v>45204</v>
      </c>
      <c r="D1335" t="inlineStr">
        <is>
          <t>VÄSTERBOTTENS LÄN</t>
        </is>
      </c>
      <c r="E1335" t="inlineStr">
        <is>
          <t>NORSJÖ</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1160-2019</t>
        </is>
      </c>
      <c r="B1336" s="1" t="n">
        <v>43473</v>
      </c>
      <c r="C1336" s="1" t="n">
        <v>45204</v>
      </c>
      <c r="D1336" t="inlineStr">
        <is>
          <t>VÄSTERBOTTENS LÄN</t>
        </is>
      </c>
      <c r="E1336" t="inlineStr">
        <is>
          <t>ÅSELE</t>
        </is>
      </c>
      <c r="F1336" t="inlineStr">
        <is>
          <t>Sveaskog</t>
        </is>
      </c>
      <c r="G1336" t="n">
        <v>5.9</v>
      </c>
      <c r="H1336" t="n">
        <v>0</v>
      </c>
      <c r="I1336" t="n">
        <v>0</v>
      </c>
      <c r="J1336" t="n">
        <v>0</v>
      </c>
      <c r="K1336" t="n">
        <v>0</v>
      </c>
      <c r="L1336" t="n">
        <v>0</v>
      </c>
      <c r="M1336" t="n">
        <v>0</v>
      </c>
      <c r="N1336" t="n">
        <v>0</v>
      </c>
      <c r="O1336" t="n">
        <v>0</v>
      </c>
      <c r="P1336" t="n">
        <v>0</v>
      </c>
      <c r="Q1336" t="n">
        <v>0</v>
      </c>
      <c r="R1336" s="2" t="inlineStr"/>
    </row>
    <row r="1337" ht="15" customHeight="1">
      <c r="A1337" t="inlineStr">
        <is>
          <t>A 1245-2019</t>
        </is>
      </c>
      <c r="B1337" s="1" t="n">
        <v>43473</v>
      </c>
      <c r="C1337" s="1" t="n">
        <v>45204</v>
      </c>
      <c r="D1337" t="inlineStr">
        <is>
          <t>VÄSTERBOTTENS LÄN</t>
        </is>
      </c>
      <c r="E1337" t="inlineStr">
        <is>
          <t>SKELLEFTEÅ</t>
        </is>
      </c>
      <c r="F1337" t="inlineStr">
        <is>
          <t>Sveaskog</t>
        </is>
      </c>
      <c r="G1337" t="n">
        <v>6.6</v>
      </c>
      <c r="H1337" t="n">
        <v>0</v>
      </c>
      <c r="I1337" t="n">
        <v>0</v>
      </c>
      <c r="J1337" t="n">
        <v>0</v>
      </c>
      <c r="K1337" t="n">
        <v>0</v>
      </c>
      <c r="L1337" t="n">
        <v>0</v>
      </c>
      <c r="M1337" t="n">
        <v>0</v>
      </c>
      <c r="N1337" t="n">
        <v>0</v>
      </c>
      <c r="O1337" t="n">
        <v>0</v>
      </c>
      <c r="P1337" t="n">
        <v>0</v>
      </c>
      <c r="Q1337" t="n">
        <v>0</v>
      </c>
      <c r="R1337" s="2" t="inlineStr"/>
    </row>
    <row r="1338" ht="15" customHeight="1">
      <c r="A1338" t="inlineStr">
        <is>
          <t>A 1255-2019</t>
        </is>
      </c>
      <c r="B1338" s="1" t="n">
        <v>43473</v>
      </c>
      <c r="C1338" s="1" t="n">
        <v>45204</v>
      </c>
      <c r="D1338" t="inlineStr">
        <is>
          <t>VÄSTERBOTTENS LÄN</t>
        </is>
      </c>
      <c r="E1338" t="inlineStr">
        <is>
          <t>SKELLEFTEÅ</t>
        </is>
      </c>
      <c r="F1338" t="inlineStr">
        <is>
          <t>Sveaskog</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1271-2019</t>
        </is>
      </c>
      <c r="B1339" s="1" t="n">
        <v>43473</v>
      </c>
      <c r="C1339" s="1" t="n">
        <v>45204</v>
      </c>
      <c r="D1339" t="inlineStr">
        <is>
          <t>VÄSTERBOTTENS LÄN</t>
        </is>
      </c>
      <c r="E1339" t="inlineStr">
        <is>
          <t>LYCKSELE</t>
        </is>
      </c>
      <c r="G1339" t="n">
        <v>3.1</v>
      </c>
      <c r="H1339" t="n">
        <v>0</v>
      </c>
      <c r="I1339" t="n">
        <v>0</v>
      </c>
      <c r="J1339" t="n">
        <v>0</v>
      </c>
      <c r="K1339" t="n">
        <v>0</v>
      </c>
      <c r="L1339" t="n">
        <v>0</v>
      </c>
      <c r="M1339" t="n">
        <v>0</v>
      </c>
      <c r="N1339" t="n">
        <v>0</v>
      </c>
      <c r="O1339" t="n">
        <v>0</v>
      </c>
      <c r="P1339" t="n">
        <v>0</v>
      </c>
      <c r="Q1339" t="n">
        <v>0</v>
      </c>
      <c r="R1339" s="2" t="inlineStr"/>
    </row>
    <row r="1340" ht="15" customHeight="1">
      <c r="A1340" t="inlineStr">
        <is>
          <t>A 1430-2019</t>
        </is>
      </c>
      <c r="B1340" s="1" t="n">
        <v>43473</v>
      </c>
      <c r="C1340" s="1" t="n">
        <v>45204</v>
      </c>
      <c r="D1340" t="inlineStr">
        <is>
          <t>VÄSTERBOTTENS LÄN</t>
        </is>
      </c>
      <c r="E1340" t="inlineStr">
        <is>
          <t>BJURHOLM</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1473-2019</t>
        </is>
      </c>
      <c r="B1341" s="1" t="n">
        <v>43473</v>
      </c>
      <c r="C1341" s="1" t="n">
        <v>45204</v>
      </c>
      <c r="D1341" t="inlineStr">
        <is>
          <t>VÄSTERBOTTENS LÄN</t>
        </is>
      </c>
      <c r="E1341" t="inlineStr">
        <is>
          <t>BJURHOLM</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3172-2019</t>
        </is>
      </c>
      <c r="B1342" s="1" t="n">
        <v>43473</v>
      </c>
      <c r="C1342" s="1" t="n">
        <v>45204</v>
      </c>
      <c r="D1342" t="inlineStr">
        <is>
          <t>VÄSTERBOTTENS LÄN</t>
        </is>
      </c>
      <c r="E1342" t="inlineStr">
        <is>
          <t>SKELLEFTEÅ</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1206-2019</t>
        </is>
      </c>
      <c r="B1343" s="1" t="n">
        <v>43473</v>
      </c>
      <c r="C1343" s="1" t="n">
        <v>45204</v>
      </c>
      <c r="D1343" t="inlineStr">
        <is>
          <t>VÄSTERBOTTENS LÄN</t>
        </is>
      </c>
      <c r="E1343" t="inlineStr">
        <is>
          <t>SKELLEFTEÅ</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1635-2019</t>
        </is>
      </c>
      <c r="B1344" s="1" t="n">
        <v>43474</v>
      </c>
      <c r="C1344" s="1" t="n">
        <v>45204</v>
      </c>
      <c r="D1344" t="inlineStr">
        <is>
          <t>VÄSTERBOTTENS LÄN</t>
        </is>
      </c>
      <c r="E1344" t="inlineStr">
        <is>
          <t>UMEÅ</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1692-2019</t>
        </is>
      </c>
      <c r="B1345" s="1" t="n">
        <v>43474</v>
      </c>
      <c r="C1345" s="1" t="n">
        <v>45204</v>
      </c>
      <c r="D1345" t="inlineStr">
        <is>
          <t>VÄSTERBOTTENS LÄN</t>
        </is>
      </c>
      <c r="E1345" t="inlineStr">
        <is>
          <t>STORUMAN</t>
        </is>
      </c>
      <c r="G1345" t="n">
        <v>5.9</v>
      </c>
      <c r="H1345" t="n">
        <v>0</v>
      </c>
      <c r="I1345" t="n">
        <v>0</v>
      </c>
      <c r="J1345" t="n">
        <v>0</v>
      </c>
      <c r="K1345" t="n">
        <v>0</v>
      </c>
      <c r="L1345" t="n">
        <v>0</v>
      </c>
      <c r="M1345" t="n">
        <v>0</v>
      </c>
      <c r="N1345" t="n">
        <v>0</v>
      </c>
      <c r="O1345" t="n">
        <v>0</v>
      </c>
      <c r="P1345" t="n">
        <v>0</v>
      </c>
      <c r="Q1345" t="n">
        <v>0</v>
      </c>
      <c r="R1345" s="2" t="inlineStr"/>
    </row>
    <row r="1346" ht="15" customHeight="1">
      <c r="A1346" t="inlineStr">
        <is>
          <t>A 1565-2019</t>
        </is>
      </c>
      <c r="B1346" s="1" t="n">
        <v>43474</v>
      </c>
      <c r="C1346" s="1" t="n">
        <v>45204</v>
      </c>
      <c r="D1346" t="inlineStr">
        <is>
          <t>VÄSTERBOTTENS LÄN</t>
        </is>
      </c>
      <c r="E1346" t="inlineStr">
        <is>
          <t>SKELLEFTEÅ</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1673-2019</t>
        </is>
      </c>
      <c r="B1347" s="1" t="n">
        <v>43474</v>
      </c>
      <c r="C1347" s="1" t="n">
        <v>45204</v>
      </c>
      <c r="D1347" t="inlineStr">
        <is>
          <t>VÄSTERBOTTENS LÄN</t>
        </is>
      </c>
      <c r="E1347" t="inlineStr">
        <is>
          <t>SKELLEFTEÅ</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1803-2019</t>
        </is>
      </c>
      <c r="B1348" s="1" t="n">
        <v>43474</v>
      </c>
      <c r="C1348" s="1" t="n">
        <v>45204</v>
      </c>
      <c r="D1348" t="inlineStr">
        <is>
          <t>VÄSTERBOTTENS LÄN</t>
        </is>
      </c>
      <c r="E1348" t="inlineStr">
        <is>
          <t>UMEÅ</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1938-2019</t>
        </is>
      </c>
      <c r="B1349" s="1" t="n">
        <v>43475</v>
      </c>
      <c r="C1349" s="1" t="n">
        <v>45204</v>
      </c>
      <c r="D1349" t="inlineStr">
        <is>
          <t>VÄSTERBOTTENS LÄN</t>
        </is>
      </c>
      <c r="E1349" t="inlineStr">
        <is>
          <t>UMEÅ</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2296-2019</t>
        </is>
      </c>
      <c r="B1350" s="1" t="n">
        <v>43475</v>
      </c>
      <c r="C1350" s="1" t="n">
        <v>45204</v>
      </c>
      <c r="D1350" t="inlineStr">
        <is>
          <t>VÄSTERBOTTENS LÄN</t>
        </is>
      </c>
      <c r="E1350" t="inlineStr">
        <is>
          <t>VILHELMINA</t>
        </is>
      </c>
      <c r="G1350" t="n">
        <v>61.9</v>
      </c>
      <c r="H1350" t="n">
        <v>0</v>
      </c>
      <c r="I1350" t="n">
        <v>0</v>
      </c>
      <c r="J1350" t="n">
        <v>0</v>
      </c>
      <c r="K1350" t="n">
        <v>0</v>
      </c>
      <c r="L1350" t="n">
        <v>0</v>
      </c>
      <c r="M1350" t="n">
        <v>0</v>
      </c>
      <c r="N1350" t="n">
        <v>0</v>
      </c>
      <c r="O1350" t="n">
        <v>0</v>
      </c>
      <c r="P1350" t="n">
        <v>0</v>
      </c>
      <c r="Q1350" t="n">
        <v>0</v>
      </c>
      <c r="R1350" s="2" t="inlineStr"/>
    </row>
    <row r="1351" ht="15" customHeight="1">
      <c r="A1351" t="inlineStr">
        <is>
          <t>A 2009-2019</t>
        </is>
      </c>
      <c r="B1351" s="1" t="n">
        <v>43475</v>
      </c>
      <c r="C1351" s="1" t="n">
        <v>45204</v>
      </c>
      <c r="D1351" t="inlineStr">
        <is>
          <t>VÄSTERBOTTENS LÄN</t>
        </is>
      </c>
      <c r="E1351" t="inlineStr">
        <is>
          <t>LYCKSELE</t>
        </is>
      </c>
      <c r="G1351" t="n">
        <v>6</v>
      </c>
      <c r="H1351" t="n">
        <v>0</v>
      </c>
      <c r="I1351" t="n">
        <v>0</v>
      </c>
      <c r="J1351" t="n">
        <v>0</v>
      </c>
      <c r="K1351" t="n">
        <v>0</v>
      </c>
      <c r="L1351" t="n">
        <v>0</v>
      </c>
      <c r="M1351" t="n">
        <v>0</v>
      </c>
      <c r="N1351" t="n">
        <v>0</v>
      </c>
      <c r="O1351" t="n">
        <v>0</v>
      </c>
      <c r="P1351" t="n">
        <v>0</v>
      </c>
      <c r="Q1351" t="n">
        <v>0</v>
      </c>
      <c r="R1351" s="2" t="inlineStr"/>
    </row>
    <row r="1352" ht="15" customHeight="1">
      <c r="A1352" t="inlineStr">
        <is>
          <t>A 2195-2019</t>
        </is>
      </c>
      <c r="B1352" s="1" t="n">
        <v>43475</v>
      </c>
      <c r="C1352" s="1" t="n">
        <v>45204</v>
      </c>
      <c r="D1352" t="inlineStr">
        <is>
          <t>VÄSTERBOTTENS LÄN</t>
        </is>
      </c>
      <c r="E1352" t="inlineStr">
        <is>
          <t>SKELLEFTEÅ</t>
        </is>
      </c>
      <c r="G1352" t="n">
        <v>11.4</v>
      </c>
      <c r="H1352" t="n">
        <v>0</v>
      </c>
      <c r="I1352" t="n">
        <v>0</v>
      </c>
      <c r="J1352" t="n">
        <v>0</v>
      </c>
      <c r="K1352" t="n">
        <v>0</v>
      </c>
      <c r="L1352" t="n">
        <v>0</v>
      </c>
      <c r="M1352" t="n">
        <v>0</v>
      </c>
      <c r="N1352" t="n">
        <v>0</v>
      </c>
      <c r="O1352" t="n">
        <v>0</v>
      </c>
      <c r="P1352" t="n">
        <v>0</v>
      </c>
      <c r="Q1352" t="n">
        <v>0</v>
      </c>
      <c r="R1352" s="2" t="inlineStr"/>
    </row>
    <row r="1353" ht="15" customHeight="1">
      <c r="A1353" t="inlineStr">
        <is>
          <t>A 3884-2019</t>
        </is>
      </c>
      <c r="B1353" s="1" t="n">
        <v>43475</v>
      </c>
      <c r="C1353" s="1" t="n">
        <v>45204</v>
      </c>
      <c r="D1353" t="inlineStr">
        <is>
          <t>VÄSTERBOTTENS LÄN</t>
        </is>
      </c>
      <c r="E1353" t="inlineStr">
        <is>
          <t>DOROTEA</t>
        </is>
      </c>
      <c r="F1353" t="inlineStr">
        <is>
          <t>SCA</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2194-2019</t>
        </is>
      </c>
      <c r="B1354" s="1" t="n">
        <v>43475</v>
      </c>
      <c r="C1354" s="1" t="n">
        <v>45204</v>
      </c>
      <c r="D1354" t="inlineStr">
        <is>
          <t>VÄSTERBOTTENS LÄN</t>
        </is>
      </c>
      <c r="E1354" t="inlineStr">
        <is>
          <t>UMEÅ</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2268-2019</t>
        </is>
      </c>
      <c r="B1355" s="1" t="n">
        <v>43475</v>
      </c>
      <c r="C1355" s="1" t="n">
        <v>45204</v>
      </c>
      <c r="D1355" t="inlineStr">
        <is>
          <t>VÄSTERBOTTENS LÄN</t>
        </is>
      </c>
      <c r="E1355" t="inlineStr">
        <is>
          <t>UMEÅ</t>
        </is>
      </c>
      <c r="G1355" t="n">
        <v>6.1</v>
      </c>
      <c r="H1355" t="n">
        <v>0</v>
      </c>
      <c r="I1355" t="n">
        <v>0</v>
      </c>
      <c r="J1355" t="n">
        <v>0</v>
      </c>
      <c r="K1355" t="n">
        <v>0</v>
      </c>
      <c r="L1355" t="n">
        <v>0</v>
      </c>
      <c r="M1355" t="n">
        <v>0</v>
      </c>
      <c r="N1355" t="n">
        <v>0</v>
      </c>
      <c r="O1355" t="n">
        <v>0</v>
      </c>
      <c r="P1355" t="n">
        <v>0</v>
      </c>
      <c r="Q1355" t="n">
        <v>0</v>
      </c>
      <c r="R1355" s="2" t="inlineStr"/>
    </row>
    <row r="1356" ht="15" customHeight="1">
      <c r="A1356" t="inlineStr">
        <is>
          <t>A 2300-2019</t>
        </is>
      </c>
      <c r="B1356" s="1" t="n">
        <v>43475</v>
      </c>
      <c r="C1356" s="1" t="n">
        <v>45204</v>
      </c>
      <c r="D1356" t="inlineStr">
        <is>
          <t>VÄSTERBOTTENS LÄN</t>
        </is>
      </c>
      <c r="E1356" t="inlineStr">
        <is>
          <t>DOROTEA</t>
        </is>
      </c>
      <c r="G1356" t="n">
        <v>10.2</v>
      </c>
      <c r="H1356" t="n">
        <v>0</v>
      </c>
      <c r="I1356" t="n">
        <v>0</v>
      </c>
      <c r="J1356" t="n">
        <v>0</v>
      </c>
      <c r="K1356" t="n">
        <v>0</v>
      </c>
      <c r="L1356" t="n">
        <v>0</v>
      </c>
      <c r="M1356" t="n">
        <v>0</v>
      </c>
      <c r="N1356" t="n">
        <v>0</v>
      </c>
      <c r="O1356" t="n">
        <v>0</v>
      </c>
      <c r="P1356" t="n">
        <v>0</v>
      </c>
      <c r="Q1356" t="n">
        <v>0</v>
      </c>
      <c r="R1356" s="2" t="inlineStr"/>
    </row>
    <row r="1357" ht="15" customHeight="1">
      <c r="A1357" t="inlineStr">
        <is>
          <t>A 2351-2019</t>
        </is>
      </c>
      <c r="B1357" s="1" t="n">
        <v>43476</v>
      </c>
      <c r="C1357" s="1" t="n">
        <v>45204</v>
      </c>
      <c r="D1357" t="inlineStr">
        <is>
          <t>VÄSTERBOTTENS LÄN</t>
        </is>
      </c>
      <c r="E1357" t="inlineStr">
        <is>
          <t>VILHELMINA</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2368-2019</t>
        </is>
      </c>
      <c r="B1358" s="1" t="n">
        <v>43476</v>
      </c>
      <c r="C1358" s="1" t="n">
        <v>45204</v>
      </c>
      <c r="D1358" t="inlineStr">
        <is>
          <t>VÄSTERBOTTENS LÄN</t>
        </is>
      </c>
      <c r="E1358" t="inlineStr">
        <is>
          <t>VINDELN</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4233-2019</t>
        </is>
      </c>
      <c r="B1359" s="1" t="n">
        <v>43476</v>
      </c>
      <c r="C1359" s="1" t="n">
        <v>45204</v>
      </c>
      <c r="D1359" t="inlineStr">
        <is>
          <t>VÄSTERBOTTENS LÄN</t>
        </is>
      </c>
      <c r="E1359" t="inlineStr">
        <is>
          <t>NORDMALING</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2379-2019</t>
        </is>
      </c>
      <c r="B1360" s="1" t="n">
        <v>43476</v>
      </c>
      <c r="C1360" s="1" t="n">
        <v>45204</v>
      </c>
      <c r="D1360" t="inlineStr">
        <is>
          <t>VÄSTERBOTTENS LÄN</t>
        </is>
      </c>
      <c r="E1360" t="inlineStr">
        <is>
          <t>ROBERTSFORS</t>
        </is>
      </c>
      <c r="G1360" t="n">
        <v>5.9</v>
      </c>
      <c r="H1360" t="n">
        <v>0</v>
      </c>
      <c r="I1360" t="n">
        <v>0</v>
      </c>
      <c r="J1360" t="n">
        <v>0</v>
      </c>
      <c r="K1360" t="n">
        <v>0</v>
      </c>
      <c r="L1360" t="n">
        <v>0</v>
      </c>
      <c r="M1360" t="n">
        <v>0</v>
      </c>
      <c r="N1360" t="n">
        <v>0</v>
      </c>
      <c r="O1360" t="n">
        <v>0</v>
      </c>
      <c r="P1360" t="n">
        <v>0</v>
      </c>
      <c r="Q1360" t="n">
        <v>0</v>
      </c>
      <c r="R1360" s="2" t="inlineStr"/>
    </row>
    <row r="1361" ht="15" customHeight="1">
      <c r="A1361" t="inlineStr">
        <is>
          <t>A 2400-2019</t>
        </is>
      </c>
      <c r="B1361" s="1" t="n">
        <v>43476</v>
      </c>
      <c r="C1361" s="1" t="n">
        <v>45204</v>
      </c>
      <c r="D1361" t="inlineStr">
        <is>
          <t>VÄSTERBOTTENS LÄN</t>
        </is>
      </c>
      <c r="E1361" t="inlineStr">
        <is>
          <t>VINDELN</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2596-2019</t>
        </is>
      </c>
      <c r="B1362" s="1" t="n">
        <v>43476</v>
      </c>
      <c r="C1362" s="1" t="n">
        <v>45204</v>
      </c>
      <c r="D1362" t="inlineStr">
        <is>
          <t>VÄSTERBOTTENS LÄN</t>
        </is>
      </c>
      <c r="E1362" t="inlineStr">
        <is>
          <t>VILHELMINA</t>
        </is>
      </c>
      <c r="G1362" t="n">
        <v>61.9</v>
      </c>
      <c r="H1362" t="n">
        <v>0</v>
      </c>
      <c r="I1362" t="n">
        <v>0</v>
      </c>
      <c r="J1362" t="n">
        <v>0</v>
      </c>
      <c r="K1362" t="n">
        <v>0</v>
      </c>
      <c r="L1362" t="n">
        <v>0</v>
      </c>
      <c r="M1362" t="n">
        <v>0</v>
      </c>
      <c r="N1362" t="n">
        <v>0</v>
      </c>
      <c r="O1362" t="n">
        <v>0</v>
      </c>
      <c r="P1362" t="n">
        <v>0</v>
      </c>
      <c r="Q1362" t="n">
        <v>0</v>
      </c>
      <c r="R1362" s="2" t="inlineStr"/>
    </row>
    <row r="1363" ht="15" customHeight="1">
      <c r="A1363" t="inlineStr">
        <is>
          <t>A 4175-2019</t>
        </is>
      </c>
      <c r="B1363" s="1" t="n">
        <v>43476</v>
      </c>
      <c r="C1363" s="1" t="n">
        <v>45204</v>
      </c>
      <c r="D1363" t="inlineStr">
        <is>
          <t>VÄSTERBOTTENS LÄN</t>
        </is>
      </c>
      <c r="E1363" t="inlineStr">
        <is>
          <t>UMEÅ</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2597-2019</t>
        </is>
      </c>
      <c r="B1364" s="1" t="n">
        <v>43476</v>
      </c>
      <c r="C1364" s="1" t="n">
        <v>45204</v>
      </c>
      <c r="D1364" t="inlineStr">
        <is>
          <t>VÄSTERBOTTENS LÄN</t>
        </is>
      </c>
      <c r="E1364" t="inlineStr">
        <is>
          <t>VINDELN</t>
        </is>
      </c>
      <c r="G1364" t="n">
        <v>14.5</v>
      </c>
      <c r="H1364" t="n">
        <v>0</v>
      </c>
      <c r="I1364" t="n">
        <v>0</v>
      </c>
      <c r="J1364" t="n">
        <v>0</v>
      </c>
      <c r="K1364" t="n">
        <v>0</v>
      </c>
      <c r="L1364" t="n">
        <v>0</v>
      </c>
      <c r="M1364" t="n">
        <v>0</v>
      </c>
      <c r="N1364" t="n">
        <v>0</v>
      </c>
      <c r="O1364" t="n">
        <v>0</v>
      </c>
      <c r="P1364" t="n">
        <v>0</v>
      </c>
      <c r="Q1364" t="n">
        <v>0</v>
      </c>
      <c r="R1364" s="2" t="inlineStr"/>
    </row>
    <row r="1365" ht="15" customHeight="1">
      <c r="A1365" t="inlineStr">
        <is>
          <t>A 4238-2019</t>
        </is>
      </c>
      <c r="B1365" s="1" t="n">
        <v>43476</v>
      </c>
      <c r="C1365" s="1" t="n">
        <v>45204</v>
      </c>
      <c r="D1365" t="inlineStr">
        <is>
          <t>VÄSTERBOTTENS LÄN</t>
        </is>
      </c>
      <c r="E1365" t="inlineStr">
        <is>
          <t>NORDMALING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2871-2019</t>
        </is>
      </c>
      <c r="B1366" s="1" t="n">
        <v>43479</v>
      </c>
      <c r="C1366" s="1" t="n">
        <v>45204</v>
      </c>
      <c r="D1366" t="inlineStr">
        <is>
          <t>VÄSTERBOTTENS LÄN</t>
        </is>
      </c>
      <c r="E1366" t="inlineStr">
        <is>
          <t>SKELLEFTEÅ</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3094-2019</t>
        </is>
      </c>
      <c r="B1367" s="1" t="n">
        <v>43479</v>
      </c>
      <c r="C1367" s="1" t="n">
        <v>45204</v>
      </c>
      <c r="D1367" t="inlineStr">
        <is>
          <t>VÄSTERBOTTENS LÄN</t>
        </is>
      </c>
      <c r="E1367" t="inlineStr">
        <is>
          <t>VILHELMINA</t>
        </is>
      </c>
      <c r="G1367" t="n">
        <v>39.5</v>
      </c>
      <c r="H1367" t="n">
        <v>0</v>
      </c>
      <c r="I1367" t="n">
        <v>0</v>
      </c>
      <c r="J1367" t="n">
        <v>0</v>
      </c>
      <c r="K1367" t="n">
        <v>0</v>
      </c>
      <c r="L1367" t="n">
        <v>0</v>
      </c>
      <c r="M1367" t="n">
        <v>0</v>
      </c>
      <c r="N1367" t="n">
        <v>0</v>
      </c>
      <c r="O1367" t="n">
        <v>0</v>
      </c>
      <c r="P1367" t="n">
        <v>0</v>
      </c>
      <c r="Q1367" t="n">
        <v>0</v>
      </c>
      <c r="R1367" s="2" t="inlineStr"/>
    </row>
    <row r="1368" ht="15" customHeight="1">
      <c r="A1368" t="inlineStr">
        <is>
          <t>A 3104-2019</t>
        </is>
      </c>
      <c r="B1368" s="1" t="n">
        <v>43479</v>
      </c>
      <c r="C1368" s="1" t="n">
        <v>45204</v>
      </c>
      <c r="D1368" t="inlineStr">
        <is>
          <t>VÄSTERBOTTENS LÄN</t>
        </is>
      </c>
      <c r="E1368" t="inlineStr">
        <is>
          <t>LYCKSELE</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4649-2019</t>
        </is>
      </c>
      <c r="B1369" s="1" t="n">
        <v>43479</v>
      </c>
      <c r="C1369" s="1" t="n">
        <v>45204</v>
      </c>
      <c r="D1369" t="inlineStr">
        <is>
          <t>VÄSTERBOTTENS LÄN</t>
        </is>
      </c>
      <c r="E1369" t="inlineStr">
        <is>
          <t>SKELLEFTEÅ</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2742-2019</t>
        </is>
      </c>
      <c r="B1370" s="1" t="n">
        <v>43479</v>
      </c>
      <c r="C1370" s="1" t="n">
        <v>45204</v>
      </c>
      <c r="D1370" t="inlineStr">
        <is>
          <t>VÄSTERBOTTENS LÄN</t>
        </is>
      </c>
      <c r="E1370" t="inlineStr">
        <is>
          <t>STORUMAN</t>
        </is>
      </c>
      <c r="F1370" t="inlineStr">
        <is>
          <t>Sveaskog</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2758-2019</t>
        </is>
      </c>
      <c r="B1371" s="1" t="n">
        <v>43479</v>
      </c>
      <c r="C1371" s="1" t="n">
        <v>45204</v>
      </c>
      <c r="D1371" t="inlineStr">
        <is>
          <t>VÄSTERBOTTENS LÄN</t>
        </is>
      </c>
      <c r="E1371" t="inlineStr">
        <is>
          <t>STORUMAN</t>
        </is>
      </c>
      <c r="F1371" t="inlineStr">
        <is>
          <t>Sveaskog</t>
        </is>
      </c>
      <c r="G1371" t="n">
        <v>7.7</v>
      </c>
      <c r="H1371" t="n">
        <v>0</v>
      </c>
      <c r="I1371" t="n">
        <v>0</v>
      </c>
      <c r="J1371" t="n">
        <v>0</v>
      </c>
      <c r="K1371" t="n">
        <v>0</v>
      </c>
      <c r="L1371" t="n">
        <v>0</v>
      </c>
      <c r="M1371" t="n">
        <v>0</v>
      </c>
      <c r="N1371" t="n">
        <v>0</v>
      </c>
      <c r="O1371" t="n">
        <v>0</v>
      </c>
      <c r="P1371" t="n">
        <v>0</v>
      </c>
      <c r="Q1371" t="n">
        <v>0</v>
      </c>
      <c r="R1371" s="2" t="inlineStr"/>
    </row>
    <row r="1372" ht="15" customHeight="1">
      <c r="A1372" t="inlineStr">
        <is>
          <t>A 2921-2019</t>
        </is>
      </c>
      <c r="B1372" s="1" t="n">
        <v>43479</v>
      </c>
      <c r="C1372" s="1" t="n">
        <v>45204</v>
      </c>
      <c r="D1372" t="inlineStr">
        <is>
          <t>VÄSTERBOTTENS LÄN</t>
        </is>
      </c>
      <c r="E1372" t="inlineStr">
        <is>
          <t>SKELLEFTEÅ</t>
        </is>
      </c>
      <c r="G1372" t="n">
        <v>10.8</v>
      </c>
      <c r="H1372" t="n">
        <v>0</v>
      </c>
      <c r="I1372" t="n">
        <v>0</v>
      </c>
      <c r="J1372" t="n">
        <v>0</v>
      </c>
      <c r="K1372" t="n">
        <v>0</v>
      </c>
      <c r="L1372" t="n">
        <v>0</v>
      </c>
      <c r="M1372" t="n">
        <v>0</v>
      </c>
      <c r="N1372" t="n">
        <v>0</v>
      </c>
      <c r="O1372" t="n">
        <v>0</v>
      </c>
      <c r="P1372" t="n">
        <v>0</v>
      </c>
      <c r="Q1372" t="n">
        <v>0</v>
      </c>
      <c r="R1372" s="2" t="inlineStr"/>
    </row>
    <row r="1373" ht="15" customHeight="1">
      <c r="A1373" t="inlineStr">
        <is>
          <t>A 4643-2019</t>
        </is>
      </c>
      <c r="B1373" s="1" t="n">
        <v>43479</v>
      </c>
      <c r="C1373" s="1" t="n">
        <v>45204</v>
      </c>
      <c r="D1373" t="inlineStr">
        <is>
          <t>VÄSTERBOTTENS LÄN</t>
        </is>
      </c>
      <c r="E1373" t="inlineStr">
        <is>
          <t>SKELLEFTEÅ</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4668-2019</t>
        </is>
      </c>
      <c r="B1374" s="1" t="n">
        <v>43479</v>
      </c>
      <c r="C1374" s="1" t="n">
        <v>45204</v>
      </c>
      <c r="D1374" t="inlineStr">
        <is>
          <t>VÄSTERBOTTENS LÄN</t>
        </is>
      </c>
      <c r="E1374" t="inlineStr">
        <is>
          <t>SKELLEFTEÅ</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4928-2019</t>
        </is>
      </c>
      <c r="B1375" s="1" t="n">
        <v>43479</v>
      </c>
      <c r="C1375" s="1" t="n">
        <v>45204</v>
      </c>
      <c r="D1375" t="inlineStr">
        <is>
          <t>VÄSTERBOTTENS LÄN</t>
        </is>
      </c>
      <c r="E1375" t="inlineStr">
        <is>
          <t>ÅSELE</t>
        </is>
      </c>
      <c r="G1375" t="n">
        <v>7.4</v>
      </c>
      <c r="H1375" t="n">
        <v>0</v>
      </c>
      <c r="I1375" t="n">
        <v>0</v>
      </c>
      <c r="J1375" t="n">
        <v>0</v>
      </c>
      <c r="K1375" t="n">
        <v>0</v>
      </c>
      <c r="L1375" t="n">
        <v>0</v>
      </c>
      <c r="M1375" t="n">
        <v>0</v>
      </c>
      <c r="N1375" t="n">
        <v>0</v>
      </c>
      <c r="O1375" t="n">
        <v>0</v>
      </c>
      <c r="P1375" t="n">
        <v>0</v>
      </c>
      <c r="Q1375" t="n">
        <v>0</v>
      </c>
      <c r="R1375" s="2" t="inlineStr"/>
    </row>
    <row r="1376" ht="15" customHeight="1">
      <c r="A1376" t="inlineStr">
        <is>
          <t>A 4653-2019</t>
        </is>
      </c>
      <c r="B1376" s="1" t="n">
        <v>43479</v>
      </c>
      <c r="C1376" s="1" t="n">
        <v>45204</v>
      </c>
      <c r="D1376" t="inlineStr">
        <is>
          <t>VÄSTERBOTTENS LÄN</t>
        </is>
      </c>
      <c r="E1376" t="inlineStr">
        <is>
          <t>SKELLEFTEÅ</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4647-2019</t>
        </is>
      </c>
      <c r="B1377" s="1" t="n">
        <v>43479</v>
      </c>
      <c r="C1377" s="1" t="n">
        <v>45204</v>
      </c>
      <c r="D1377" t="inlineStr">
        <is>
          <t>VÄSTERBOTTENS LÄN</t>
        </is>
      </c>
      <c r="E1377" t="inlineStr">
        <is>
          <t>SKELLEFTEÅ</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3395-2019</t>
        </is>
      </c>
      <c r="B1378" s="1" t="n">
        <v>43480</v>
      </c>
      <c r="C1378" s="1" t="n">
        <v>45204</v>
      </c>
      <c r="D1378" t="inlineStr">
        <is>
          <t>VÄSTERBOTTENS LÄN</t>
        </is>
      </c>
      <c r="E1378" t="inlineStr">
        <is>
          <t>VILHELMINA</t>
        </is>
      </c>
      <c r="F1378" t="inlineStr">
        <is>
          <t>SCA</t>
        </is>
      </c>
      <c r="G1378" t="n">
        <v>5.8</v>
      </c>
      <c r="H1378" t="n">
        <v>0</v>
      </c>
      <c r="I1378" t="n">
        <v>0</v>
      </c>
      <c r="J1378" t="n">
        <v>0</v>
      </c>
      <c r="K1378" t="n">
        <v>0</v>
      </c>
      <c r="L1378" t="n">
        <v>0</v>
      </c>
      <c r="M1378" t="n">
        <v>0</v>
      </c>
      <c r="N1378" t="n">
        <v>0</v>
      </c>
      <c r="O1378" t="n">
        <v>0</v>
      </c>
      <c r="P1378" t="n">
        <v>0</v>
      </c>
      <c r="Q1378" t="n">
        <v>0</v>
      </c>
      <c r="R1378" s="2" t="inlineStr"/>
    </row>
    <row r="1379" ht="15" customHeight="1">
      <c r="A1379" t="inlineStr">
        <is>
          <t>A 5226-2019</t>
        </is>
      </c>
      <c r="B1379" s="1" t="n">
        <v>43480</v>
      </c>
      <c r="C1379" s="1" t="n">
        <v>45204</v>
      </c>
      <c r="D1379" t="inlineStr">
        <is>
          <t>VÄSTERBOTTENS LÄN</t>
        </is>
      </c>
      <c r="E1379" t="inlineStr">
        <is>
          <t>LYCKSELE</t>
        </is>
      </c>
      <c r="G1379" t="n">
        <v>11.9</v>
      </c>
      <c r="H1379" t="n">
        <v>0</v>
      </c>
      <c r="I1379" t="n">
        <v>0</v>
      </c>
      <c r="J1379" t="n">
        <v>0</v>
      </c>
      <c r="K1379" t="n">
        <v>0</v>
      </c>
      <c r="L1379" t="n">
        <v>0</v>
      </c>
      <c r="M1379" t="n">
        <v>0</v>
      </c>
      <c r="N1379" t="n">
        <v>0</v>
      </c>
      <c r="O1379" t="n">
        <v>0</v>
      </c>
      <c r="P1379" t="n">
        <v>0</v>
      </c>
      <c r="Q1379" t="n">
        <v>0</v>
      </c>
      <c r="R1379" s="2" t="inlineStr"/>
    </row>
    <row r="1380" ht="15" customHeight="1">
      <c r="A1380" t="inlineStr">
        <is>
          <t>A 3396-2019</t>
        </is>
      </c>
      <c r="B1380" s="1" t="n">
        <v>43480</v>
      </c>
      <c r="C1380" s="1" t="n">
        <v>45204</v>
      </c>
      <c r="D1380" t="inlineStr">
        <is>
          <t>VÄSTERBOTTENS LÄN</t>
        </is>
      </c>
      <c r="E1380" t="inlineStr">
        <is>
          <t>VILHELMINA</t>
        </is>
      </c>
      <c r="F1380" t="inlineStr">
        <is>
          <t>SCA</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4977-2019</t>
        </is>
      </c>
      <c r="B1381" s="1" t="n">
        <v>43480</v>
      </c>
      <c r="C1381" s="1" t="n">
        <v>45204</v>
      </c>
      <c r="D1381" t="inlineStr">
        <is>
          <t>VÄSTERBOTTENS LÄN</t>
        </is>
      </c>
      <c r="E1381" t="inlineStr">
        <is>
          <t>SKELLEFTEÅ</t>
        </is>
      </c>
      <c r="G1381" t="n">
        <v>3</v>
      </c>
      <c r="H1381" t="n">
        <v>0</v>
      </c>
      <c r="I1381" t="n">
        <v>0</v>
      </c>
      <c r="J1381" t="n">
        <v>0</v>
      </c>
      <c r="K1381" t="n">
        <v>0</v>
      </c>
      <c r="L1381" t="n">
        <v>0</v>
      </c>
      <c r="M1381" t="n">
        <v>0</v>
      </c>
      <c r="N1381" t="n">
        <v>0</v>
      </c>
      <c r="O1381" t="n">
        <v>0</v>
      </c>
      <c r="P1381" t="n">
        <v>0</v>
      </c>
      <c r="Q1381" t="n">
        <v>0</v>
      </c>
      <c r="R1381" s="2" t="inlineStr"/>
    </row>
    <row r="1382" ht="15" customHeight="1">
      <c r="A1382" t="inlineStr">
        <is>
          <t>A 3394-2019</t>
        </is>
      </c>
      <c r="B1382" s="1" t="n">
        <v>43480</v>
      </c>
      <c r="C1382" s="1" t="n">
        <v>45204</v>
      </c>
      <c r="D1382" t="inlineStr">
        <is>
          <t>VÄSTERBOTTENS LÄN</t>
        </is>
      </c>
      <c r="E1382" t="inlineStr">
        <is>
          <t>VILHELMINA</t>
        </is>
      </c>
      <c r="F1382" t="inlineStr">
        <is>
          <t>SCA</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5220-2019</t>
        </is>
      </c>
      <c r="B1383" s="1" t="n">
        <v>43480</v>
      </c>
      <c r="C1383" s="1" t="n">
        <v>45204</v>
      </c>
      <c r="D1383" t="inlineStr">
        <is>
          <t>VÄSTERBOTTENS LÄN</t>
        </is>
      </c>
      <c r="E1383" t="inlineStr">
        <is>
          <t>LYCKSELE</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3545-2019</t>
        </is>
      </c>
      <c r="B1384" s="1" t="n">
        <v>43481</v>
      </c>
      <c r="C1384" s="1" t="n">
        <v>45204</v>
      </c>
      <c r="D1384" t="inlineStr">
        <is>
          <t>VÄSTERBOTTENS LÄN</t>
        </is>
      </c>
      <c r="E1384" t="inlineStr">
        <is>
          <t>STORUMAN</t>
        </is>
      </c>
      <c r="G1384" t="n">
        <v>22.9</v>
      </c>
      <c r="H1384" t="n">
        <v>0</v>
      </c>
      <c r="I1384" t="n">
        <v>0</v>
      </c>
      <c r="J1384" t="n">
        <v>0</v>
      </c>
      <c r="K1384" t="n">
        <v>0</v>
      </c>
      <c r="L1384" t="n">
        <v>0</v>
      </c>
      <c r="M1384" t="n">
        <v>0</v>
      </c>
      <c r="N1384" t="n">
        <v>0</v>
      </c>
      <c r="O1384" t="n">
        <v>0</v>
      </c>
      <c r="P1384" t="n">
        <v>0</v>
      </c>
      <c r="Q1384" t="n">
        <v>0</v>
      </c>
      <c r="R1384" s="2" t="inlineStr"/>
    </row>
    <row r="1385" ht="15" customHeight="1">
      <c r="A1385" t="inlineStr">
        <is>
          <t>A 5323-2019</t>
        </is>
      </c>
      <c r="B1385" s="1" t="n">
        <v>43481</v>
      </c>
      <c r="C1385" s="1" t="n">
        <v>45204</v>
      </c>
      <c r="D1385" t="inlineStr">
        <is>
          <t>VÄSTERBOTTENS LÄN</t>
        </is>
      </c>
      <c r="E1385" t="inlineStr">
        <is>
          <t>LYCKSELE</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5435-2019</t>
        </is>
      </c>
      <c r="B1386" s="1" t="n">
        <v>43481</v>
      </c>
      <c r="C1386" s="1" t="n">
        <v>45204</v>
      </c>
      <c r="D1386" t="inlineStr">
        <is>
          <t>VÄSTERBOTTENS LÄN</t>
        </is>
      </c>
      <c r="E1386" t="inlineStr">
        <is>
          <t>VINDELN</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5715-2019</t>
        </is>
      </c>
      <c r="B1387" s="1" t="n">
        <v>43481</v>
      </c>
      <c r="C1387" s="1" t="n">
        <v>45204</v>
      </c>
      <c r="D1387" t="inlineStr">
        <is>
          <t>VÄSTERBOTTENS LÄN</t>
        </is>
      </c>
      <c r="E1387" t="inlineStr">
        <is>
          <t>ROBERTSFORS</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5436-2019</t>
        </is>
      </c>
      <c r="B1388" s="1" t="n">
        <v>43481</v>
      </c>
      <c r="C1388" s="1" t="n">
        <v>45204</v>
      </c>
      <c r="D1388" t="inlineStr">
        <is>
          <t>VÄSTERBOTTENS LÄN</t>
        </is>
      </c>
      <c r="E1388" t="inlineStr">
        <is>
          <t>VINDELN</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3453-2019</t>
        </is>
      </c>
      <c r="B1389" s="1" t="n">
        <v>43481</v>
      </c>
      <c r="C1389" s="1" t="n">
        <v>45204</v>
      </c>
      <c r="D1389" t="inlineStr">
        <is>
          <t>VÄSTERBOTTENS LÄN</t>
        </is>
      </c>
      <c r="E1389" t="inlineStr">
        <is>
          <t>UMEÅ</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5714-2019</t>
        </is>
      </c>
      <c r="B1390" s="1" t="n">
        <v>43481</v>
      </c>
      <c r="C1390" s="1" t="n">
        <v>45204</v>
      </c>
      <c r="D1390" t="inlineStr">
        <is>
          <t>VÄSTERBOTTENS LÄN</t>
        </is>
      </c>
      <c r="E1390" t="inlineStr">
        <is>
          <t>ROBERTSFORS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5440-2019</t>
        </is>
      </c>
      <c r="B1391" s="1" t="n">
        <v>43481</v>
      </c>
      <c r="C1391" s="1" t="n">
        <v>45204</v>
      </c>
      <c r="D1391" t="inlineStr">
        <is>
          <t>VÄSTERBOTTENS LÄN</t>
        </is>
      </c>
      <c r="E1391" t="inlineStr">
        <is>
          <t>NORDMALING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4001-2019</t>
        </is>
      </c>
      <c r="B1392" s="1" t="n">
        <v>43482</v>
      </c>
      <c r="C1392" s="1" t="n">
        <v>45204</v>
      </c>
      <c r="D1392" t="inlineStr">
        <is>
          <t>VÄSTERBOTTENS LÄN</t>
        </is>
      </c>
      <c r="E1392" t="inlineStr">
        <is>
          <t>SORSELE</t>
        </is>
      </c>
      <c r="G1392" t="n">
        <v>16.1</v>
      </c>
      <c r="H1392" t="n">
        <v>0</v>
      </c>
      <c r="I1392" t="n">
        <v>0</v>
      </c>
      <c r="J1392" t="n">
        <v>0</v>
      </c>
      <c r="K1392" t="n">
        <v>0</v>
      </c>
      <c r="L1392" t="n">
        <v>0</v>
      </c>
      <c r="M1392" t="n">
        <v>0</v>
      </c>
      <c r="N1392" t="n">
        <v>0</v>
      </c>
      <c r="O1392" t="n">
        <v>0</v>
      </c>
      <c r="P1392" t="n">
        <v>0</v>
      </c>
      <c r="Q1392" t="n">
        <v>0</v>
      </c>
      <c r="R1392" s="2" t="inlineStr"/>
    </row>
    <row r="1393" ht="15" customHeight="1">
      <c r="A1393" t="inlineStr">
        <is>
          <t>A 4017-2019</t>
        </is>
      </c>
      <c r="B1393" s="1" t="n">
        <v>43482</v>
      </c>
      <c r="C1393" s="1" t="n">
        <v>45204</v>
      </c>
      <c r="D1393" t="inlineStr">
        <is>
          <t>VÄSTERBOTTENS LÄN</t>
        </is>
      </c>
      <c r="E1393" t="inlineStr">
        <is>
          <t>SORSELE</t>
        </is>
      </c>
      <c r="G1393" t="n">
        <v>15.2</v>
      </c>
      <c r="H1393" t="n">
        <v>0</v>
      </c>
      <c r="I1393" t="n">
        <v>0</v>
      </c>
      <c r="J1393" t="n">
        <v>0</v>
      </c>
      <c r="K1393" t="n">
        <v>0</v>
      </c>
      <c r="L1393" t="n">
        <v>0</v>
      </c>
      <c r="M1393" t="n">
        <v>0</v>
      </c>
      <c r="N1393" t="n">
        <v>0</v>
      </c>
      <c r="O1393" t="n">
        <v>0</v>
      </c>
      <c r="P1393" t="n">
        <v>0</v>
      </c>
      <c r="Q1393" t="n">
        <v>0</v>
      </c>
      <c r="R1393" s="2" t="inlineStr"/>
    </row>
    <row r="1394" ht="15" customHeight="1">
      <c r="A1394" t="inlineStr">
        <is>
          <t>A 4024-2019</t>
        </is>
      </c>
      <c r="B1394" s="1" t="n">
        <v>43482</v>
      </c>
      <c r="C1394" s="1" t="n">
        <v>45204</v>
      </c>
      <c r="D1394" t="inlineStr">
        <is>
          <t>VÄSTERBOTTENS LÄN</t>
        </is>
      </c>
      <c r="E1394" t="inlineStr">
        <is>
          <t>SORSELE</t>
        </is>
      </c>
      <c r="F1394" t="inlineStr">
        <is>
          <t>Övriga statliga verk och myndigheter</t>
        </is>
      </c>
      <c r="G1394" t="n">
        <v>20</v>
      </c>
      <c r="H1394" t="n">
        <v>0</v>
      </c>
      <c r="I1394" t="n">
        <v>0</v>
      </c>
      <c r="J1394" t="n">
        <v>0</v>
      </c>
      <c r="K1394" t="n">
        <v>0</v>
      </c>
      <c r="L1394" t="n">
        <v>0</v>
      </c>
      <c r="M1394" t="n">
        <v>0</v>
      </c>
      <c r="N1394" t="n">
        <v>0</v>
      </c>
      <c r="O1394" t="n">
        <v>0</v>
      </c>
      <c r="P1394" t="n">
        <v>0</v>
      </c>
      <c r="Q1394" t="n">
        <v>0</v>
      </c>
      <c r="R1394" s="2" t="inlineStr"/>
    </row>
    <row r="1395" ht="15" customHeight="1">
      <c r="A1395" t="inlineStr">
        <is>
          <t>A 4029-2019</t>
        </is>
      </c>
      <c r="B1395" s="1" t="n">
        <v>43482</v>
      </c>
      <c r="C1395" s="1" t="n">
        <v>45204</v>
      </c>
      <c r="D1395" t="inlineStr">
        <is>
          <t>VÄSTERBOTTENS LÄN</t>
        </is>
      </c>
      <c r="E1395" t="inlineStr">
        <is>
          <t>SORSELE</t>
        </is>
      </c>
      <c r="F1395" t="inlineStr">
        <is>
          <t>Övriga statliga verk och myndigheter</t>
        </is>
      </c>
      <c r="G1395" t="n">
        <v>19.5</v>
      </c>
      <c r="H1395" t="n">
        <v>0</v>
      </c>
      <c r="I1395" t="n">
        <v>0</v>
      </c>
      <c r="J1395" t="n">
        <v>0</v>
      </c>
      <c r="K1395" t="n">
        <v>0</v>
      </c>
      <c r="L1395" t="n">
        <v>0</v>
      </c>
      <c r="M1395" t="n">
        <v>0</v>
      </c>
      <c r="N1395" t="n">
        <v>0</v>
      </c>
      <c r="O1395" t="n">
        <v>0</v>
      </c>
      <c r="P1395" t="n">
        <v>0</v>
      </c>
      <c r="Q1395" t="n">
        <v>0</v>
      </c>
      <c r="R1395" s="2" t="inlineStr"/>
    </row>
    <row r="1396" ht="15" customHeight="1">
      <c r="A1396" t="inlineStr">
        <is>
          <t>A 4038-2019</t>
        </is>
      </c>
      <c r="B1396" s="1" t="n">
        <v>43482</v>
      </c>
      <c r="C1396" s="1" t="n">
        <v>45204</v>
      </c>
      <c r="D1396" t="inlineStr">
        <is>
          <t>VÄSTERBOTTENS LÄN</t>
        </is>
      </c>
      <c r="E1396" t="inlineStr">
        <is>
          <t>SORSELE</t>
        </is>
      </c>
      <c r="F1396" t="inlineStr">
        <is>
          <t>Övriga statliga verk och myndigheter</t>
        </is>
      </c>
      <c r="G1396" t="n">
        <v>19.3</v>
      </c>
      <c r="H1396" t="n">
        <v>0</v>
      </c>
      <c r="I1396" t="n">
        <v>0</v>
      </c>
      <c r="J1396" t="n">
        <v>0</v>
      </c>
      <c r="K1396" t="n">
        <v>0</v>
      </c>
      <c r="L1396" t="n">
        <v>0</v>
      </c>
      <c r="M1396" t="n">
        <v>0</v>
      </c>
      <c r="N1396" t="n">
        <v>0</v>
      </c>
      <c r="O1396" t="n">
        <v>0</v>
      </c>
      <c r="P1396" t="n">
        <v>0</v>
      </c>
      <c r="Q1396" t="n">
        <v>0</v>
      </c>
      <c r="R1396" s="2" t="inlineStr"/>
    </row>
    <row r="1397" ht="15" customHeight="1">
      <c r="A1397" t="inlineStr">
        <is>
          <t>A 5600-2019</t>
        </is>
      </c>
      <c r="B1397" s="1" t="n">
        <v>43482</v>
      </c>
      <c r="C1397" s="1" t="n">
        <v>45204</v>
      </c>
      <c r="D1397" t="inlineStr">
        <is>
          <t>VÄSTERBOTTENS LÄN</t>
        </is>
      </c>
      <c r="E1397" t="inlineStr">
        <is>
          <t>VINDELN</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3948-2019</t>
        </is>
      </c>
      <c r="B1398" s="1" t="n">
        <v>43482</v>
      </c>
      <c r="C1398" s="1" t="n">
        <v>45204</v>
      </c>
      <c r="D1398" t="inlineStr">
        <is>
          <t>VÄSTERBOTTENS LÄN</t>
        </is>
      </c>
      <c r="E1398" t="inlineStr">
        <is>
          <t>UMEÅ</t>
        </is>
      </c>
      <c r="F1398" t="inlineStr">
        <is>
          <t>Kommuner</t>
        </is>
      </c>
      <c r="G1398" t="n">
        <v>7.7</v>
      </c>
      <c r="H1398" t="n">
        <v>0</v>
      </c>
      <c r="I1398" t="n">
        <v>0</v>
      </c>
      <c r="J1398" t="n">
        <v>0</v>
      </c>
      <c r="K1398" t="n">
        <v>0</v>
      </c>
      <c r="L1398" t="n">
        <v>0</v>
      </c>
      <c r="M1398" t="n">
        <v>0</v>
      </c>
      <c r="N1398" t="n">
        <v>0</v>
      </c>
      <c r="O1398" t="n">
        <v>0</v>
      </c>
      <c r="P1398" t="n">
        <v>0</v>
      </c>
      <c r="Q1398" t="n">
        <v>0</v>
      </c>
      <c r="R1398" s="2" t="inlineStr"/>
    </row>
    <row r="1399" ht="15" customHeight="1">
      <c r="A1399" t="inlineStr">
        <is>
          <t>A 4007-2019</t>
        </is>
      </c>
      <c r="B1399" s="1" t="n">
        <v>43482</v>
      </c>
      <c r="C1399" s="1" t="n">
        <v>45204</v>
      </c>
      <c r="D1399" t="inlineStr">
        <is>
          <t>VÄSTERBOTTENS LÄN</t>
        </is>
      </c>
      <c r="E1399" t="inlineStr">
        <is>
          <t>SORSELE</t>
        </is>
      </c>
      <c r="F1399" t="inlineStr">
        <is>
          <t>Övriga statliga verk och myndigheter</t>
        </is>
      </c>
      <c r="G1399" t="n">
        <v>17.8</v>
      </c>
      <c r="H1399" t="n">
        <v>0</v>
      </c>
      <c r="I1399" t="n">
        <v>0</v>
      </c>
      <c r="J1399" t="n">
        <v>0</v>
      </c>
      <c r="K1399" t="n">
        <v>0</v>
      </c>
      <c r="L1399" t="n">
        <v>0</v>
      </c>
      <c r="M1399" t="n">
        <v>0</v>
      </c>
      <c r="N1399" t="n">
        <v>0</v>
      </c>
      <c r="O1399" t="n">
        <v>0</v>
      </c>
      <c r="P1399" t="n">
        <v>0</v>
      </c>
      <c r="Q1399" t="n">
        <v>0</v>
      </c>
      <c r="R1399" s="2" t="inlineStr"/>
    </row>
    <row r="1400" ht="15" customHeight="1">
      <c r="A1400" t="inlineStr">
        <is>
          <t>A 4042-2019</t>
        </is>
      </c>
      <c r="B1400" s="1" t="n">
        <v>43482</v>
      </c>
      <c r="C1400" s="1" t="n">
        <v>45204</v>
      </c>
      <c r="D1400" t="inlineStr">
        <is>
          <t>VÄSTERBOTTENS LÄN</t>
        </is>
      </c>
      <c r="E1400" t="inlineStr">
        <is>
          <t>SORSELE</t>
        </is>
      </c>
      <c r="F1400" t="inlineStr">
        <is>
          <t>Övriga statliga verk och myndigheter</t>
        </is>
      </c>
      <c r="G1400" t="n">
        <v>8.800000000000001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5755-2019</t>
        </is>
      </c>
      <c r="B1401" s="1" t="n">
        <v>43482</v>
      </c>
      <c r="C1401" s="1" t="n">
        <v>45204</v>
      </c>
      <c r="D1401" t="inlineStr">
        <is>
          <t>VÄSTERBOTTENS LÄN</t>
        </is>
      </c>
      <c r="E1401" t="inlineStr">
        <is>
          <t>SKELLEFTEÅ</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4030-2019</t>
        </is>
      </c>
      <c r="B1402" s="1" t="n">
        <v>43482</v>
      </c>
      <c r="C1402" s="1" t="n">
        <v>45204</v>
      </c>
      <c r="D1402" t="inlineStr">
        <is>
          <t>VÄSTERBOTTENS LÄN</t>
        </is>
      </c>
      <c r="E1402" t="inlineStr">
        <is>
          <t>SORSELE</t>
        </is>
      </c>
      <c r="F1402" t="inlineStr">
        <is>
          <t>Övriga statliga verk och myndigheter</t>
        </is>
      </c>
      <c r="G1402" t="n">
        <v>18.7</v>
      </c>
      <c r="H1402" t="n">
        <v>0</v>
      </c>
      <c r="I1402" t="n">
        <v>0</v>
      </c>
      <c r="J1402" t="n">
        <v>0</v>
      </c>
      <c r="K1402" t="n">
        <v>0</v>
      </c>
      <c r="L1402" t="n">
        <v>0</v>
      </c>
      <c r="M1402" t="n">
        <v>0</v>
      </c>
      <c r="N1402" t="n">
        <v>0</v>
      </c>
      <c r="O1402" t="n">
        <v>0</v>
      </c>
      <c r="P1402" t="n">
        <v>0</v>
      </c>
      <c r="Q1402" t="n">
        <v>0</v>
      </c>
      <c r="R1402" s="2" t="inlineStr"/>
    </row>
    <row r="1403" ht="15" customHeight="1">
      <c r="A1403" t="inlineStr">
        <is>
          <t>A 4035-2019</t>
        </is>
      </c>
      <c r="B1403" s="1" t="n">
        <v>43482</v>
      </c>
      <c r="C1403" s="1" t="n">
        <v>45204</v>
      </c>
      <c r="D1403" t="inlineStr">
        <is>
          <t>VÄSTERBOTTENS LÄN</t>
        </is>
      </c>
      <c r="E1403" t="inlineStr">
        <is>
          <t>SORSELE</t>
        </is>
      </c>
      <c r="F1403" t="inlineStr">
        <is>
          <t>Övriga statliga verk och myndigheter</t>
        </is>
      </c>
      <c r="G1403" t="n">
        <v>18.6</v>
      </c>
      <c r="H1403" t="n">
        <v>0</v>
      </c>
      <c r="I1403" t="n">
        <v>0</v>
      </c>
      <c r="J1403" t="n">
        <v>0</v>
      </c>
      <c r="K1403" t="n">
        <v>0</v>
      </c>
      <c r="L1403" t="n">
        <v>0</v>
      </c>
      <c r="M1403" t="n">
        <v>0</v>
      </c>
      <c r="N1403" t="n">
        <v>0</v>
      </c>
      <c r="O1403" t="n">
        <v>0</v>
      </c>
      <c r="P1403" t="n">
        <v>0</v>
      </c>
      <c r="Q1403" t="n">
        <v>0</v>
      </c>
      <c r="R1403" s="2" t="inlineStr"/>
    </row>
    <row r="1404" ht="15" customHeight="1">
      <c r="A1404" t="inlineStr">
        <is>
          <t>A 4039-2019</t>
        </is>
      </c>
      <c r="B1404" s="1" t="n">
        <v>43482</v>
      </c>
      <c r="C1404" s="1" t="n">
        <v>45204</v>
      </c>
      <c r="D1404" t="inlineStr">
        <is>
          <t>VÄSTERBOTTENS LÄN</t>
        </is>
      </c>
      <c r="E1404" t="inlineStr">
        <is>
          <t>SORSELE</t>
        </is>
      </c>
      <c r="F1404" t="inlineStr">
        <is>
          <t>Övriga statliga verk och myndigheter</t>
        </is>
      </c>
      <c r="G1404" t="n">
        <v>5.7</v>
      </c>
      <c r="H1404" t="n">
        <v>0</v>
      </c>
      <c r="I1404" t="n">
        <v>0</v>
      </c>
      <c r="J1404" t="n">
        <v>0</v>
      </c>
      <c r="K1404" t="n">
        <v>0</v>
      </c>
      <c r="L1404" t="n">
        <v>0</v>
      </c>
      <c r="M1404" t="n">
        <v>0</v>
      </c>
      <c r="N1404" t="n">
        <v>0</v>
      </c>
      <c r="O1404" t="n">
        <v>0</v>
      </c>
      <c r="P1404" t="n">
        <v>0</v>
      </c>
      <c r="Q1404" t="n">
        <v>0</v>
      </c>
      <c r="R1404" s="2" t="inlineStr"/>
    </row>
    <row r="1405" ht="15" customHeight="1">
      <c r="A1405" t="inlineStr">
        <is>
          <t>A 4006-2019</t>
        </is>
      </c>
      <c r="B1405" s="1" t="n">
        <v>43482</v>
      </c>
      <c r="C1405" s="1" t="n">
        <v>45204</v>
      </c>
      <c r="D1405" t="inlineStr">
        <is>
          <t>VÄSTERBOTTENS LÄN</t>
        </is>
      </c>
      <c r="E1405" t="inlineStr">
        <is>
          <t>MALÅ</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4064-2019</t>
        </is>
      </c>
      <c r="B1406" s="1" t="n">
        <v>43482</v>
      </c>
      <c r="C1406" s="1" t="n">
        <v>45204</v>
      </c>
      <c r="D1406" t="inlineStr">
        <is>
          <t>VÄSTERBOTTENS LÄN</t>
        </is>
      </c>
      <c r="E1406" t="inlineStr">
        <is>
          <t>SORSELE</t>
        </is>
      </c>
      <c r="F1406" t="inlineStr">
        <is>
          <t>Övriga statliga verk och myndigheter</t>
        </is>
      </c>
      <c r="G1406" t="n">
        <v>19.6</v>
      </c>
      <c r="H1406" t="n">
        <v>0</v>
      </c>
      <c r="I1406" t="n">
        <v>0</v>
      </c>
      <c r="J1406" t="n">
        <v>0</v>
      </c>
      <c r="K1406" t="n">
        <v>0</v>
      </c>
      <c r="L1406" t="n">
        <v>0</v>
      </c>
      <c r="M1406" t="n">
        <v>0</v>
      </c>
      <c r="N1406" t="n">
        <v>0</v>
      </c>
      <c r="O1406" t="n">
        <v>0</v>
      </c>
      <c r="P1406" t="n">
        <v>0</v>
      </c>
      <c r="Q1406" t="n">
        <v>0</v>
      </c>
      <c r="R1406" s="2" t="inlineStr"/>
    </row>
    <row r="1407" ht="15" customHeight="1">
      <c r="A1407" t="inlineStr">
        <is>
          <t>A 4263-2019</t>
        </is>
      </c>
      <c r="B1407" s="1" t="n">
        <v>43483</v>
      </c>
      <c r="C1407" s="1" t="n">
        <v>45204</v>
      </c>
      <c r="D1407" t="inlineStr">
        <is>
          <t>VÄSTERBOTTENS LÄN</t>
        </is>
      </c>
      <c r="E1407" t="inlineStr">
        <is>
          <t>NORDMALING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5981-2019</t>
        </is>
      </c>
      <c r="B1408" s="1" t="n">
        <v>43483</v>
      </c>
      <c r="C1408" s="1" t="n">
        <v>45204</v>
      </c>
      <c r="D1408" t="inlineStr">
        <is>
          <t>VÄSTERBOTTENS LÄN</t>
        </is>
      </c>
      <c r="E1408" t="inlineStr">
        <is>
          <t>LYCKSELE</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4260-2019</t>
        </is>
      </c>
      <c r="B1409" s="1" t="n">
        <v>43483</v>
      </c>
      <c r="C1409" s="1" t="n">
        <v>45204</v>
      </c>
      <c r="D1409" t="inlineStr">
        <is>
          <t>VÄSTERBOTTENS LÄN</t>
        </is>
      </c>
      <c r="E1409" t="inlineStr">
        <is>
          <t>NORDMALING</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4315-2019</t>
        </is>
      </c>
      <c r="B1410" s="1" t="n">
        <v>43483</v>
      </c>
      <c r="C1410" s="1" t="n">
        <v>45204</v>
      </c>
      <c r="D1410" t="inlineStr">
        <is>
          <t>VÄSTERBOTTENS LÄN</t>
        </is>
      </c>
      <c r="E1410" t="inlineStr">
        <is>
          <t>VINDELN</t>
        </is>
      </c>
      <c r="G1410" t="n">
        <v>28.5</v>
      </c>
      <c r="H1410" t="n">
        <v>0</v>
      </c>
      <c r="I1410" t="n">
        <v>0</v>
      </c>
      <c r="J1410" t="n">
        <v>0</v>
      </c>
      <c r="K1410" t="n">
        <v>0</v>
      </c>
      <c r="L1410" t="n">
        <v>0</v>
      </c>
      <c r="M1410" t="n">
        <v>0</v>
      </c>
      <c r="N1410" t="n">
        <v>0</v>
      </c>
      <c r="O1410" t="n">
        <v>0</v>
      </c>
      <c r="P1410" t="n">
        <v>0</v>
      </c>
      <c r="Q1410" t="n">
        <v>0</v>
      </c>
      <c r="R1410" s="2" t="inlineStr"/>
    </row>
    <row r="1411" ht="15" customHeight="1">
      <c r="A1411" t="inlineStr">
        <is>
          <t>A 5980-2019</t>
        </is>
      </c>
      <c r="B1411" s="1" t="n">
        <v>43483</v>
      </c>
      <c r="C1411" s="1" t="n">
        <v>45204</v>
      </c>
      <c r="D1411" t="inlineStr">
        <is>
          <t>VÄSTERBOTTENS LÄN</t>
        </is>
      </c>
      <c r="E1411" t="inlineStr">
        <is>
          <t>LYCKSELE</t>
        </is>
      </c>
      <c r="G1411" t="n">
        <v>9.300000000000001</v>
      </c>
      <c r="H1411" t="n">
        <v>0</v>
      </c>
      <c r="I1411" t="n">
        <v>0</v>
      </c>
      <c r="J1411" t="n">
        <v>0</v>
      </c>
      <c r="K1411" t="n">
        <v>0</v>
      </c>
      <c r="L1411" t="n">
        <v>0</v>
      </c>
      <c r="M1411" t="n">
        <v>0</v>
      </c>
      <c r="N1411" t="n">
        <v>0</v>
      </c>
      <c r="O1411" t="n">
        <v>0</v>
      </c>
      <c r="P1411" t="n">
        <v>0</v>
      </c>
      <c r="Q1411" t="n">
        <v>0</v>
      </c>
      <c r="R1411" s="2" t="inlineStr"/>
    </row>
    <row r="1412" ht="15" customHeight="1">
      <c r="A1412" t="inlineStr">
        <is>
          <t>A 6079-2019</t>
        </is>
      </c>
      <c r="B1412" s="1" t="n">
        <v>43483</v>
      </c>
      <c r="C1412" s="1" t="n">
        <v>45204</v>
      </c>
      <c r="D1412" t="inlineStr">
        <is>
          <t>VÄSTERBOTTENS LÄN</t>
        </is>
      </c>
      <c r="E1412" t="inlineStr">
        <is>
          <t>SKELLEFTEÅ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6101-2019</t>
        </is>
      </c>
      <c r="B1413" s="1" t="n">
        <v>43483</v>
      </c>
      <c r="C1413" s="1" t="n">
        <v>45204</v>
      </c>
      <c r="D1413" t="inlineStr">
        <is>
          <t>VÄSTERBOTTENS LÄN</t>
        </is>
      </c>
      <c r="E1413" t="inlineStr">
        <is>
          <t>NORDMALING</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6469-2019</t>
        </is>
      </c>
      <c r="B1414" s="1" t="n">
        <v>43486</v>
      </c>
      <c r="C1414" s="1" t="n">
        <v>45204</v>
      </c>
      <c r="D1414" t="inlineStr">
        <is>
          <t>VÄSTERBOTTENS LÄN</t>
        </is>
      </c>
      <c r="E1414" t="inlineStr">
        <is>
          <t>NORSJÖ</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4827-2019</t>
        </is>
      </c>
      <c r="B1415" s="1" t="n">
        <v>43486</v>
      </c>
      <c r="C1415" s="1" t="n">
        <v>45204</v>
      </c>
      <c r="D1415" t="inlineStr">
        <is>
          <t>VÄSTERBOTTENS LÄN</t>
        </is>
      </c>
      <c r="E1415" t="inlineStr">
        <is>
          <t>NORDMALING</t>
        </is>
      </c>
      <c r="G1415" t="n">
        <v>6.6</v>
      </c>
      <c r="H1415" t="n">
        <v>0</v>
      </c>
      <c r="I1415" t="n">
        <v>0</v>
      </c>
      <c r="J1415" t="n">
        <v>0</v>
      </c>
      <c r="K1415" t="n">
        <v>0</v>
      </c>
      <c r="L1415" t="n">
        <v>0</v>
      </c>
      <c r="M1415" t="n">
        <v>0</v>
      </c>
      <c r="N1415" t="n">
        <v>0</v>
      </c>
      <c r="O1415" t="n">
        <v>0</v>
      </c>
      <c r="P1415" t="n">
        <v>0</v>
      </c>
      <c r="Q1415" t="n">
        <v>0</v>
      </c>
      <c r="R1415" s="2" t="inlineStr"/>
    </row>
    <row r="1416" ht="15" customHeight="1">
      <c r="A1416" t="inlineStr">
        <is>
          <t>A 6505-2019</t>
        </is>
      </c>
      <c r="B1416" s="1" t="n">
        <v>43486</v>
      </c>
      <c r="C1416" s="1" t="n">
        <v>45204</v>
      </c>
      <c r="D1416" t="inlineStr">
        <is>
          <t>VÄSTERBOTTENS LÄN</t>
        </is>
      </c>
      <c r="E1416" t="inlineStr">
        <is>
          <t>NORSJÖ</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4480-2019</t>
        </is>
      </c>
      <c r="B1417" s="1" t="n">
        <v>43486</v>
      </c>
      <c r="C1417" s="1" t="n">
        <v>45204</v>
      </c>
      <c r="D1417" t="inlineStr">
        <is>
          <t>VÄSTERBOTTENS LÄN</t>
        </is>
      </c>
      <c r="E1417" t="inlineStr">
        <is>
          <t>SKELLEFTEÅ</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4815-2019</t>
        </is>
      </c>
      <c r="B1418" s="1" t="n">
        <v>43486</v>
      </c>
      <c r="C1418" s="1" t="n">
        <v>45204</v>
      </c>
      <c r="D1418" t="inlineStr">
        <is>
          <t>VÄSTERBOTTENS LÄN</t>
        </is>
      </c>
      <c r="E1418" t="inlineStr">
        <is>
          <t>LYCKSELE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6500-2019</t>
        </is>
      </c>
      <c r="B1419" s="1" t="n">
        <v>43486</v>
      </c>
      <c r="C1419" s="1" t="n">
        <v>45204</v>
      </c>
      <c r="D1419" t="inlineStr">
        <is>
          <t>VÄSTERBOTTENS LÄN</t>
        </is>
      </c>
      <c r="E1419" t="inlineStr">
        <is>
          <t>NORSJÖ</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4842-2019</t>
        </is>
      </c>
      <c r="B1420" s="1" t="n">
        <v>43487</v>
      </c>
      <c r="C1420" s="1" t="n">
        <v>45204</v>
      </c>
      <c r="D1420" t="inlineStr">
        <is>
          <t>VÄSTERBOTTENS LÄN</t>
        </is>
      </c>
      <c r="E1420" t="inlineStr">
        <is>
          <t>SKELLEFTEÅ</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4873-2019</t>
        </is>
      </c>
      <c r="B1421" s="1" t="n">
        <v>43487</v>
      </c>
      <c r="C1421" s="1" t="n">
        <v>45204</v>
      </c>
      <c r="D1421" t="inlineStr">
        <is>
          <t>VÄSTERBOTTENS LÄN</t>
        </is>
      </c>
      <c r="E1421" t="inlineStr">
        <is>
          <t>UMEÅ</t>
        </is>
      </c>
      <c r="G1421" t="n">
        <v>9.5</v>
      </c>
      <c r="H1421" t="n">
        <v>0</v>
      </c>
      <c r="I1421" t="n">
        <v>0</v>
      </c>
      <c r="J1421" t="n">
        <v>0</v>
      </c>
      <c r="K1421" t="n">
        <v>0</v>
      </c>
      <c r="L1421" t="n">
        <v>0</v>
      </c>
      <c r="M1421" t="n">
        <v>0</v>
      </c>
      <c r="N1421" t="n">
        <v>0</v>
      </c>
      <c r="O1421" t="n">
        <v>0</v>
      </c>
      <c r="P1421" t="n">
        <v>0</v>
      </c>
      <c r="Q1421" t="n">
        <v>0</v>
      </c>
      <c r="R1421" s="2" t="inlineStr"/>
    </row>
    <row r="1422" ht="15" customHeight="1">
      <c r="A1422" t="inlineStr">
        <is>
          <t>A 4896-2019</t>
        </is>
      </c>
      <c r="B1422" s="1" t="n">
        <v>43487</v>
      </c>
      <c r="C1422" s="1" t="n">
        <v>45204</v>
      </c>
      <c r="D1422" t="inlineStr">
        <is>
          <t>VÄSTERBOTTENS LÄN</t>
        </is>
      </c>
      <c r="E1422" t="inlineStr">
        <is>
          <t>VÄNNÄS</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5128-2019</t>
        </is>
      </c>
      <c r="B1423" s="1" t="n">
        <v>43487</v>
      </c>
      <c r="C1423" s="1" t="n">
        <v>45204</v>
      </c>
      <c r="D1423" t="inlineStr">
        <is>
          <t>VÄSTERBOTTENS LÄN</t>
        </is>
      </c>
      <c r="E1423" t="inlineStr">
        <is>
          <t>VILHELMINA</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6607-2019</t>
        </is>
      </c>
      <c r="B1424" s="1" t="n">
        <v>43487</v>
      </c>
      <c r="C1424" s="1" t="n">
        <v>45204</v>
      </c>
      <c r="D1424" t="inlineStr">
        <is>
          <t>VÄSTERBOTTENS LÄN</t>
        </is>
      </c>
      <c r="E1424" t="inlineStr">
        <is>
          <t>NORSJÖ</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5239-2019</t>
        </is>
      </c>
      <c r="B1425" s="1" t="n">
        <v>43488</v>
      </c>
      <c r="C1425" s="1" t="n">
        <v>45204</v>
      </c>
      <c r="D1425" t="inlineStr">
        <is>
          <t>VÄSTERBOTTENS LÄN</t>
        </is>
      </c>
      <c r="E1425" t="inlineStr">
        <is>
          <t>VINDELN</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6902-2019</t>
        </is>
      </c>
      <c r="B1426" s="1" t="n">
        <v>43488</v>
      </c>
      <c r="C1426" s="1" t="n">
        <v>45204</v>
      </c>
      <c r="D1426" t="inlineStr">
        <is>
          <t>VÄSTERBOTTENS LÄN</t>
        </is>
      </c>
      <c r="E1426" t="inlineStr">
        <is>
          <t>MALÅ</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5401-2019</t>
        </is>
      </c>
      <c r="B1427" s="1" t="n">
        <v>43488</v>
      </c>
      <c r="C1427" s="1" t="n">
        <v>45204</v>
      </c>
      <c r="D1427" t="inlineStr">
        <is>
          <t>VÄSTERBOTTENS LÄN</t>
        </is>
      </c>
      <c r="E1427" t="inlineStr">
        <is>
          <t>VINDELN</t>
        </is>
      </c>
      <c r="G1427" t="n">
        <v>12.7</v>
      </c>
      <c r="H1427" t="n">
        <v>0</v>
      </c>
      <c r="I1427" t="n">
        <v>0</v>
      </c>
      <c r="J1427" t="n">
        <v>0</v>
      </c>
      <c r="K1427" t="n">
        <v>0</v>
      </c>
      <c r="L1427" t="n">
        <v>0</v>
      </c>
      <c r="M1427" t="n">
        <v>0</v>
      </c>
      <c r="N1427" t="n">
        <v>0</v>
      </c>
      <c r="O1427" t="n">
        <v>0</v>
      </c>
      <c r="P1427" t="n">
        <v>0</v>
      </c>
      <c r="Q1427" t="n">
        <v>0</v>
      </c>
      <c r="R1427" s="2" t="inlineStr"/>
    </row>
    <row r="1428" ht="15" customHeight="1">
      <c r="A1428" t="inlineStr">
        <is>
          <t>A 5324-2019</t>
        </is>
      </c>
      <c r="B1428" s="1" t="n">
        <v>43488</v>
      </c>
      <c r="C1428" s="1" t="n">
        <v>45204</v>
      </c>
      <c r="D1428" t="inlineStr">
        <is>
          <t>VÄSTERBOTTENS LÄN</t>
        </is>
      </c>
      <c r="E1428" t="inlineStr">
        <is>
          <t>LYCKSELE</t>
        </is>
      </c>
      <c r="F1428" t="inlineStr">
        <is>
          <t>Sveaskog</t>
        </is>
      </c>
      <c r="G1428" t="n">
        <v>4.2</v>
      </c>
      <c r="H1428" t="n">
        <v>0</v>
      </c>
      <c r="I1428" t="n">
        <v>0</v>
      </c>
      <c r="J1428" t="n">
        <v>0</v>
      </c>
      <c r="K1428" t="n">
        <v>0</v>
      </c>
      <c r="L1428" t="n">
        <v>0</v>
      </c>
      <c r="M1428" t="n">
        <v>0</v>
      </c>
      <c r="N1428" t="n">
        <v>0</v>
      </c>
      <c r="O1428" t="n">
        <v>0</v>
      </c>
      <c r="P1428" t="n">
        <v>0</v>
      </c>
      <c r="Q1428" t="n">
        <v>0</v>
      </c>
      <c r="R1428" s="2" t="inlineStr"/>
    </row>
    <row r="1429" ht="15" customHeight="1">
      <c r="A1429" t="inlineStr">
        <is>
          <t>A 5403-2019</t>
        </is>
      </c>
      <c r="B1429" s="1" t="n">
        <v>43488</v>
      </c>
      <c r="C1429" s="1" t="n">
        <v>45204</v>
      </c>
      <c r="D1429" t="inlineStr">
        <is>
          <t>VÄSTERBOTTENS LÄN</t>
        </is>
      </c>
      <c r="E1429" t="inlineStr">
        <is>
          <t>VINDELN</t>
        </is>
      </c>
      <c r="G1429" t="n">
        <v>7.2</v>
      </c>
      <c r="H1429" t="n">
        <v>0</v>
      </c>
      <c r="I1429" t="n">
        <v>0</v>
      </c>
      <c r="J1429" t="n">
        <v>0</v>
      </c>
      <c r="K1429" t="n">
        <v>0</v>
      </c>
      <c r="L1429" t="n">
        <v>0</v>
      </c>
      <c r="M1429" t="n">
        <v>0</v>
      </c>
      <c r="N1429" t="n">
        <v>0</v>
      </c>
      <c r="O1429" t="n">
        <v>0</v>
      </c>
      <c r="P1429" t="n">
        <v>0</v>
      </c>
      <c r="Q1429" t="n">
        <v>0</v>
      </c>
      <c r="R1429" s="2" t="inlineStr"/>
    </row>
    <row r="1430" ht="15" customHeight="1">
      <c r="A1430" t="inlineStr">
        <is>
          <t>A 7250-2019</t>
        </is>
      </c>
      <c r="B1430" s="1" t="n">
        <v>43489</v>
      </c>
      <c r="C1430" s="1" t="n">
        <v>45204</v>
      </c>
      <c r="D1430" t="inlineStr">
        <is>
          <t>VÄSTERBOTTENS LÄN</t>
        </is>
      </c>
      <c r="E1430" t="inlineStr">
        <is>
          <t>BJURHOLM</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5542-2019</t>
        </is>
      </c>
      <c r="B1431" s="1" t="n">
        <v>43489</v>
      </c>
      <c r="C1431" s="1" t="n">
        <v>45204</v>
      </c>
      <c r="D1431" t="inlineStr">
        <is>
          <t>VÄSTERBOTTENS LÄN</t>
        </is>
      </c>
      <c r="E1431" t="inlineStr">
        <is>
          <t>LYCKSELE</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7175-2019</t>
        </is>
      </c>
      <c r="B1432" s="1" t="n">
        <v>43489</v>
      </c>
      <c r="C1432" s="1" t="n">
        <v>45204</v>
      </c>
      <c r="D1432" t="inlineStr">
        <is>
          <t>VÄSTERBOTTENS LÄN</t>
        </is>
      </c>
      <c r="E1432" t="inlineStr">
        <is>
          <t>SKELLEFTEÅ</t>
        </is>
      </c>
      <c r="G1432" t="n">
        <v>16.5</v>
      </c>
      <c r="H1432" t="n">
        <v>0</v>
      </c>
      <c r="I1432" t="n">
        <v>0</v>
      </c>
      <c r="J1432" t="n">
        <v>0</v>
      </c>
      <c r="K1432" t="n">
        <v>0</v>
      </c>
      <c r="L1432" t="n">
        <v>0</v>
      </c>
      <c r="M1432" t="n">
        <v>0</v>
      </c>
      <c r="N1432" t="n">
        <v>0</v>
      </c>
      <c r="O1432" t="n">
        <v>0</v>
      </c>
      <c r="P1432" t="n">
        <v>0</v>
      </c>
      <c r="Q1432" t="n">
        <v>0</v>
      </c>
      <c r="R1432" s="2" t="inlineStr"/>
    </row>
    <row r="1433" ht="15" customHeight="1">
      <c r="A1433" t="inlineStr">
        <is>
          <t>A 5882-2019</t>
        </is>
      </c>
      <c r="B1433" s="1" t="n">
        <v>43490</v>
      </c>
      <c r="C1433" s="1" t="n">
        <v>45204</v>
      </c>
      <c r="D1433" t="inlineStr">
        <is>
          <t>VÄSTERBOTTENS LÄN</t>
        </is>
      </c>
      <c r="E1433" t="inlineStr">
        <is>
          <t>VINDELN</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5810-2019</t>
        </is>
      </c>
      <c r="B1434" s="1" t="n">
        <v>43490</v>
      </c>
      <c r="C1434" s="1" t="n">
        <v>45204</v>
      </c>
      <c r="D1434" t="inlineStr">
        <is>
          <t>VÄSTERBOTTENS LÄN</t>
        </is>
      </c>
      <c r="E1434" t="inlineStr">
        <is>
          <t>SKELLEFTEÅ</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7303-2019</t>
        </is>
      </c>
      <c r="B1435" s="1" t="n">
        <v>43490</v>
      </c>
      <c r="C1435" s="1" t="n">
        <v>45204</v>
      </c>
      <c r="D1435" t="inlineStr">
        <is>
          <t>VÄSTERBOTTENS LÄN</t>
        </is>
      </c>
      <c r="E1435" t="inlineStr">
        <is>
          <t>ROBERTSFORS</t>
        </is>
      </c>
      <c r="G1435" t="n">
        <v>10</v>
      </c>
      <c r="H1435" t="n">
        <v>0</v>
      </c>
      <c r="I1435" t="n">
        <v>0</v>
      </c>
      <c r="J1435" t="n">
        <v>0</v>
      </c>
      <c r="K1435" t="n">
        <v>0</v>
      </c>
      <c r="L1435" t="n">
        <v>0</v>
      </c>
      <c r="M1435" t="n">
        <v>0</v>
      </c>
      <c r="N1435" t="n">
        <v>0</v>
      </c>
      <c r="O1435" t="n">
        <v>0</v>
      </c>
      <c r="P1435" t="n">
        <v>0</v>
      </c>
      <c r="Q1435" t="n">
        <v>0</v>
      </c>
      <c r="R1435" s="2" t="inlineStr"/>
    </row>
    <row r="1436" ht="15" customHeight="1">
      <c r="A1436" t="inlineStr">
        <is>
          <t>A 6291-2019</t>
        </is>
      </c>
      <c r="B1436" s="1" t="n">
        <v>43493</v>
      </c>
      <c r="C1436" s="1" t="n">
        <v>45204</v>
      </c>
      <c r="D1436" t="inlineStr">
        <is>
          <t>VÄSTERBOTTENS LÄN</t>
        </is>
      </c>
      <c r="E1436" t="inlineStr">
        <is>
          <t>ROBERTSFORS</t>
        </is>
      </c>
      <c r="F1436" t="inlineStr">
        <is>
          <t>Holmen skog AB</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7698-2019</t>
        </is>
      </c>
      <c r="B1437" s="1" t="n">
        <v>43493</v>
      </c>
      <c r="C1437" s="1" t="n">
        <v>45204</v>
      </c>
      <c r="D1437" t="inlineStr">
        <is>
          <t>VÄSTERBOTTENS LÄN</t>
        </is>
      </c>
      <c r="E1437" t="inlineStr">
        <is>
          <t>STORUMAN</t>
        </is>
      </c>
      <c r="G1437" t="n">
        <v>47</v>
      </c>
      <c r="H1437" t="n">
        <v>0</v>
      </c>
      <c r="I1437" t="n">
        <v>0</v>
      </c>
      <c r="J1437" t="n">
        <v>0</v>
      </c>
      <c r="K1437" t="n">
        <v>0</v>
      </c>
      <c r="L1437" t="n">
        <v>0</v>
      </c>
      <c r="M1437" t="n">
        <v>0</v>
      </c>
      <c r="N1437" t="n">
        <v>0</v>
      </c>
      <c r="O1437" t="n">
        <v>0</v>
      </c>
      <c r="P1437" t="n">
        <v>0</v>
      </c>
      <c r="Q1437" t="n">
        <v>0</v>
      </c>
      <c r="R1437" s="2" t="inlineStr"/>
    </row>
    <row r="1438" ht="15" customHeight="1">
      <c r="A1438" t="inlineStr">
        <is>
          <t>A 7670-2019</t>
        </is>
      </c>
      <c r="B1438" s="1" t="n">
        <v>43493</v>
      </c>
      <c r="C1438" s="1" t="n">
        <v>45204</v>
      </c>
      <c r="D1438" t="inlineStr">
        <is>
          <t>VÄSTERBOTTENS LÄN</t>
        </is>
      </c>
      <c r="E1438" t="inlineStr">
        <is>
          <t>ÅSELE</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7686-2019</t>
        </is>
      </c>
      <c r="B1439" s="1" t="n">
        <v>43493</v>
      </c>
      <c r="C1439" s="1" t="n">
        <v>45204</v>
      </c>
      <c r="D1439" t="inlineStr">
        <is>
          <t>VÄSTERBOTTENS LÄN</t>
        </is>
      </c>
      <c r="E1439" t="inlineStr">
        <is>
          <t>SORSELE</t>
        </is>
      </c>
      <c r="G1439" t="n">
        <v>14.3</v>
      </c>
      <c r="H1439" t="n">
        <v>0</v>
      </c>
      <c r="I1439" t="n">
        <v>0</v>
      </c>
      <c r="J1439" t="n">
        <v>0</v>
      </c>
      <c r="K1439" t="n">
        <v>0</v>
      </c>
      <c r="L1439" t="n">
        <v>0</v>
      </c>
      <c r="M1439" t="n">
        <v>0</v>
      </c>
      <c r="N1439" t="n">
        <v>0</v>
      </c>
      <c r="O1439" t="n">
        <v>0</v>
      </c>
      <c r="P1439" t="n">
        <v>0</v>
      </c>
      <c r="Q1439" t="n">
        <v>0</v>
      </c>
      <c r="R1439" s="2" t="inlineStr"/>
    </row>
    <row r="1440" ht="15" customHeight="1">
      <c r="A1440" t="inlineStr">
        <is>
          <t>A 6133-2019</t>
        </is>
      </c>
      <c r="B1440" s="1" t="n">
        <v>43493</v>
      </c>
      <c r="C1440" s="1" t="n">
        <v>45204</v>
      </c>
      <c r="D1440" t="inlineStr">
        <is>
          <t>VÄSTERBOTTENS LÄN</t>
        </is>
      </c>
      <c r="E1440" t="inlineStr">
        <is>
          <t>SKELLEFTEÅ</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6651-2019</t>
        </is>
      </c>
      <c r="B1441" s="1" t="n">
        <v>43494</v>
      </c>
      <c r="C1441" s="1" t="n">
        <v>45204</v>
      </c>
      <c r="D1441" t="inlineStr">
        <is>
          <t>VÄSTERBOTTENS LÄN</t>
        </is>
      </c>
      <c r="E1441" t="inlineStr">
        <is>
          <t>MALÅ</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6941-2019</t>
        </is>
      </c>
      <c r="B1442" s="1" t="n">
        <v>43495</v>
      </c>
      <c r="C1442" s="1" t="n">
        <v>45204</v>
      </c>
      <c r="D1442" t="inlineStr">
        <is>
          <t>VÄSTERBOTTENS LÄN</t>
        </is>
      </c>
      <c r="E1442" t="inlineStr">
        <is>
          <t>UMEÅ</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8079-2019</t>
        </is>
      </c>
      <c r="B1443" s="1" t="n">
        <v>43495</v>
      </c>
      <c r="C1443" s="1" t="n">
        <v>45204</v>
      </c>
      <c r="D1443" t="inlineStr">
        <is>
          <t>VÄSTERBOTTENS LÄN</t>
        </is>
      </c>
      <c r="E1443" t="inlineStr">
        <is>
          <t>SORSELE</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8104-2019</t>
        </is>
      </c>
      <c r="B1444" s="1" t="n">
        <v>43495</v>
      </c>
      <c r="C1444" s="1" t="n">
        <v>45204</v>
      </c>
      <c r="D1444" t="inlineStr">
        <is>
          <t>VÄSTERBOTTENS LÄN</t>
        </is>
      </c>
      <c r="E1444" t="inlineStr">
        <is>
          <t>SORSELE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8152-2019</t>
        </is>
      </c>
      <c r="B1445" s="1" t="n">
        <v>43495</v>
      </c>
      <c r="C1445" s="1" t="n">
        <v>45204</v>
      </c>
      <c r="D1445" t="inlineStr">
        <is>
          <t>VÄSTERBOTTENS LÄN</t>
        </is>
      </c>
      <c r="E1445" t="inlineStr">
        <is>
          <t>LYCKSELE</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8163-2019</t>
        </is>
      </c>
      <c r="B1446" s="1" t="n">
        <v>43495</v>
      </c>
      <c r="C1446" s="1" t="n">
        <v>45204</v>
      </c>
      <c r="D1446" t="inlineStr">
        <is>
          <t>VÄSTERBOTTENS LÄN</t>
        </is>
      </c>
      <c r="E1446" t="inlineStr">
        <is>
          <t>LYCKSELE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6974-2019</t>
        </is>
      </c>
      <c r="B1447" s="1" t="n">
        <v>43495</v>
      </c>
      <c r="C1447" s="1" t="n">
        <v>45204</v>
      </c>
      <c r="D1447" t="inlineStr">
        <is>
          <t>VÄSTERBOTTENS LÄN</t>
        </is>
      </c>
      <c r="E1447" t="inlineStr">
        <is>
          <t>UMEÅ</t>
        </is>
      </c>
      <c r="G1447" t="n">
        <v>8.9</v>
      </c>
      <c r="H1447" t="n">
        <v>0</v>
      </c>
      <c r="I1447" t="n">
        <v>0</v>
      </c>
      <c r="J1447" t="n">
        <v>0</v>
      </c>
      <c r="K1447" t="n">
        <v>0</v>
      </c>
      <c r="L1447" t="n">
        <v>0</v>
      </c>
      <c r="M1447" t="n">
        <v>0</v>
      </c>
      <c r="N1447" t="n">
        <v>0</v>
      </c>
      <c r="O1447" t="n">
        <v>0</v>
      </c>
      <c r="P1447" t="n">
        <v>0</v>
      </c>
      <c r="Q1447" t="n">
        <v>0</v>
      </c>
      <c r="R1447" s="2" t="inlineStr"/>
    </row>
    <row r="1448" ht="15" customHeight="1">
      <c r="A1448" t="inlineStr">
        <is>
          <t>A 8122-2019</t>
        </is>
      </c>
      <c r="B1448" s="1" t="n">
        <v>43495</v>
      </c>
      <c r="C1448" s="1" t="n">
        <v>45204</v>
      </c>
      <c r="D1448" t="inlineStr">
        <is>
          <t>VÄSTERBOTTENS LÄN</t>
        </is>
      </c>
      <c r="E1448" t="inlineStr">
        <is>
          <t>SORSELE</t>
        </is>
      </c>
      <c r="G1448" t="n">
        <v>22.4</v>
      </c>
      <c r="H1448" t="n">
        <v>0</v>
      </c>
      <c r="I1448" t="n">
        <v>0</v>
      </c>
      <c r="J1448" t="n">
        <v>0</v>
      </c>
      <c r="K1448" t="n">
        <v>0</v>
      </c>
      <c r="L1448" t="n">
        <v>0</v>
      </c>
      <c r="M1448" t="n">
        <v>0</v>
      </c>
      <c r="N1448" t="n">
        <v>0</v>
      </c>
      <c r="O1448" t="n">
        <v>0</v>
      </c>
      <c r="P1448" t="n">
        <v>0</v>
      </c>
      <c r="Q1448" t="n">
        <v>0</v>
      </c>
      <c r="R1448" s="2" t="inlineStr"/>
    </row>
    <row r="1449" ht="15" customHeight="1">
      <c r="A1449" t="inlineStr">
        <is>
          <t>A 7029-2019</t>
        </is>
      </c>
      <c r="B1449" s="1" t="n">
        <v>43495</v>
      </c>
      <c r="C1449" s="1" t="n">
        <v>45204</v>
      </c>
      <c r="D1449" t="inlineStr">
        <is>
          <t>VÄSTERBOTTENS LÄN</t>
        </is>
      </c>
      <c r="E1449" t="inlineStr">
        <is>
          <t>VÄNNÄS</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8100-2019</t>
        </is>
      </c>
      <c r="B1450" s="1" t="n">
        <v>43495</v>
      </c>
      <c r="C1450" s="1" t="n">
        <v>45204</v>
      </c>
      <c r="D1450" t="inlineStr">
        <is>
          <t>VÄSTERBOTTENS LÄN</t>
        </is>
      </c>
      <c r="E1450" t="inlineStr">
        <is>
          <t>SORSELE</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8157-2019</t>
        </is>
      </c>
      <c r="B1451" s="1" t="n">
        <v>43495</v>
      </c>
      <c r="C1451" s="1" t="n">
        <v>45204</v>
      </c>
      <c r="D1451" t="inlineStr">
        <is>
          <t>VÄSTERBOTTENS LÄN</t>
        </is>
      </c>
      <c r="E1451" t="inlineStr">
        <is>
          <t>LYCKSELE</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6949-2019</t>
        </is>
      </c>
      <c r="B1452" s="1" t="n">
        <v>43495</v>
      </c>
      <c r="C1452" s="1" t="n">
        <v>45204</v>
      </c>
      <c r="D1452" t="inlineStr">
        <is>
          <t>VÄSTERBOTTENS LÄN</t>
        </is>
      </c>
      <c r="E1452" t="inlineStr">
        <is>
          <t>VINDELN</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8073-2019</t>
        </is>
      </c>
      <c r="B1453" s="1" t="n">
        <v>43495</v>
      </c>
      <c r="C1453" s="1" t="n">
        <v>45204</v>
      </c>
      <c r="D1453" t="inlineStr">
        <is>
          <t>VÄSTERBOTTENS LÄN</t>
        </is>
      </c>
      <c r="E1453" t="inlineStr">
        <is>
          <t>SORSELE</t>
        </is>
      </c>
      <c r="G1453" t="n">
        <v>5.8</v>
      </c>
      <c r="H1453" t="n">
        <v>0</v>
      </c>
      <c r="I1453" t="n">
        <v>0</v>
      </c>
      <c r="J1453" t="n">
        <v>0</v>
      </c>
      <c r="K1453" t="n">
        <v>0</v>
      </c>
      <c r="L1453" t="n">
        <v>0</v>
      </c>
      <c r="M1453" t="n">
        <v>0</v>
      </c>
      <c r="N1453" t="n">
        <v>0</v>
      </c>
      <c r="O1453" t="n">
        <v>0</v>
      </c>
      <c r="P1453" t="n">
        <v>0</v>
      </c>
      <c r="Q1453" t="n">
        <v>0</v>
      </c>
      <c r="R1453" s="2" t="inlineStr"/>
    </row>
    <row r="1454" ht="15" customHeight="1">
      <c r="A1454" t="inlineStr">
        <is>
          <t>A 8159-2019</t>
        </is>
      </c>
      <c r="B1454" s="1" t="n">
        <v>43495</v>
      </c>
      <c r="C1454" s="1" t="n">
        <v>45204</v>
      </c>
      <c r="D1454" t="inlineStr">
        <is>
          <t>VÄSTERBOTTENS LÄN</t>
        </is>
      </c>
      <c r="E1454" t="inlineStr">
        <is>
          <t>LYCKSELE</t>
        </is>
      </c>
      <c r="G1454" t="n">
        <v>1.9</v>
      </c>
      <c r="H1454" t="n">
        <v>0</v>
      </c>
      <c r="I1454" t="n">
        <v>0</v>
      </c>
      <c r="J1454" t="n">
        <v>0</v>
      </c>
      <c r="K1454" t="n">
        <v>0</v>
      </c>
      <c r="L1454" t="n">
        <v>0</v>
      </c>
      <c r="M1454" t="n">
        <v>0</v>
      </c>
      <c r="N1454" t="n">
        <v>0</v>
      </c>
      <c r="O1454" t="n">
        <v>0</v>
      </c>
      <c r="P1454" t="n">
        <v>0</v>
      </c>
      <c r="Q1454" t="n">
        <v>0</v>
      </c>
      <c r="R1454" s="2" t="inlineStr"/>
    </row>
    <row r="1455" ht="15" customHeight="1">
      <c r="A1455" t="inlineStr">
        <is>
          <t>A 7337-2019</t>
        </is>
      </c>
      <c r="B1455" s="1" t="n">
        <v>43496</v>
      </c>
      <c r="C1455" s="1" t="n">
        <v>45204</v>
      </c>
      <c r="D1455" t="inlineStr">
        <is>
          <t>VÄSTERBOTTENS LÄN</t>
        </is>
      </c>
      <c r="E1455" t="inlineStr">
        <is>
          <t>NORSJÖ</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8242-2019</t>
        </is>
      </c>
      <c r="B1456" s="1" t="n">
        <v>43496</v>
      </c>
      <c r="C1456" s="1" t="n">
        <v>45204</v>
      </c>
      <c r="D1456" t="inlineStr">
        <is>
          <t>VÄSTERBOTTENS LÄN</t>
        </is>
      </c>
      <c r="E1456" t="inlineStr">
        <is>
          <t>VÄNNÄS</t>
        </is>
      </c>
      <c r="F1456" t="inlineStr">
        <is>
          <t>Kommuner</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7336-2019</t>
        </is>
      </c>
      <c r="B1457" s="1" t="n">
        <v>43496</v>
      </c>
      <c r="C1457" s="1" t="n">
        <v>45204</v>
      </c>
      <c r="D1457" t="inlineStr">
        <is>
          <t>VÄSTERBOTTENS LÄN</t>
        </is>
      </c>
      <c r="E1457" t="inlineStr">
        <is>
          <t>NORSJÖ</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7407-2019</t>
        </is>
      </c>
      <c r="B1458" s="1" t="n">
        <v>43496</v>
      </c>
      <c r="C1458" s="1" t="n">
        <v>45204</v>
      </c>
      <c r="D1458" t="inlineStr">
        <is>
          <t>VÄSTERBOTTENS LÄN</t>
        </is>
      </c>
      <c r="E1458" t="inlineStr">
        <is>
          <t>BJURHOLM</t>
        </is>
      </c>
      <c r="G1458" t="n">
        <v>8</v>
      </c>
      <c r="H1458" t="n">
        <v>0</v>
      </c>
      <c r="I1458" t="n">
        <v>0</v>
      </c>
      <c r="J1458" t="n">
        <v>0</v>
      </c>
      <c r="K1458" t="n">
        <v>0</v>
      </c>
      <c r="L1458" t="n">
        <v>0</v>
      </c>
      <c r="M1458" t="n">
        <v>0</v>
      </c>
      <c r="N1458" t="n">
        <v>0</v>
      </c>
      <c r="O1458" t="n">
        <v>0</v>
      </c>
      <c r="P1458" t="n">
        <v>0</v>
      </c>
      <c r="Q1458" t="n">
        <v>0</v>
      </c>
      <c r="R1458" s="2" t="inlineStr"/>
    </row>
    <row r="1459" ht="15" customHeight="1">
      <c r="A1459" t="inlineStr">
        <is>
          <t>A 7201-2019</t>
        </is>
      </c>
      <c r="B1459" s="1" t="n">
        <v>43496</v>
      </c>
      <c r="C1459" s="1" t="n">
        <v>45204</v>
      </c>
      <c r="D1459" t="inlineStr">
        <is>
          <t>VÄSTERBOTTENS LÄN</t>
        </is>
      </c>
      <c r="E1459" t="inlineStr">
        <is>
          <t>BJURHOLM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7338-2019</t>
        </is>
      </c>
      <c r="B1460" s="1" t="n">
        <v>43496</v>
      </c>
      <c r="C1460" s="1" t="n">
        <v>45204</v>
      </c>
      <c r="D1460" t="inlineStr">
        <is>
          <t>VÄSTERBOTTENS LÄN</t>
        </is>
      </c>
      <c r="E1460" t="inlineStr">
        <is>
          <t>NORSJÖ</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7359-2019</t>
        </is>
      </c>
      <c r="B1461" s="1" t="n">
        <v>43496</v>
      </c>
      <c r="C1461" s="1" t="n">
        <v>45204</v>
      </c>
      <c r="D1461" t="inlineStr">
        <is>
          <t>VÄSTERBOTTENS LÄN</t>
        </is>
      </c>
      <c r="E1461" t="inlineStr">
        <is>
          <t>VILHELMINA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7572-2019</t>
        </is>
      </c>
      <c r="B1462" s="1" t="n">
        <v>43497</v>
      </c>
      <c r="C1462" s="1" t="n">
        <v>45204</v>
      </c>
      <c r="D1462" t="inlineStr">
        <is>
          <t>VÄSTERBOTTENS LÄN</t>
        </is>
      </c>
      <c r="E1462" t="inlineStr">
        <is>
          <t>LYCKSELE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7475-2019</t>
        </is>
      </c>
      <c r="B1463" s="1" t="n">
        <v>43497</v>
      </c>
      <c r="C1463" s="1" t="n">
        <v>45204</v>
      </c>
      <c r="D1463" t="inlineStr">
        <is>
          <t>VÄSTERBOTTENS LÄN</t>
        </is>
      </c>
      <c r="E1463" t="inlineStr">
        <is>
          <t>VILHELMINA</t>
        </is>
      </c>
      <c r="G1463" t="n">
        <v>0.3</v>
      </c>
      <c r="H1463" t="n">
        <v>0</v>
      </c>
      <c r="I1463" t="n">
        <v>0</v>
      </c>
      <c r="J1463" t="n">
        <v>0</v>
      </c>
      <c r="K1463" t="n">
        <v>0</v>
      </c>
      <c r="L1463" t="n">
        <v>0</v>
      </c>
      <c r="M1463" t="n">
        <v>0</v>
      </c>
      <c r="N1463" t="n">
        <v>0</v>
      </c>
      <c r="O1463" t="n">
        <v>0</v>
      </c>
      <c r="P1463" t="n">
        <v>0</v>
      </c>
      <c r="Q1463" t="n">
        <v>0</v>
      </c>
      <c r="R1463" s="2" t="inlineStr"/>
    </row>
    <row r="1464" ht="15" customHeight="1">
      <c r="A1464" t="inlineStr">
        <is>
          <t>A 7573-2019</t>
        </is>
      </c>
      <c r="B1464" s="1" t="n">
        <v>43497</v>
      </c>
      <c r="C1464" s="1" t="n">
        <v>45204</v>
      </c>
      <c r="D1464" t="inlineStr">
        <is>
          <t>VÄSTERBOTTENS LÄN</t>
        </is>
      </c>
      <c r="E1464" t="inlineStr">
        <is>
          <t>LYCKSELE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8605-2019</t>
        </is>
      </c>
      <c r="B1465" s="1" t="n">
        <v>43497</v>
      </c>
      <c r="C1465" s="1" t="n">
        <v>45204</v>
      </c>
      <c r="D1465" t="inlineStr">
        <is>
          <t>VÄSTERBOTTENS LÄN</t>
        </is>
      </c>
      <c r="E1465" t="inlineStr">
        <is>
          <t>SKELLEFTEÅ</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8004-2019</t>
        </is>
      </c>
      <c r="B1466" s="1" t="n">
        <v>43497</v>
      </c>
      <c r="C1466" s="1" t="n">
        <v>45204</v>
      </c>
      <c r="D1466" t="inlineStr">
        <is>
          <t>VÄSTERBOTTENS LÄN</t>
        </is>
      </c>
      <c r="E1466" t="inlineStr">
        <is>
          <t>BJURHOLM</t>
        </is>
      </c>
      <c r="F1466" t="inlineStr">
        <is>
          <t>SCA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7521-2019</t>
        </is>
      </c>
      <c r="B1467" s="1" t="n">
        <v>43497</v>
      </c>
      <c r="C1467" s="1" t="n">
        <v>45204</v>
      </c>
      <c r="D1467" t="inlineStr">
        <is>
          <t>VÄSTERBOTTENS LÄN</t>
        </is>
      </c>
      <c r="E1467" t="inlineStr">
        <is>
          <t>STORUMAN</t>
        </is>
      </c>
      <c r="G1467" t="n">
        <v>28.1</v>
      </c>
      <c r="H1467" t="n">
        <v>0</v>
      </c>
      <c r="I1467" t="n">
        <v>0</v>
      </c>
      <c r="J1467" t="n">
        <v>0</v>
      </c>
      <c r="K1467" t="n">
        <v>0</v>
      </c>
      <c r="L1467" t="n">
        <v>0</v>
      </c>
      <c r="M1467" t="n">
        <v>0</v>
      </c>
      <c r="N1467" t="n">
        <v>0</v>
      </c>
      <c r="O1467" t="n">
        <v>0</v>
      </c>
      <c r="P1467" t="n">
        <v>0</v>
      </c>
      <c r="Q1467" t="n">
        <v>0</v>
      </c>
      <c r="R1467" s="2" t="inlineStr"/>
    </row>
    <row r="1468" ht="15" customHeight="1">
      <c r="A1468" t="inlineStr">
        <is>
          <t>A 8038-2019</t>
        </is>
      </c>
      <c r="B1468" s="1" t="n">
        <v>43497</v>
      </c>
      <c r="C1468" s="1" t="n">
        <v>45204</v>
      </c>
      <c r="D1468" t="inlineStr">
        <is>
          <t>VÄSTERBOTTENS LÄN</t>
        </is>
      </c>
      <c r="E1468" t="inlineStr">
        <is>
          <t>STORUMAN</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8518-2019</t>
        </is>
      </c>
      <c r="B1469" s="1" t="n">
        <v>43500</v>
      </c>
      <c r="C1469" s="1" t="n">
        <v>45204</v>
      </c>
      <c r="D1469" t="inlineStr">
        <is>
          <t>VÄSTERBOTTENS LÄN</t>
        </is>
      </c>
      <c r="E1469" t="inlineStr">
        <is>
          <t>ÅSELE</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8516-2019</t>
        </is>
      </c>
      <c r="B1470" s="1" t="n">
        <v>43500</v>
      </c>
      <c r="C1470" s="1" t="n">
        <v>45204</v>
      </c>
      <c r="D1470" t="inlineStr">
        <is>
          <t>VÄSTERBOTTENS LÄN</t>
        </is>
      </c>
      <c r="E1470" t="inlineStr">
        <is>
          <t>VILHELMINA</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7643-2019</t>
        </is>
      </c>
      <c r="B1471" s="1" t="n">
        <v>43500</v>
      </c>
      <c r="C1471" s="1" t="n">
        <v>45204</v>
      </c>
      <c r="D1471" t="inlineStr">
        <is>
          <t>VÄSTERBOTTENS LÄN</t>
        </is>
      </c>
      <c r="E1471" t="inlineStr">
        <is>
          <t>VÄNNÄS</t>
        </is>
      </c>
      <c r="G1471" t="n">
        <v>6</v>
      </c>
      <c r="H1471" t="n">
        <v>0</v>
      </c>
      <c r="I1471" t="n">
        <v>0</v>
      </c>
      <c r="J1471" t="n">
        <v>0</v>
      </c>
      <c r="K1471" t="n">
        <v>0</v>
      </c>
      <c r="L1471" t="n">
        <v>0</v>
      </c>
      <c r="M1471" t="n">
        <v>0</v>
      </c>
      <c r="N1471" t="n">
        <v>0</v>
      </c>
      <c r="O1471" t="n">
        <v>0</v>
      </c>
      <c r="P1471" t="n">
        <v>0</v>
      </c>
      <c r="Q1471" t="n">
        <v>0</v>
      </c>
      <c r="R1471" s="2" t="inlineStr"/>
    </row>
    <row r="1472" ht="15" customHeight="1">
      <c r="A1472" t="inlineStr">
        <is>
          <t>A 8520-2019</t>
        </is>
      </c>
      <c r="B1472" s="1" t="n">
        <v>43500</v>
      </c>
      <c r="C1472" s="1" t="n">
        <v>45204</v>
      </c>
      <c r="D1472" t="inlineStr">
        <is>
          <t>VÄSTERBOTTENS LÄN</t>
        </is>
      </c>
      <c r="E1472" t="inlineStr">
        <is>
          <t>ÅSELE</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8164-2019</t>
        </is>
      </c>
      <c r="B1473" s="1" t="n">
        <v>43501</v>
      </c>
      <c r="C1473" s="1" t="n">
        <v>45204</v>
      </c>
      <c r="D1473" t="inlineStr">
        <is>
          <t>VÄSTERBOTTENS LÄN</t>
        </is>
      </c>
      <c r="E1473" t="inlineStr">
        <is>
          <t>ÅSELE</t>
        </is>
      </c>
      <c r="F1473" t="inlineStr">
        <is>
          <t>Sveaskog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8773-2019</t>
        </is>
      </c>
      <c r="B1474" s="1" t="n">
        <v>43501</v>
      </c>
      <c r="C1474" s="1" t="n">
        <v>45204</v>
      </c>
      <c r="D1474" t="inlineStr">
        <is>
          <t>VÄSTERBOTTENS LÄN</t>
        </is>
      </c>
      <c r="E1474" t="inlineStr">
        <is>
          <t>NORSJÖ</t>
        </is>
      </c>
      <c r="G1474" t="n">
        <v>3.3</v>
      </c>
      <c r="H1474" t="n">
        <v>0</v>
      </c>
      <c r="I1474" t="n">
        <v>0</v>
      </c>
      <c r="J1474" t="n">
        <v>0</v>
      </c>
      <c r="K1474" t="n">
        <v>0</v>
      </c>
      <c r="L1474" t="n">
        <v>0</v>
      </c>
      <c r="M1474" t="n">
        <v>0</v>
      </c>
      <c r="N1474" t="n">
        <v>0</v>
      </c>
      <c r="O1474" t="n">
        <v>0</v>
      </c>
      <c r="P1474" t="n">
        <v>0</v>
      </c>
      <c r="Q1474" t="n">
        <v>0</v>
      </c>
      <c r="R1474" s="2" t="inlineStr"/>
    </row>
    <row r="1475" ht="15" customHeight="1">
      <c r="A1475" t="inlineStr">
        <is>
          <t>A 8729-2019</t>
        </is>
      </c>
      <c r="B1475" s="1" t="n">
        <v>43501</v>
      </c>
      <c r="C1475" s="1" t="n">
        <v>45204</v>
      </c>
      <c r="D1475" t="inlineStr">
        <is>
          <t>VÄSTERBOTTENS LÄN</t>
        </is>
      </c>
      <c r="E1475" t="inlineStr">
        <is>
          <t>MALÅ</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8129-2019</t>
        </is>
      </c>
      <c r="B1476" s="1" t="n">
        <v>43501</v>
      </c>
      <c r="C1476" s="1" t="n">
        <v>45204</v>
      </c>
      <c r="D1476" t="inlineStr">
        <is>
          <t>VÄSTERBOTTENS LÄN</t>
        </is>
      </c>
      <c r="E1476" t="inlineStr">
        <is>
          <t>ROBERTSFORS</t>
        </is>
      </c>
      <c r="G1476" t="n">
        <v>3.8</v>
      </c>
      <c r="H1476" t="n">
        <v>0</v>
      </c>
      <c r="I1476" t="n">
        <v>0</v>
      </c>
      <c r="J1476" t="n">
        <v>0</v>
      </c>
      <c r="K1476" t="n">
        <v>0</v>
      </c>
      <c r="L1476" t="n">
        <v>0</v>
      </c>
      <c r="M1476" t="n">
        <v>0</v>
      </c>
      <c r="N1476" t="n">
        <v>0</v>
      </c>
      <c r="O1476" t="n">
        <v>0</v>
      </c>
      <c r="P1476" t="n">
        <v>0</v>
      </c>
      <c r="Q1476" t="n">
        <v>0</v>
      </c>
      <c r="R1476" s="2" t="inlineStr"/>
    </row>
    <row r="1477" ht="15" customHeight="1">
      <c r="A1477" t="inlineStr">
        <is>
          <t>A 8241-2019</t>
        </is>
      </c>
      <c r="B1477" s="1" t="n">
        <v>43501</v>
      </c>
      <c r="C1477" s="1" t="n">
        <v>45204</v>
      </c>
      <c r="D1477" t="inlineStr">
        <is>
          <t>VÄSTERBOTTENS LÄN</t>
        </is>
      </c>
      <c r="E1477" t="inlineStr">
        <is>
          <t>VILHELMINA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8072-2019</t>
        </is>
      </c>
      <c r="B1478" s="1" t="n">
        <v>43501</v>
      </c>
      <c r="C1478" s="1" t="n">
        <v>45204</v>
      </c>
      <c r="D1478" t="inlineStr">
        <is>
          <t>VÄSTERBOTTENS LÄN</t>
        </is>
      </c>
      <c r="E1478" t="inlineStr">
        <is>
          <t>STORUMAN</t>
        </is>
      </c>
      <c r="F1478" t="inlineStr">
        <is>
          <t>Kommuner</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8727-2019</t>
        </is>
      </c>
      <c r="B1479" s="1" t="n">
        <v>43501</v>
      </c>
      <c r="C1479" s="1" t="n">
        <v>45204</v>
      </c>
      <c r="D1479" t="inlineStr">
        <is>
          <t>VÄSTERBOTTENS LÄN</t>
        </is>
      </c>
      <c r="E1479" t="inlineStr">
        <is>
          <t>MALÅ</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8782-2019</t>
        </is>
      </c>
      <c r="B1480" s="1" t="n">
        <v>43501</v>
      </c>
      <c r="C1480" s="1" t="n">
        <v>45204</v>
      </c>
      <c r="D1480" t="inlineStr">
        <is>
          <t>VÄSTERBOTTENS LÄN</t>
        </is>
      </c>
      <c r="E1480" t="inlineStr">
        <is>
          <t>SKELLEFTEÅ</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8323-2019</t>
        </is>
      </c>
      <c r="B1481" s="1" t="n">
        <v>43502</v>
      </c>
      <c r="C1481" s="1" t="n">
        <v>45204</v>
      </c>
      <c r="D1481" t="inlineStr">
        <is>
          <t>VÄSTERBOTTENS LÄN</t>
        </is>
      </c>
      <c r="E1481" t="inlineStr">
        <is>
          <t>SKELLEFTEÅ</t>
        </is>
      </c>
      <c r="G1481" t="n">
        <v>13.2</v>
      </c>
      <c r="H1481" t="n">
        <v>0</v>
      </c>
      <c r="I1481" t="n">
        <v>0</v>
      </c>
      <c r="J1481" t="n">
        <v>0</v>
      </c>
      <c r="K1481" t="n">
        <v>0</v>
      </c>
      <c r="L1481" t="n">
        <v>0</v>
      </c>
      <c r="M1481" t="n">
        <v>0</v>
      </c>
      <c r="N1481" t="n">
        <v>0</v>
      </c>
      <c r="O1481" t="n">
        <v>0</v>
      </c>
      <c r="P1481" t="n">
        <v>0</v>
      </c>
      <c r="Q1481" t="n">
        <v>0</v>
      </c>
      <c r="R1481" s="2" t="inlineStr"/>
    </row>
    <row r="1482" ht="15" customHeight="1">
      <c r="A1482" t="inlineStr">
        <is>
          <t>A 8591-2019</t>
        </is>
      </c>
      <c r="B1482" s="1" t="n">
        <v>43502</v>
      </c>
      <c r="C1482" s="1" t="n">
        <v>45204</v>
      </c>
      <c r="D1482" t="inlineStr">
        <is>
          <t>VÄSTERBOTTENS LÄN</t>
        </is>
      </c>
      <c r="E1482" t="inlineStr">
        <is>
          <t>ROBERTSFORS</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8763-2019</t>
        </is>
      </c>
      <c r="B1483" s="1" t="n">
        <v>43502</v>
      </c>
      <c r="C1483" s="1" t="n">
        <v>45204</v>
      </c>
      <c r="D1483" t="inlineStr">
        <is>
          <t>VÄSTERBOTTENS LÄN</t>
        </is>
      </c>
      <c r="E1483" t="inlineStr">
        <is>
          <t>NORSJÖ</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8772-2019</t>
        </is>
      </c>
      <c r="B1484" s="1" t="n">
        <v>43502</v>
      </c>
      <c r="C1484" s="1" t="n">
        <v>45204</v>
      </c>
      <c r="D1484" t="inlineStr">
        <is>
          <t>VÄSTERBOTTENS LÄN</t>
        </is>
      </c>
      <c r="E1484" t="inlineStr">
        <is>
          <t>NORSJÖ</t>
        </is>
      </c>
      <c r="G1484" t="n">
        <v>13.4</v>
      </c>
      <c r="H1484" t="n">
        <v>0</v>
      </c>
      <c r="I1484" t="n">
        <v>0</v>
      </c>
      <c r="J1484" t="n">
        <v>0</v>
      </c>
      <c r="K1484" t="n">
        <v>0</v>
      </c>
      <c r="L1484" t="n">
        <v>0</v>
      </c>
      <c r="M1484" t="n">
        <v>0</v>
      </c>
      <c r="N1484" t="n">
        <v>0</v>
      </c>
      <c r="O1484" t="n">
        <v>0</v>
      </c>
      <c r="P1484" t="n">
        <v>0</v>
      </c>
      <c r="Q1484" t="n">
        <v>0</v>
      </c>
      <c r="R1484" s="2" t="inlineStr"/>
    </row>
    <row r="1485" ht="15" customHeight="1">
      <c r="A1485" t="inlineStr">
        <is>
          <t>A 8787-2019</t>
        </is>
      </c>
      <c r="B1485" s="1" t="n">
        <v>43502</v>
      </c>
      <c r="C1485" s="1" t="n">
        <v>45204</v>
      </c>
      <c r="D1485" t="inlineStr">
        <is>
          <t>VÄSTERBOTTENS LÄN</t>
        </is>
      </c>
      <c r="E1485" t="inlineStr">
        <is>
          <t>NORSJÖ</t>
        </is>
      </c>
      <c r="G1485" t="n">
        <v>10.2</v>
      </c>
      <c r="H1485" t="n">
        <v>0</v>
      </c>
      <c r="I1485" t="n">
        <v>0</v>
      </c>
      <c r="J1485" t="n">
        <v>0</v>
      </c>
      <c r="K1485" t="n">
        <v>0</v>
      </c>
      <c r="L1485" t="n">
        <v>0</v>
      </c>
      <c r="M1485" t="n">
        <v>0</v>
      </c>
      <c r="N1485" t="n">
        <v>0</v>
      </c>
      <c r="O1485" t="n">
        <v>0</v>
      </c>
      <c r="P1485" t="n">
        <v>0</v>
      </c>
      <c r="Q1485" t="n">
        <v>0</v>
      </c>
      <c r="R1485" s="2" t="inlineStr"/>
    </row>
    <row r="1486" ht="15" customHeight="1">
      <c r="A1486" t="inlineStr">
        <is>
          <t>A 8814-2019</t>
        </is>
      </c>
      <c r="B1486" s="1" t="n">
        <v>43503</v>
      </c>
      <c r="C1486" s="1" t="n">
        <v>45204</v>
      </c>
      <c r="D1486" t="inlineStr">
        <is>
          <t>VÄSTERBOTTENS LÄN</t>
        </is>
      </c>
      <c r="E1486" t="inlineStr">
        <is>
          <t>VILHELMINA</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8957-2019</t>
        </is>
      </c>
      <c r="B1487" s="1" t="n">
        <v>43503</v>
      </c>
      <c r="C1487" s="1" t="n">
        <v>45204</v>
      </c>
      <c r="D1487" t="inlineStr">
        <is>
          <t>VÄSTERBOTTENS LÄN</t>
        </is>
      </c>
      <c r="E1487" t="inlineStr">
        <is>
          <t>NORSJÖ</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8633-2019</t>
        </is>
      </c>
      <c r="B1488" s="1" t="n">
        <v>43503</v>
      </c>
      <c r="C1488" s="1" t="n">
        <v>45204</v>
      </c>
      <c r="D1488" t="inlineStr">
        <is>
          <t>VÄSTERBOTTENS LÄN</t>
        </is>
      </c>
      <c r="E1488" t="inlineStr">
        <is>
          <t>SKELLEFTEÅ</t>
        </is>
      </c>
      <c r="G1488" t="n">
        <v>7.2</v>
      </c>
      <c r="H1488" t="n">
        <v>0</v>
      </c>
      <c r="I1488" t="n">
        <v>0</v>
      </c>
      <c r="J1488" t="n">
        <v>0</v>
      </c>
      <c r="K1488" t="n">
        <v>0</v>
      </c>
      <c r="L1488" t="n">
        <v>0</v>
      </c>
      <c r="M1488" t="n">
        <v>0</v>
      </c>
      <c r="N1488" t="n">
        <v>0</v>
      </c>
      <c r="O1488" t="n">
        <v>0</v>
      </c>
      <c r="P1488" t="n">
        <v>0</v>
      </c>
      <c r="Q1488" t="n">
        <v>0</v>
      </c>
      <c r="R1488" s="2" t="inlineStr"/>
    </row>
    <row r="1489" ht="15" customHeight="1">
      <c r="A1489" t="inlineStr">
        <is>
          <t>A 8892-2019</t>
        </is>
      </c>
      <c r="B1489" s="1" t="n">
        <v>43503</v>
      </c>
      <c r="C1489" s="1" t="n">
        <v>45204</v>
      </c>
      <c r="D1489" t="inlineStr">
        <is>
          <t>VÄSTERBOTTENS LÄN</t>
        </is>
      </c>
      <c r="E1489" t="inlineStr">
        <is>
          <t>SORSELE</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8958-2019</t>
        </is>
      </c>
      <c r="B1490" s="1" t="n">
        <v>43503</v>
      </c>
      <c r="C1490" s="1" t="n">
        <v>45204</v>
      </c>
      <c r="D1490" t="inlineStr">
        <is>
          <t>VÄSTERBOTTENS LÄN</t>
        </is>
      </c>
      <c r="E1490" t="inlineStr">
        <is>
          <t>STORUMAN</t>
        </is>
      </c>
      <c r="F1490" t="inlineStr">
        <is>
          <t>SCA</t>
        </is>
      </c>
      <c r="G1490" t="n">
        <v>6.7</v>
      </c>
      <c r="H1490" t="n">
        <v>0</v>
      </c>
      <c r="I1490" t="n">
        <v>0</v>
      </c>
      <c r="J1490" t="n">
        <v>0</v>
      </c>
      <c r="K1490" t="n">
        <v>0</v>
      </c>
      <c r="L1490" t="n">
        <v>0</v>
      </c>
      <c r="M1490" t="n">
        <v>0</v>
      </c>
      <c r="N1490" t="n">
        <v>0</v>
      </c>
      <c r="O1490" t="n">
        <v>0</v>
      </c>
      <c r="P1490" t="n">
        <v>0</v>
      </c>
      <c r="Q1490" t="n">
        <v>0</v>
      </c>
      <c r="R1490" s="2" t="inlineStr"/>
    </row>
    <row r="1491" ht="15" customHeight="1">
      <c r="A1491" t="inlineStr">
        <is>
          <t>A 8832-2019</t>
        </is>
      </c>
      <c r="B1491" s="1" t="n">
        <v>43503</v>
      </c>
      <c r="C1491" s="1" t="n">
        <v>45204</v>
      </c>
      <c r="D1491" t="inlineStr">
        <is>
          <t>VÄSTERBOTTENS LÄN</t>
        </is>
      </c>
      <c r="E1491" t="inlineStr">
        <is>
          <t>NORDMALING</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8834-2019</t>
        </is>
      </c>
      <c r="B1492" s="1" t="n">
        <v>43503</v>
      </c>
      <c r="C1492" s="1" t="n">
        <v>45204</v>
      </c>
      <c r="D1492" t="inlineStr">
        <is>
          <t>VÄSTERBOTTENS LÄN</t>
        </is>
      </c>
      <c r="E1492" t="inlineStr">
        <is>
          <t>NORDMALING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8923-2019</t>
        </is>
      </c>
      <c r="B1493" s="1" t="n">
        <v>43503</v>
      </c>
      <c r="C1493" s="1" t="n">
        <v>45204</v>
      </c>
      <c r="D1493" t="inlineStr">
        <is>
          <t>VÄSTERBOTTENS LÄN</t>
        </is>
      </c>
      <c r="E1493" t="inlineStr">
        <is>
          <t>ROBERTSFORS</t>
        </is>
      </c>
      <c r="G1493" t="n">
        <v>17.3</v>
      </c>
      <c r="H1493" t="n">
        <v>0</v>
      </c>
      <c r="I1493" t="n">
        <v>0</v>
      </c>
      <c r="J1493" t="n">
        <v>0</v>
      </c>
      <c r="K1493" t="n">
        <v>0</v>
      </c>
      <c r="L1493" t="n">
        <v>0</v>
      </c>
      <c r="M1493" t="n">
        <v>0</v>
      </c>
      <c r="N1493" t="n">
        <v>0</v>
      </c>
      <c r="O1493" t="n">
        <v>0</v>
      </c>
      <c r="P1493" t="n">
        <v>0</v>
      </c>
      <c r="Q1493" t="n">
        <v>0</v>
      </c>
      <c r="R1493" s="2" t="inlineStr"/>
    </row>
    <row r="1494" ht="15" customHeight="1">
      <c r="A1494" t="inlineStr">
        <is>
          <t>A 9023-2019</t>
        </is>
      </c>
      <c r="B1494" s="1" t="n">
        <v>43503</v>
      </c>
      <c r="C1494" s="1" t="n">
        <v>45204</v>
      </c>
      <c r="D1494" t="inlineStr">
        <is>
          <t>VÄSTERBOTTENS LÄN</t>
        </is>
      </c>
      <c r="E1494" t="inlineStr">
        <is>
          <t>NORDMALING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9047-2019</t>
        </is>
      </c>
      <c r="B1495" s="1" t="n">
        <v>43504</v>
      </c>
      <c r="C1495" s="1" t="n">
        <v>45204</v>
      </c>
      <c r="D1495" t="inlineStr">
        <is>
          <t>VÄSTERBOTTENS LÄN</t>
        </is>
      </c>
      <c r="E1495" t="inlineStr">
        <is>
          <t>SKELLEFTEÅ</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9117-2019</t>
        </is>
      </c>
      <c r="B1496" s="1" t="n">
        <v>43504</v>
      </c>
      <c r="C1496" s="1" t="n">
        <v>45204</v>
      </c>
      <c r="D1496" t="inlineStr">
        <is>
          <t>VÄSTERBOTTENS LÄN</t>
        </is>
      </c>
      <c r="E1496" t="inlineStr">
        <is>
          <t>ÅSELE</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9138-2019</t>
        </is>
      </c>
      <c r="B1497" s="1" t="n">
        <v>43504</v>
      </c>
      <c r="C1497" s="1" t="n">
        <v>45204</v>
      </c>
      <c r="D1497" t="inlineStr">
        <is>
          <t>VÄSTERBOTTENS LÄN</t>
        </is>
      </c>
      <c r="E1497" t="inlineStr">
        <is>
          <t>ROBERTSFORS</t>
        </is>
      </c>
      <c r="G1497" t="n">
        <v>5</v>
      </c>
      <c r="H1497" t="n">
        <v>0</v>
      </c>
      <c r="I1497" t="n">
        <v>0</v>
      </c>
      <c r="J1497" t="n">
        <v>0</v>
      </c>
      <c r="K1497" t="n">
        <v>0</v>
      </c>
      <c r="L1497" t="n">
        <v>0</v>
      </c>
      <c r="M1497" t="n">
        <v>0</v>
      </c>
      <c r="N1497" t="n">
        <v>0</v>
      </c>
      <c r="O1497" t="n">
        <v>0</v>
      </c>
      <c r="P1497" t="n">
        <v>0</v>
      </c>
      <c r="Q1497" t="n">
        <v>0</v>
      </c>
      <c r="R1497" s="2" t="inlineStr"/>
    </row>
    <row r="1498" ht="15" customHeight="1">
      <c r="A1498" t="inlineStr">
        <is>
          <t>A 9116-2019</t>
        </is>
      </c>
      <c r="B1498" s="1" t="n">
        <v>43504</v>
      </c>
      <c r="C1498" s="1" t="n">
        <v>45204</v>
      </c>
      <c r="D1498" t="inlineStr">
        <is>
          <t>VÄSTERBOTTENS LÄN</t>
        </is>
      </c>
      <c r="E1498" t="inlineStr">
        <is>
          <t>ÅSELE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9136-2019</t>
        </is>
      </c>
      <c r="B1499" s="1" t="n">
        <v>43504</v>
      </c>
      <c r="C1499" s="1" t="n">
        <v>45204</v>
      </c>
      <c r="D1499" t="inlineStr">
        <is>
          <t>VÄSTERBOTTENS LÄN</t>
        </is>
      </c>
      <c r="E1499" t="inlineStr">
        <is>
          <t>ÅSELE</t>
        </is>
      </c>
      <c r="G1499" t="n">
        <v>56.2</v>
      </c>
      <c r="H1499" t="n">
        <v>0</v>
      </c>
      <c r="I1499" t="n">
        <v>0</v>
      </c>
      <c r="J1499" t="n">
        <v>0</v>
      </c>
      <c r="K1499" t="n">
        <v>0</v>
      </c>
      <c r="L1499" t="n">
        <v>0</v>
      </c>
      <c r="M1499" t="n">
        <v>0</v>
      </c>
      <c r="N1499" t="n">
        <v>0</v>
      </c>
      <c r="O1499" t="n">
        <v>0</v>
      </c>
      <c r="P1499" t="n">
        <v>0</v>
      </c>
      <c r="Q1499" t="n">
        <v>0</v>
      </c>
      <c r="R1499" s="2" t="inlineStr"/>
    </row>
    <row r="1500" ht="15" customHeight="1">
      <c r="A1500" t="inlineStr">
        <is>
          <t>A 9165-2019</t>
        </is>
      </c>
      <c r="B1500" s="1" t="n">
        <v>43504</v>
      </c>
      <c r="C1500" s="1" t="n">
        <v>45204</v>
      </c>
      <c r="D1500" t="inlineStr">
        <is>
          <t>VÄSTERBOTTENS LÄN</t>
        </is>
      </c>
      <c r="E1500" t="inlineStr">
        <is>
          <t>ÅSELE</t>
        </is>
      </c>
      <c r="G1500" t="n">
        <v>6.4</v>
      </c>
      <c r="H1500" t="n">
        <v>0</v>
      </c>
      <c r="I1500" t="n">
        <v>0</v>
      </c>
      <c r="J1500" t="n">
        <v>0</v>
      </c>
      <c r="K1500" t="n">
        <v>0</v>
      </c>
      <c r="L1500" t="n">
        <v>0</v>
      </c>
      <c r="M1500" t="n">
        <v>0</v>
      </c>
      <c r="N1500" t="n">
        <v>0</v>
      </c>
      <c r="O1500" t="n">
        <v>0</v>
      </c>
      <c r="P1500" t="n">
        <v>0</v>
      </c>
      <c r="Q1500" t="n">
        <v>0</v>
      </c>
      <c r="R1500" s="2" t="inlineStr"/>
    </row>
    <row r="1501" ht="15" customHeight="1">
      <c r="A1501" t="inlineStr">
        <is>
          <t>A 9112-2019</t>
        </is>
      </c>
      <c r="B1501" s="1" t="n">
        <v>43504</v>
      </c>
      <c r="C1501" s="1" t="n">
        <v>45204</v>
      </c>
      <c r="D1501" t="inlineStr">
        <is>
          <t>VÄSTERBOTTENS LÄN</t>
        </is>
      </c>
      <c r="E1501" t="inlineStr">
        <is>
          <t>UMEÅ</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9191-2019</t>
        </is>
      </c>
      <c r="B1502" s="1" t="n">
        <v>43505</v>
      </c>
      <c r="C1502" s="1" t="n">
        <v>45204</v>
      </c>
      <c r="D1502" t="inlineStr">
        <is>
          <t>VÄSTERBOTTENS LÄN</t>
        </is>
      </c>
      <c r="E1502" t="inlineStr">
        <is>
          <t>LYCKSELE</t>
        </is>
      </c>
      <c r="F1502" t="inlineStr">
        <is>
          <t>Sveaskog</t>
        </is>
      </c>
      <c r="G1502" t="n">
        <v>13.3</v>
      </c>
      <c r="H1502" t="n">
        <v>0</v>
      </c>
      <c r="I1502" t="n">
        <v>0</v>
      </c>
      <c r="J1502" t="n">
        <v>0</v>
      </c>
      <c r="K1502" t="n">
        <v>0</v>
      </c>
      <c r="L1502" t="n">
        <v>0</v>
      </c>
      <c r="M1502" t="n">
        <v>0</v>
      </c>
      <c r="N1502" t="n">
        <v>0</v>
      </c>
      <c r="O1502" t="n">
        <v>0</v>
      </c>
      <c r="P1502" t="n">
        <v>0</v>
      </c>
      <c r="Q1502" t="n">
        <v>0</v>
      </c>
      <c r="R1502" s="2" t="inlineStr"/>
    </row>
    <row r="1503" ht="15" customHeight="1">
      <c r="A1503" t="inlineStr">
        <is>
          <t>A 9407-2019</t>
        </is>
      </c>
      <c r="B1503" s="1" t="n">
        <v>43507</v>
      </c>
      <c r="C1503" s="1" t="n">
        <v>45204</v>
      </c>
      <c r="D1503" t="inlineStr">
        <is>
          <t>VÄSTERBOTTENS LÄN</t>
        </is>
      </c>
      <c r="E1503" t="inlineStr">
        <is>
          <t>SKELLEFTEÅ</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9437-2019</t>
        </is>
      </c>
      <c r="B1504" s="1" t="n">
        <v>43507</v>
      </c>
      <c r="C1504" s="1" t="n">
        <v>45204</v>
      </c>
      <c r="D1504" t="inlineStr">
        <is>
          <t>VÄSTERBOTTENS LÄN</t>
        </is>
      </c>
      <c r="E1504" t="inlineStr">
        <is>
          <t>MALÅ</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9250-2019</t>
        </is>
      </c>
      <c r="B1505" s="1" t="n">
        <v>43507</v>
      </c>
      <c r="C1505" s="1" t="n">
        <v>45204</v>
      </c>
      <c r="D1505" t="inlineStr">
        <is>
          <t>VÄSTERBOTTENS LÄN</t>
        </is>
      </c>
      <c r="E1505" t="inlineStr">
        <is>
          <t>LYCKSELE</t>
        </is>
      </c>
      <c r="G1505" t="n">
        <v>4.8</v>
      </c>
      <c r="H1505" t="n">
        <v>0</v>
      </c>
      <c r="I1505" t="n">
        <v>0</v>
      </c>
      <c r="J1505" t="n">
        <v>0</v>
      </c>
      <c r="K1505" t="n">
        <v>0</v>
      </c>
      <c r="L1505" t="n">
        <v>0</v>
      </c>
      <c r="M1505" t="n">
        <v>0</v>
      </c>
      <c r="N1505" t="n">
        <v>0</v>
      </c>
      <c r="O1505" t="n">
        <v>0</v>
      </c>
      <c r="P1505" t="n">
        <v>0</v>
      </c>
      <c r="Q1505" t="n">
        <v>0</v>
      </c>
      <c r="R1505" s="2" t="inlineStr"/>
    </row>
    <row r="1506" ht="15" customHeight="1">
      <c r="A1506" t="inlineStr">
        <is>
          <t>A 9384-2019</t>
        </is>
      </c>
      <c r="B1506" s="1" t="n">
        <v>43507</v>
      </c>
      <c r="C1506" s="1" t="n">
        <v>45204</v>
      </c>
      <c r="D1506" t="inlineStr">
        <is>
          <t>VÄSTERBOTTENS LÄN</t>
        </is>
      </c>
      <c r="E1506" t="inlineStr">
        <is>
          <t>SKELLEFTEÅ</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9425-2019</t>
        </is>
      </c>
      <c r="B1507" s="1" t="n">
        <v>43507</v>
      </c>
      <c r="C1507" s="1" t="n">
        <v>45204</v>
      </c>
      <c r="D1507" t="inlineStr">
        <is>
          <t>VÄSTERBOTTENS LÄN</t>
        </is>
      </c>
      <c r="E1507" t="inlineStr">
        <is>
          <t>MALÅ</t>
        </is>
      </c>
      <c r="G1507" t="n">
        <v>13.8</v>
      </c>
      <c r="H1507" t="n">
        <v>0</v>
      </c>
      <c r="I1507" t="n">
        <v>0</v>
      </c>
      <c r="J1507" t="n">
        <v>0</v>
      </c>
      <c r="K1507" t="n">
        <v>0</v>
      </c>
      <c r="L1507" t="n">
        <v>0</v>
      </c>
      <c r="M1507" t="n">
        <v>0</v>
      </c>
      <c r="N1507" t="n">
        <v>0</v>
      </c>
      <c r="O1507" t="n">
        <v>0</v>
      </c>
      <c r="P1507" t="n">
        <v>0</v>
      </c>
      <c r="Q1507" t="n">
        <v>0</v>
      </c>
      <c r="R1507" s="2" t="inlineStr"/>
    </row>
    <row r="1508" ht="15" customHeight="1">
      <c r="A1508" t="inlineStr">
        <is>
          <t>A 9491-2019</t>
        </is>
      </c>
      <c r="B1508" s="1" t="n">
        <v>43507</v>
      </c>
      <c r="C1508" s="1" t="n">
        <v>45204</v>
      </c>
      <c r="D1508" t="inlineStr">
        <is>
          <t>VÄSTERBOTTENS LÄN</t>
        </is>
      </c>
      <c r="E1508" t="inlineStr">
        <is>
          <t>VILHELMINA</t>
        </is>
      </c>
      <c r="G1508" t="n">
        <v>11.2</v>
      </c>
      <c r="H1508" t="n">
        <v>0</v>
      </c>
      <c r="I1508" t="n">
        <v>0</v>
      </c>
      <c r="J1508" t="n">
        <v>0</v>
      </c>
      <c r="K1508" t="n">
        <v>0</v>
      </c>
      <c r="L1508" t="n">
        <v>0</v>
      </c>
      <c r="M1508" t="n">
        <v>0</v>
      </c>
      <c r="N1508" t="n">
        <v>0</v>
      </c>
      <c r="O1508" t="n">
        <v>0</v>
      </c>
      <c r="P1508" t="n">
        <v>0</v>
      </c>
      <c r="Q1508" t="n">
        <v>0</v>
      </c>
      <c r="R1508" s="2" t="inlineStr"/>
    </row>
    <row r="1509" ht="15" customHeight="1">
      <c r="A1509" t="inlineStr">
        <is>
          <t>A 9527-2019</t>
        </is>
      </c>
      <c r="B1509" s="1" t="n">
        <v>43507</v>
      </c>
      <c r="C1509" s="1" t="n">
        <v>45204</v>
      </c>
      <c r="D1509" t="inlineStr">
        <is>
          <t>VÄSTERBOTTENS LÄN</t>
        </is>
      </c>
      <c r="E1509" t="inlineStr">
        <is>
          <t>ÅSELE</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9567-2019</t>
        </is>
      </c>
      <c r="B1510" s="1" t="n">
        <v>43508</v>
      </c>
      <c r="C1510" s="1" t="n">
        <v>45204</v>
      </c>
      <c r="D1510" t="inlineStr">
        <is>
          <t>VÄSTERBOTTENS LÄN</t>
        </is>
      </c>
      <c r="E1510" t="inlineStr">
        <is>
          <t>STORUMAN</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9719-2019</t>
        </is>
      </c>
      <c r="B1511" s="1" t="n">
        <v>43508</v>
      </c>
      <c r="C1511" s="1" t="n">
        <v>45204</v>
      </c>
      <c r="D1511" t="inlineStr">
        <is>
          <t>VÄSTERBOTTENS LÄN</t>
        </is>
      </c>
      <c r="E1511" t="inlineStr">
        <is>
          <t>DOROTEA</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9984-2019</t>
        </is>
      </c>
      <c r="B1512" s="1" t="n">
        <v>43509</v>
      </c>
      <c r="C1512" s="1" t="n">
        <v>45204</v>
      </c>
      <c r="D1512" t="inlineStr">
        <is>
          <t>VÄSTERBOTTENS LÄN</t>
        </is>
      </c>
      <c r="E1512" t="inlineStr">
        <is>
          <t>VILHELMINA</t>
        </is>
      </c>
      <c r="G1512" t="n">
        <v>21.7</v>
      </c>
      <c r="H1512" t="n">
        <v>0</v>
      </c>
      <c r="I1512" t="n">
        <v>0</v>
      </c>
      <c r="J1512" t="n">
        <v>0</v>
      </c>
      <c r="K1512" t="n">
        <v>0</v>
      </c>
      <c r="L1512" t="n">
        <v>0</v>
      </c>
      <c r="M1512" t="n">
        <v>0</v>
      </c>
      <c r="N1512" t="n">
        <v>0</v>
      </c>
      <c r="O1512" t="n">
        <v>0</v>
      </c>
      <c r="P1512" t="n">
        <v>0</v>
      </c>
      <c r="Q1512" t="n">
        <v>0</v>
      </c>
      <c r="R1512" s="2" t="inlineStr"/>
    </row>
    <row r="1513" ht="15" customHeight="1">
      <c r="A1513" t="inlineStr">
        <is>
          <t>A 9996-2019</t>
        </is>
      </c>
      <c r="B1513" s="1" t="n">
        <v>43509</v>
      </c>
      <c r="C1513" s="1" t="n">
        <v>45204</v>
      </c>
      <c r="D1513" t="inlineStr">
        <is>
          <t>VÄSTERBOTTENS LÄN</t>
        </is>
      </c>
      <c r="E1513" t="inlineStr">
        <is>
          <t>MALÅ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9941-2019</t>
        </is>
      </c>
      <c r="B1514" s="1" t="n">
        <v>43509</v>
      </c>
      <c r="C1514" s="1" t="n">
        <v>45204</v>
      </c>
      <c r="D1514" t="inlineStr">
        <is>
          <t>VÄSTERBOTTENS LÄN</t>
        </is>
      </c>
      <c r="E1514" t="inlineStr">
        <is>
          <t>UMEÅ</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9983-2019</t>
        </is>
      </c>
      <c r="B1515" s="1" t="n">
        <v>43509</v>
      </c>
      <c r="C1515" s="1" t="n">
        <v>45204</v>
      </c>
      <c r="D1515" t="inlineStr">
        <is>
          <t>VÄSTERBOTTENS LÄN</t>
        </is>
      </c>
      <c r="E1515" t="inlineStr">
        <is>
          <t>VILHELMINA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9864-2019</t>
        </is>
      </c>
      <c r="B1516" s="1" t="n">
        <v>43509</v>
      </c>
      <c r="C1516" s="1" t="n">
        <v>45204</v>
      </c>
      <c r="D1516" t="inlineStr">
        <is>
          <t>VÄSTERBOTTENS LÄN</t>
        </is>
      </c>
      <c r="E1516" t="inlineStr">
        <is>
          <t>SKELLEFTEÅ</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9985-2019</t>
        </is>
      </c>
      <c r="B1517" s="1" t="n">
        <v>43509</v>
      </c>
      <c r="C1517" s="1" t="n">
        <v>45204</v>
      </c>
      <c r="D1517" t="inlineStr">
        <is>
          <t>VÄSTERBOTTENS LÄN</t>
        </is>
      </c>
      <c r="E1517" t="inlineStr">
        <is>
          <t>VILHELMINA</t>
        </is>
      </c>
      <c r="G1517" t="n">
        <v>8.800000000000001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9997-2019</t>
        </is>
      </c>
      <c r="B1518" s="1" t="n">
        <v>43509</v>
      </c>
      <c r="C1518" s="1" t="n">
        <v>45204</v>
      </c>
      <c r="D1518" t="inlineStr">
        <is>
          <t>VÄSTERBOTTENS LÄN</t>
        </is>
      </c>
      <c r="E1518" t="inlineStr">
        <is>
          <t>MALÅ</t>
        </is>
      </c>
      <c r="G1518" t="n">
        <v>15.7</v>
      </c>
      <c r="H1518" t="n">
        <v>0</v>
      </c>
      <c r="I1518" t="n">
        <v>0</v>
      </c>
      <c r="J1518" t="n">
        <v>0</v>
      </c>
      <c r="K1518" t="n">
        <v>0</v>
      </c>
      <c r="L1518" t="n">
        <v>0</v>
      </c>
      <c r="M1518" t="n">
        <v>0</v>
      </c>
      <c r="N1518" t="n">
        <v>0</v>
      </c>
      <c r="O1518" t="n">
        <v>0</v>
      </c>
      <c r="P1518" t="n">
        <v>0</v>
      </c>
      <c r="Q1518" t="n">
        <v>0</v>
      </c>
      <c r="R1518" s="2" t="inlineStr"/>
    </row>
    <row r="1519" ht="15" customHeight="1">
      <c r="A1519" t="inlineStr">
        <is>
          <t>A 9732-2019</t>
        </is>
      </c>
      <c r="B1519" s="1" t="n">
        <v>43509</v>
      </c>
      <c r="C1519" s="1" t="n">
        <v>45204</v>
      </c>
      <c r="D1519" t="inlineStr">
        <is>
          <t>VÄSTERBOTTENS LÄN</t>
        </is>
      </c>
      <c r="E1519" t="inlineStr">
        <is>
          <t>SKELLEFTEÅ</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9935-2019</t>
        </is>
      </c>
      <c r="B1520" s="1" t="n">
        <v>43509</v>
      </c>
      <c r="C1520" s="1" t="n">
        <v>45204</v>
      </c>
      <c r="D1520" t="inlineStr">
        <is>
          <t>VÄSTERBOTTENS LÄN</t>
        </is>
      </c>
      <c r="E1520" t="inlineStr">
        <is>
          <t>UMEÅ</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9988-2019</t>
        </is>
      </c>
      <c r="B1521" s="1" t="n">
        <v>43509</v>
      </c>
      <c r="C1521" s="1" t="n">
        <v>45204</v>
      </c>
      <c r="D1521" t="inlineStr">
        <is>
          <t>VÄSTERBOTTENS LÄN</t>
        </is>
      </c>
      <c r="E1521" t="inlineStr">
        <is>
          <t>VILHELMINA</t>
        </is>
      </c>
      <c r="G1521" t="n">
        <v>20.4</v>
      </c>
      <c r="H1521" t="n">
        <v>0</v>
      </c>
      <c r="I1521" t="n">
        <v>0</v>
      </c>
      <c r="J1521" t="n">
        <v>0</v>
      </c>
      <c r="K1521" t="n">
        <v>0</v>
      </c>
      <c r="L1521" t="n">
        <v>0</v>
      </c>
      <c r="M1521" t="n">
        <v>0</v>
      </c>
      <c r="N1521" t="n">
        <v>0</v>
      </c>
      <c r="O1521" t="n">
        <v>0</v>
      </c>
      <c r="P1521" t="n">
        <v>0</v>
      </c>
      <c r="Q1521" t="n">
        <v>0</v>
      </c>
      <c r="R1521" s="2" t="inlineStr"/>
    </row>
    <row r="1522" ht="15" customHeight="1">
      <c r="A1522" t="inlineStr">
        <is>
          <t>A 9998-2019</t>
        </is>
      </c>
      <c r="B1522" s="1" t="n">
        <v>43509</v>
      </c>
      <c r="C1522" s="1" t="n">
        <v>45204</v>
      </c>
      <c r="D1522" t="inlineStr">
        <is>
          <t>VÄSTERBOTTENS LÄN</t>
        </is>
      </c>
      <c r="E1522" t="inlineStr">
        <is>
          <t>MALÅ</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10248-2019</t>
        </is>
      </c>
      <c r="B1523" s="1" t="n">
        <v>43510</v>
      </c>
      <c r="C1523" s="1" t="n">
        <v>45204</v>
      </c>
      <c r="D1523" t="inlineStr">
        <is>
          <t>VÄSTERBOTTENS LÄN</t>
        </is>
      </c>
      <c r="E1523" t="inlineStr">
        <is>
          <t>ÅSELE</t>
        </is>
      </c>
      <c r="F1523" t="inlineStr">
        <is>
          <t>SCA</t>
        </is>
      </c>
      <c r="G1523" t="n">
        <v>8.5</v>
      </c>
      <c r="H1523" t="n">
        <v>0</v>
      </c>
      <c r="I1523" t="n">
        <v>0</v>
      </c>
      <c r="J1523" t="n">
        <v>0</v>
      </c>
      <c r="K1523" t="n">
        <v>0</v>
      </c>
      <c r="L1523" t="n">
        <v>0</v>
      </c>
      <c r="M1523" t="n">
        <v>0</v>
      </c>
      <c r="N1523" t="n">
        <v>0</v>
      </c>
      <c r="O1523" t="n">
        <v>0</v>
      </c>
      <c r="P1523" t="n">
        <v>0</v>
      </c>
      <c r="Q1523" t="n">
        <v>0</v>
      </c>
      <c r="R1523" s="2" t="inlineStr"/>
    </row>
    <row r="1524" ht="15" customHeight="1">
      <c r="A1524" t="inlineStr">
        <is>
          <t>A 10117-2019</t>
        </is>
      </c>
      <c r="B1524" s="1" t="n">
        <v>43510</v>
      </c>
      <c r="C1524" s="1" t="n">
        <v>45204</v>
      </c>
      <c r="D1524" t="inlineStr">
        <is>
          <t>VÄSTERBOTTENS LÄN</t>
        </is>
      </c>
      <c r="E1524" t="inlineStr">
        <is>
          <t>SORSELE</t>
        </is>
      </c>
      <c r="G1524" t="n">
        <v>12.4</v>
      </c>
      <c r="H1524" t="n">
        <v>0</v>
      </c>
      <c r="I1524" t="n">
        <v>0</v>
      </c>
      <c r="J1524" t="n">
        <v>0</v>
      </c>
      <c r="K1524" t="n">
        <v>0</v>
      </c>
      <c r="L1524" t="n">
        <v>0</v>
      </c>
      <c r="M1524" t="n">
        <v>0</v>
      </c>
      <c r="N1524" t="n">
        <v>0</v>
      </c>
      <c r="O1524" t="n">
        <v>0</v>
      </c>
      <c r="P1524" t="n">
        <v>0</v>
      </c>
      <c r="Q1524" t="n">
        <v>0</v>
      </c>
      <c r="R1524" s="2" t="inlineStr"/>
    </row>
    <row r="1525" ht="15" customHeight="1">
      <c r="A1525" t="inlineStr">
        <is>
          <t>A 10183-2019</t>
        </is>
      </c>
      <c r="B1525" s="1" t="n">
        <v>43510</v>
      </c>
      <c r="C1525" s="1" t="n">
        <v>45204</v>
      </c>
      <c r="D1525" t="inlineStr">
        <is>
          <t>VÄSTERBOTTENS LÄN</t>
        </is>
      </c>
      <c r="E1525" t="inlineStr">
        <is>
          <t>SKELLEFTEÅ</t>
        </is>
      </c>
      <c r="G1525" t="n">
        <v>8.699999999999999</v>
      </c>
      <c r="H1525" t="n">
        <v>0</v>
      </c>
      <c r="I1525" t="n">
        <v>0</v>
      </c>
      <c r="J1525" t="n">
        <v>0</v>
      </c>
      <c r="K1525" t="n">
        <v>0</v>
      </c>
      <c r="L1525" t="n">
        <v>0</v>
      </c>
      <c r="M1525" t="n">
        <v>0</v>
      </c>
      <c r="N1525" t="n">
        <v>0</v>
      </c>
      <c r="O1525" t="n">
        <v>0</v>
      </c>
      <c r="P1525" t="n">
        <v>0</v>
      </c>
      <c r="Q1525" t="n">
        <v>0</v>
      </c>
      <c r="R1525" s="2" t="inlineStr"/>
    </row>
    <row r="1526" ht="15" customHeight="1">
      <c r="A1526" t="inlineStr">
        <is>
          <t>A 10245-2019</t>
        </is>
      </c>
      <c r="B1526" s="1" t="n">
        <v>43510</v>
      </c>
      <c r="C1526" s="1" t="n">
        <v>45204</v>
      </c>
      <c r="D1526" t="inlineStr">
        <is>
          <t>VÄSTERBOTTENS LÄN</t>
        </is>
      </c>
      <c r="E1526" t="inlineStr">
        <is>
          <t>NORSJÖ</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10283-2019</t>
        </is>
      </c>
      <c r="B1527" s="1" t="n">
        <v>43511</v>
      </c>
      <c r="C1527" s="1" t="n">
        <v>45204</v>
      </c>
      <c r="D1527" t="inlineStr">
        <is>
          <t>VÄSTERBOTTENS LÄN</t>
        </is>
      </c>
      <c r="E1527" t="inlineStr">
        <is>
          <t>NORSJÖ</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10612-2019</t>
        </is>
      </c>
      <c r="B1528" s="1" t="n">
        <v>43511</v>
      </c>
      <c r="C1528" s="1" t="n">
        <v>45204</v>
      </c>
      <c r="D1528" t="inlineStr">
        <is>
          <t>VÄSTERBOTTENS LÄN</t>
        </is>
      </c>
      <c r="E1528" t="inlineStr">
        <is>
          <t>LYCKSELE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10385-2019</t>
        </is>
      </c>
      <c r="B1529" s="1" t="n">
        <v>43511</v>
      </c>
      <c r="C1529" s="1" t="n">
        <v>45204</v>
      </c>
      <c r="D1529" t="inlineStr">
        <is>
          <t>VÄSTERBOTTENS LÄN</t>
        </is>
      </c>
      <c r="E1529" t="inlineStr">
        <is>
          <t>LYCKSELE</t>
        </is>
      </c>
      <c r="F1529" t="inlineStr">
        <is>
          <t>Sveaskog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10759-2019</t>
        </is>
      </c>
      <c r="B1530" s="1" t="n">
        <v>43514</v>
      </c>
      <c r="C1530" s="1" t="n">
        <v>45204</v>
      </c>
      <c r="D1530" t="inlineStr">
        <is>
          <t>VÄSTERBOTTENS LÄN</t>
        </is>
      </c>
      <c r="E1530" t="inlineStr">
        <is>
          <t>ROBERTSFORS</t>
        </is>
      </c>
      <c r="G1530" t="n">
        <v>4.1</v>
      </c>
      <c r="H1530" t="n">
        <v>0</v>
      </c>
      <c r="I1530" t="n">
        <v>0</v>
      </c>
      <c r="J1530" t="n">
        <v>0</v>
      </c>
      <c r="K1530" t="n">
        <v>0</v>
      </c>
      <c r="L1530" t="n">
        <v>0</v>
      </c>
      <c r="M1530" t="n">
        <v>0</v>
      </c>
      <c r="N1530" t="n">
        <v>0</v>
      </c>
      <c r="O1530" t="n">
        <v>0</v>
      </c>
      <c r="P1530" t="n">
        <v>0</v>
      </c>
      <c r="Q1530" t="n">
        <v>0</v>
      </c>
      <c r="R1530" s="2" t="inlineStr"/>
    </row>
    <row r="1531" ht="15" customHeight="1">
      <c r="A1531" t="inlineStr">
        <is>
          <t>A 10772-2019</t>
        </is>
      </c>
      <c r="B1531" s="1" t="n">
        <v>43514</v>
      </c>
      <c r="C1531" s="1" t="n">
        <v>45204</v>
      </c>
      <c r="D1531" t="inlineStr">
        <is>
          <t>VÄSTERBOTTENS LÄN</t>
        </is>
      </c>
      <c r="E1531" t="inlineStr">
        <is>
          <t>NORSJÖ</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10783-2019</t>
        </is>
      </c>
      <c r="B1532" s="1" t="n">
        <v>43514</v>
      </c>
      <c r="C1532" s="1" t="n">
        <v>45204</v>
      </c>
      <c r="D1532" t="inlineStr">
        <is>
          <t>VÄSTERBOTTENS LÄN</t>
        </is>
      </c>
      <c r="E1532" t="inlineStr">
        <is>
          <t>ROBERTSFORS</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10699-2019</t>
        </is>
      </c>
      <c r="B1533" s="1" t="n">
        <v>43514</v>
      </c>
      <c r="C1533" s="1" t="n">
        <v>45204</v>
      </c>
      <c r="D1533" t="inlineStr">
        <is>
          <t>VÄSTERBOTTENS LÄN</t>
        </is>
      </c>
      <c r="E1533" t="inlineStr">
        <is>
          <t>MALÅ</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10873-2019</t>
        </is>
      </c>
      <c r="B1534" s="1" t="n">
        <v>43514</v>
      </c>
      <c r="C1534" s="1" t="n">
        <v>45204</v>
      </c>
      <c r="D1534" t="inlineStr">
        <is>
          <t>VÄSTERBOTTENS LÄN</t>
        </is>
      </c>
      <c r="E1534" t="inlineStr">
        <is>
          <t>NORSJÖ</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10912-2019</t>
        </is>
      </c>
      <c r="B1535" s="1" t="n">
        <v>43515</v>
      </c>
      <c r="C1535" s="1" t="n">
        <v>45204</v>
      </c>
      <c r="D1535" t="inlineStr">
        <is>
          <t>VÄSTERBOTTENS LÄN</t>
        </is>
      </c>
      <c r="E1535" t="inlineStr">
        <is>
          <t>VINDELN</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10983-2019</t>
        </is>
      </c>
      <c r="B1536" s="1" t="n">
        <v>43515</v>
      </c>
      <c r="C1536" s="1" t="n">
        <v>45204</v>
      </c>
      <c r="D1536" t="inlineStr">
        <is>
          <t>VÄSTERBOTTENS LÄN</t>
        </is>
      </c>
      <c r="E1536" t="inlineStr">
        <is>
          <t>LYCKSELE</t>
        </is>
      </c>
      <c r="F1536" t="inlineStr">
        <is>
          <t>Holmen skog AB</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11050-2019</t>
        </is>
      </c>
      <c r="B1537" s="1" t="n">
        <v>43515</v>
      </c>
      <c r="C1537" s="1" t="n">
        <v>45204</v>
      </c>
      <c r="D1537" t="inlineStr">
        <is>
          <t>VÄSTERBOTTENS LÄN</t>
        </is>
      </c>
      <c r="E1537" t="inlineStr">
        <is>
          <t>SKELLEFTEÅ</t>
        </is>
      </c>
      <c r="F1537" t="inlineStr">
        <is>
          <t>Sveaskog</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11034-2019</t>
        </is>
      </c>
      <c r="B1538" s="1" t="n">
        <v>43515</v>
      </c>
      <c r="C1538" s="1" t="n">
        <v>45204</v>
      </c>
      <c r="D1538" t="inlineStr">
        <is>
          <t>VÄSTERBOTTENS LÄN</t>
        </is>
      </c>
      <c r="E1538" t="inlineStr">
        <is>
          <t>NORSJÖ</t>
        </is>
      </c>
      <c r="F1538" t="inlineStr">
        <is>
          <t>Sveaskog</t>
        </is>
      </c>
      <c r="G1538" t="n">
        <v>5.2</v>
      </c>
      <c r="H1538" t="n">
        <v>0</v>
      </c>
      <c r="I1538" t="n">
        <v>0</v>
      </c>
      <c r="J1538" t="n">
        <v>0</v>
      </c>
      <c r="K1538" t="n">
        <v>0</v>
      </c>
      <c r="L1538" t="n">
        <v>0</v>
      </c>
      <c r="M1538" t="n">
        <v>0</v>
      </c>
      <c r="N1538" t="n">
        <v>0</v>
      </c>
      <c r="O1538" t="n">
        <v>0</v>
      </c>
      <c r="P1538" t="n">
        <v>0</v>
      </c>
      <c r="Q1538" t="n">
        <v>0</v>
      </c>
      <c r="R1538" s="2" t="inlineStr"/>
    </row>
    <row r="1539" ht="15" customHeight="1">
      <c r="A1539" t="inlineStr">
        <is>
          <t>A 11300-2019</t>
        </is>
      </c>
      <c r="B1539" s="1" t="n">
        <v>43516</v>
      </c>
      <c r="C1539" s="1" t="n">
        <v>45204</v>
      </c>
      <c r="D1539" t="inlineStr">
        <is>
          <t>VÄSTERBOTTENS LÄN</t>
        </is>
      </c>
      <c r="E1539" t="inlineStr">
        <is>
          <t>VINDELN</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11421-2019</t>
        </is>
      </c>
      <c r="B1540" s="1" t="n">
        <v>43516</v>
      </c>
      <c r="C1540" s="1" t="n">
        <v>45204</v>
      </c>
      <c r="D1540" t="inlineStr">
        <is>
          <t>VÄSTERBOTTENS LÄN</t>
        </is>
      </c>
      <c r="E1540" t="inlineStr">
        <is>
          <t>UMEÅ</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11294-2019</t>
        </is>
      </c>
      <c r="B1541" s="1" t="n">
        <v>43516</v>
      </c>
      <c r="C1541" s="1" t="n">
        <v>45204</v>
      </c>
      <c r="D1541" t="inlineStr">
        <is>
          <t>VÄSTERBOTTENS LÄN</t>
        </is>
      </c>
      <c r="E1541" t="inlineStr">
        <is>
          <t>ÅSELE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11548-2019</t>
        </is>
      </c>
      <c r="B1542" s="1" t="n">
        <v>43517</v>
      </c>
      <c r="C1542" s="1" t="n">
        <v>45204</v>
      </c>
      <c r="D1542" t="inlineStr">
        <is>
          <t>VÄSTERBOTTENS LÄN</t>
        </is>
      </c>
      <c r="E1542" t="inlineStr">
        <is>
          <t>ROBERTSFORS</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11600-2019</t>
        </is>
      </c>
      <c r="B1543" s="1" t="n">
        <v>43517</v>
      </c>
      <c r="C1543" s="1" t="n">
        <v>45204</v>
      </c>
      <c r="D1543" t="inlineStr">
        <is>
          <t>VÄSTERBOTTENS LÄN</t>
        </is>
      </c>
      <c r="E1543" t="inlineStr">
        <is>
          <t>STORUMAN</t>
        </is>
      </c>
      <c r="G1543" t="n">
        <v>31.9</v>
      </c>
      <c r="H1543" t="n">
        <v>0</v>
      </c>
      <c r="I1543" t="n">
        <v>0</v>
      </c>
      <c r="J1543" t="n">
        <v>0</v>
      </c>
      <c r="K1543" t="n">
        <v>0</v>
      </c>
      <c r="L1543" t="n">
        <v>0</v>
      </c>
      <c r="M1543" t="n">
        <v>0</v>
      </c>
      <c r="N1543" t="n">
        <v>0</v>
      </c>
      <c r="O1543" t="n">
        <v>0</v>
      </c>
      <c r="P1543" t="n">
        <v>0</v>
      </c>
      <c r="Q1543" t="n">
        <v>0</v>
      </c>
      <c r="R1543" s="2" t="inlineStr"/>
    </row>
    <row r="1544" ht="15" customHeight="1">
      <c r="A1544" t="inlineStr">
        <is>
          <t>A 11644-2019</t>
        </is>
      </c>
      <c r="B1544" s="1" t="n">
        <v>43517</v>
      </c>
      <c r="C1544" s="1" t="n">
        <v>45204</v>
      </c>
      <c r="D1544" t="inlineStr">
        <is>
          <t>VÄSTERBOTTENS LÄN</t>
        </is>
      </c>
      <c r="E1544" t="inlineStr">
        <is>
          <t>ÅSELE</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11603-2019</t>
        </is>
      </c>
      <c r="B1545" s="1" t="n">
        <v>43517</v>
      </c>
      <c r="C1545" s="1" t="n">
        <v>45204</v>
      </c>
      <c r="D1545" t="inlineStr">
        <is>
          <t>VÄSTERBOTTENS LÄN</t>
        </is>
      </c>
      <c r="E1545" t="inlineStr">
        <is>
          <t>NORDMALING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11472-2019</t>
        </is>
      </c>
      <c r="B1546" s="1" t="n">
        <v>43517</v>
      </c>
      <c r="C1546" s="1" t="n">
        <v>45204</v>
      </c>
      <c r="D1546" t="inlineStr">
        <is>
          <t>VÄSTERBOTTENS LÄN</t>
        </is>
      </c>
      <c r="E1546" t="inlineStr">
        <is>
          <t>ÅSELE</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11781-2019</t>
        </is>
      </c>
      <c r="B1547" s="1" t="n">
        <v>43518</v>
      </c>
      <c r="C1547" s="1" t="n">
        <v>45204</v>
      </c>
      <c r="D1547" t="inlineStr">
        <is>
          <t>VÄSTERBOTTENS LÄN</t>
        </is>
      </c>
      <c r="E1547" t="inlineStr">
        <is>
          <t>LYCKSELE</t>
        </is>
      </c>
      <c r="G1547" t="n">
        <v>16.4</v>
      </c>
      <c r="H1547" t="n">
        <v>0</v>
      </c>
      <c r="I1547" t="n">
        <v>0</v>
      </c>
      <c r="J1547" t="n">
        <v>0</v>
      </c>
      <c r="K1547" t="n">
        <v>0</v>
      </c>
      <c r="L1547" t="n">
        <v>0</v>
      </c>
      <c r="M1547" t="n">
        <v>0</v>
      </c>
      <c r="N1547" t="n">
        <v>0</v>
      </c>
      <c r="O1547" t="n">
        <v>0</v>
      </c>
      <c r="P1547" t="n">
        <v>0</v>
      </c>
      <c r="Q1547" t="n">
        <v>0</v>
      </c>
      <c r="R1547" s="2" t="inlineStr"/>
    </row>
    <row r="1548" ht="15" customHeight="1">
      <c r="A1548" t="inlineStr">
        <is>
          <t>A 11803-2019</t>
        </is>
      </c>
      <c r="B1548" s="1" t="n">
        <v>43518</v>
      </c>
      <c r="C1548" s="1" t="n">
        <v>45204</v>
      </c>
      <c r="D1548" t="inlineStr">
        <is>
          <t>VÄSTERBOTTENS LÄN</t>
        </is>
      </c>
      <c r="E1548" t="inlineStr">
        <is>
          <t>LYCKSELE</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12043-2019</t>
        </is>
      </c>
      <c r="B1549" s="1" t="n">
        <v>43518</v>
      </c>
      <c r="C1549" s="1" t="n">
        <v>45204</v>
      </c>
      <c r="D1549" t="inlineStr">
        <is>
          <t>VÄSTERBOTTENS LÄN</t>
        </is>
      </c>
      <c r="E1549" t="inlineStr">
        <is>
          <t>LYCKSELE</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11777-2019</t>
        </is>
      </c>
      <c r="B1550" s="1" t="n">
        <v>43518</v>
      </c>
      <c r="C1550" s="1" t="n">
        <v>45204</v>
      </c>
      <c r="D1550" t="inlineStr">
        <is>
          <t>VÄSTERBOTTENS LÄN</t>
        </is>
      </c>
      <c r="E1550" t="inlineStr">
        <is>
          <t>UMEÅ</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11792-2019</t>
        </is>
      </c>
      <c r="B1551" s="1" t="n">
        <v>43518</v>
      </c>
      <c r="C1551" s="1" t="n">
        <v>45204</v>
      </c>
      <c r="D1551" t="inlineStr">
        <is>
          <t>VÄSTERBOTTENS LÄN</t>
        </is>
      </c>
      <c r="E1551" t="inlineStr">
        <is>
          <t>NORSJÖ</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11810-2019</t>
        </is>
      </c>
      <c r="B1552" s="1" t="n">
        <v>43518</v>
      </c>
      <c r="C1552" s="1" t="n">
        <v>45204</v>
      </c>
      <c r="D1552" t="inlineStr">
        <is>
          <t>VÄSTERBOTTENS LÄN</t>
        </is>
      </c>
      <c r="E1552" t="inlineStr">
        <is>
          <t>LYCKSELE</t>
        </is>
      </c>
      <c r="G1552" t="n">
        <v>0.4</v>
      </c>
      <c r="H1552" t="n">
        <v>0</v>
      </c>
      <c r="I1552" t="n">
        <v>0</v>
      </c>
      <c r="J1552" t="n">
        <v>0</v>
      </c>
      <c r="K1552" t="n">
        <v>0</v>
      </c>
      <c r="L1552" t="n">
        <v>0</v>
      </c>
      <c r="M1552" t="n">
        <v>0</v>
      </c>
      <c r="N1552" t="n">
        <v>0</v>
      </c>
      <c r="O1552" t="n">
        <v>0</v>
      </c>
      <c r="P1552" t="n">
        <v>0</v>
      </c>
      <c r="Q1552" t="n">
        <v>0</v>
      </c>
      <c r="R1552" s="2" t="inlineStr"/>
    </row>
    <row r="1553" ht="15" customHeight="1">
      <c r="A1553" t="inlineStr">
        <is>
          <t>A 11778-2019</t>
        </is>
      </c>
      <c r="B1553" s="1" t="n">
        <v>43518</v>
      </c>
      <c r="C1553" s="1" t="n">
        <v>45204</v>
      </c>
      <c r="D1553" t="inlineStr">
        <is>
          <t>VÄSTERBOTTENS LÄN</t>
        </is>
      </c>
      <c r="E1553" t="inlineStr">
        <is>
          <t>UMEÅ</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11938-2019</t>
        </is>
      </c>
      <c r="B1554" s="1" t="n">
        <v>43518</v>
      </c>
      <c r="C1554" s="1" t="n">
        <v>45204</v>
      </c>
      <c r="D1554" t="inlineStr">
        <is>
          <t>VÄSTERBOTTENS LÄN</t>
        </is>
      </c>
      <c r="E1554" t="inlineStr">
        <is>
          <t>BJURHOLM</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11718-2019</t>
        </is>
      </c>
      <c r="B1555" s="1" t="n">
        <v>43518</v>
      </c>
      <c r="C1555" s="1" t="n">
        <v>45204</v>
      </c>
      <c r="D1555" t="inlineStr">
        <is>
          <t>VÄSTERBOTTENS LÄN</t>
        </is>
      </c>
      <c r="E1555" t="inlineStr">
        <is>
          <t>SKELLEFTEÅ</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11776-2019</t>
        </is>
      </c>
      <c r="B1556" s="1" t="n">
        <v>43518</v>
      </c>
      <c r="C1556" s="1" t="n">
        <v>45204</v>
      </c>
      <c r="D1556" t="inlineStr">
        <is>
          <t>VÄSTERBOTTENS LÄN</t>
        </is>
      </c>
      <c r="E1556" t="inlineStr">
        <is>
          <t>UMEÅ</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11809-2019</t>
        </is>
      </c>
      <c r="B1557" s="1" t="n">
        <v>43518</v>
      </c>
      <c r="C1557" s="1" t="n">
        <v>45204</v>
      </c>
      <c r="D1557" t="inlineStr">
        <is>
          <t>VÄSTERBOTTENS LÄN</t>
        </is>
      </c>
      <c r="E1557" t="inlineStr">
        <is>
          <t>LYCKSELE</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11817-2019</t>
        </is>
      </c>
      <c r="B1558" s="1" t="n">
        <v>43521</v>
      </c>
      <c r="C1558" s="1" t="n">
        <v>45204</v>
      </c>
      <c r="D1558" t="inlineStr">
        <is>
          <t>VÄSTERBOTTENS LÄN</t>
        </is>
      </c>
      <c r="E1558" t="inlineStr">
        <is>
          <t>NORDMALING</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11820-2019</t>
        </is>
      </c>
      <c r="B1559" s="1" t="n">
        <v>43521</v>
      </c>
      <c r="C1559" s="1" t="n">
        <v>45204</v>
      </c>
      <c r="D1559" t="inlineStr">
        <is>
          <t>VÄSTERBOTTENS LÄN</t>
        </is>
      </c>
      <c r="E1559" t="inlineStr">
        <is>
          <t>NORDMALING</t>
        </is>
      </c>
      <c r="G1559" t="n">
        <v>0.1</v>
      </c>
      <c r="H1559" t="n">
        <v>0</v>
      </c>
      <c r="I1559" t="n">
        <v>0</v>
      </c>
      <c r="J1559" t="n">
        <v>0</v>
      </c>
      <c r="K1559" t="n">
        <v>0</v>
      </c>
      <c r="L1559" t="n">
        <v>0</v>
      </c>
      <c r="M1559" t="n">
        <v>0</v>
      </c>
      <c r="N1559" t="n">
        <v>0</v>
      </c>
      <c r="O1559" t="n">
        <v>0</v>
      </c>
      <c r="P1559" t="n">
        <v>0</v>
      </c>
      <c r="Q1559" t="n">
        <v>0</v>
      </c>
      <c r="R1559" s="2" t="inlineStr"/>
    </row>
    <row r="1560" ht="15" customHeight="1">
      <c r="A1560" t="inlineStr">
        <is>
          <t>A 11917-2019</t>
        </is>
      </c>
      <c r="B1560" s="1" t="n">
        <v>43521</v>
      </c>
      <c r="C1560" s="1" t="n">
        <v>45204</v>
      </c>
      <c r="D1560" t="inlineStr">
        <is>
          <t>VÄSTERBOTTENS LÄN</t>
        </is>
      </c>
      <c r="E1560" t="inlineStr">
        <is>
          <t>NORSJÖ</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11930-2019</t>
        </is>
      </c>
      <c r="B1561" s="1" t="n">
        <v>43521</v>
      </c>
      <c r="C1561" s="1" t="n">
        <v>45204</v>
      </c>
      <c r="D1561" t="inlineStr">
        <is>
          <t>VÄSTERBOTTENS LÄN</t>
        </is>
      </c>
      <c r="E1561" t="inlineStr">
        <is>
          <t>SKELLEFTEÅ</t>
        </is>
      </c>
      <c r="G1561" t="n">
        <v>9.6</v>
      </c>
      <c r="H1561" t="n">
        <v>0</v>
      </c>
      <c r="I1561" t="n">
        <v>0</v>
      </c>
      <c r="J1561" t="n">
        <v>0</v>
      </c>
      <c r="K1561" t="n">
        <v>0</v>
      </c>
      <c r="L1561" t="n">
        <v>0</v>
      </c>
      <c r="M1561" t="n">
        <v>0</v>
      </c>
      <c r="N1561" t="n">
        <v>0</v>
      </c>
      <c r="O1561" t="n">
        <v>0</v>
      </c>
      <c r="P1561" t="n">
        <v>0</v>
      </c>
      <c r="Q1561" t="n">
        <v>0</v>
      </c>
      <c r="R1561" s="2" t="inlineStr"/>
    </row>
    <row r="1562" ht="15" customHeight="1">
      <c r="A1562" t="inlineStr">
        <is>
          <t>A 11951-2019</t>
        </is>
      </c>
      <c r="B1562" s="1" t="n">
        <v>43521</v>
      </c>
      <c r="C1562" s="1" t="n">
        <v>45204</v>
      </c>
      <c r="D1562" t="inlineStr">
        <is>
          <t>VÄSTERBOTTENS LÄN</t>
        </is>
      </c>
      <c r="E1562" t="inlineStr">
        <is>
          <t>SKELLEFTEÅ</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12067-2019</t>
        </is>
      </c>
      <c r="B1563" s="1" t="n">
        <v>43521</v>
      </c>
      <c r="C1563" s="1" t="n">
        <v>45204</v>
      </c>
      <c r="D1563" t="inlineStr">
        <is>
          <t>VÄSTERBOTTENS LÄN</t>
        </is>
      </c>
      <c r="E1563" t="inlineStr">
        <is>
          <t>SKELLEFTEÅ</t>
        </is>
      </c>
      <c r="G1563" t="n">
        <v>4.4</v>
      </c>
      <c r="H1563" t="n">
        <v>0</v>
      </c>
      <c r="I1563" t="n">
        <v>0</v>
      </c>
      <c r="J1563" t="n">
        <v>0</v>
      </c>
      <c r="K1563" t="n">
        <v>0</v>
      </c>
      <c r="L1563" t="n">
        <v>0</v>
      </c>
      <c r="M1563" t="n">
        <v>0</v>
      </c>
      <c r="N1563" t="n">
        <v>0</v>
      </c>
      <c r="O1563" t="n">
        <v>0</v>
      </c>
      <c r="P1563" t="n">
        <v>0</v>
      </c>
      <c r="Q1563" t="n">
        <v>0</v>
      </c>
      <c r="R1563" s="2" t="inlineStr"/>
    </row>
    <row r="1564" ht="15" customHeight="1">
      <c r="A1564" t="inlineStr">
        <is>
          <t>A 12164-2019</t>
        </is>
      </c>
      <c r="B1564" s="1" t="n">
        <v>43521</v>
      </c>
      <c r="C1564" s="1" t="n">
        <v>45204</v>
      </c>
      <c r="D1564" t="inlineStr">
        <is>
          <t>VÄSTERBOTTENS LÄN</t>
        </is>
      </c>
      <c r="E1564" t="inlineStr">
        <is>
          <t>SKELLEFTEÅ</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12092-2019</t>
        </is>
      </c>
      <c r="B1565" s="1" t="n">
        <v>43522</v>
      </c>
      <c r="C1565" s="1" t="n">
        <v>45204</v>
      </c>
      <c r="D1565" t="inlineStr">
        <is>
          <t>VÄSTERBOTTENS LÄN</t>
        </is>
      </c>
      <c r="E1565" t="inlineStr">
        <is>
          <t>VINDELN</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12040-2019</t>
        </is>
      </c>
      <c r="B1566" s="1" t="n">
        <v>43522</v>
      </c>
      <c r="C1566" s="1" t="n">
        <v>45204</v>
      </c>
      <c r="D1566" t="inlineStr">
        <is>
          <t>VÄSTERBOTTENS LÄN</t>
        </is>
      </c>
      <c r="E1566" t="inlineStr">
        <is>
          <t>UMEÅ</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12097-2019</t>
        </is>
      </c>
      <c r="B1567" s="1" t="n">
        <v>43522</v>
      </c>
      <c r="C1567" s="1" t="n">
        <v>45204</v>
      </c>
      <c r="D1567" t="inlineStr">
        <is>
          <t>VÄSTERBOTTENS LÄN</t>
        </is>
      </c>
      <c r="E1567" t="inlineStr">
        <is>
          <t>VINDELN</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12144-2019</t>
        </is>
      </c>
      <c r="B1568" s="1" t="n">
        <v>43522</v>
      </c>
      <c r="C1568" s="1" t="n">
        <v>45204</v>
      </c>
      <c r="D1568" t="inlineStr">
        <is>
          <t>VÄSTERBOTTENS LÄN</t>
        </is>
      </c>
      <c r="E1568" t="inlineStr">
        <is>
          <t>ROBERTSFORS</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12172-2019</t>
        </is>
      </c>
      <c r="B1569" s="1" t="n">
        <v>43522</v>
      </c>
      <c r="C1569" s="1" t="n">
        <v>45204</v>
      </c>
      <c r="D1569" t="inlineStr">
        <is>
          <t>VÄSTERBOTTENS LÄN</t>
        </is>
      </c>
      <c r="E1569" t="inlineStr">
        <is>
          <t>BJURHOLM</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12093-2019</t>
        </is>
      </c>
      <c r="B1570" s="1" t="n">
        <v>43522</v>
      </c>
      <c r="C1570" s="1" t="n">
        <v>45204</v>
      </c>
      <c r="D1570" t="inlineStr">
        <is>
          <t>VÄSTERBOTTENS LÄN</t>
        </is>
      </c>
      <c r="E1570" t="inlineStr">
        <is>
          <t>VINDELN</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12527-2019</t>
        </is>
      </c>
      <c r="B1571" s="1" t="n">
        <v>43523</v>
      </c>
      <c r="C1571" s="1" t="n">
        <v>45204</v>
      </c>
      <c r="D1571" t="inlineStr">
        <is>
          <t>VÄSTERBOTTENS LÄN</t>
        </is>
      </c>
      <c r="E1571" t="inlineStr">
        <is>
          <t>VILHELMINA</t>
        </is>
      </c>
      <c r="F1571" t="inlineStr">
        <is>
          <t>Allmännings- och besparingsskogar</t>
        </is>
      </c>
      <c r="G1571" t="n">
        <v>20</v>
      </c>
      <c r="H1571" t="n">
        <v>0</v>
      </c>
      <c r="I1571" t="n">
        <v>0</v>
      </c>
      <c r="J1571" t="n">
        <v>0</v>
      </c>
      <c r="K1571" t="n">
        <v>0</v>
      </c>
      <c r="L1571" t="n">
        <v>0</v>
      </c>
      <c r="M1571" t="n">
        <v>0</v>
      </c>
      <c r="N1571" t="n">
        <v>0</v>
      </c>
      <c r="O1571" t="n">
        <v>0</v>
      </c>
      <c r="P1571" t="n">
        <v>0</v>
      </c>
      <c r="Q1571" t="n">
        <v>0</v>
      </c>
      <c r="R1571" s="2" t="inlineStr"/>
    </row>
    <row r="1572" ht="15" customHeight="1">
      <c r="A1572" t="inlineStr">
        <is>
          <t>A 12290-2019</t>
        </is>
      </c>
      <c r="B1572" s="1" t="n">
        <v>43523</v>
      </c>
      <c r="C1572" s="1" t="n">
        <v>45204</v>
      </c>
      <c r="D1572" t="inlineStr">
        <is>
          <t>VÄSTERBOTTENS LÄN</t>
        </is>
      </c>
      <c r="E1572" t="inlineStr">
        <is>
          <t>VILHELMINA</t>
        </is>
      </c>
      <c r="G1572" t="n">
        <v>34.7</v>
      </c>
      <c r="H1572" t="n">
        <v>0</v>
      </c>
      <c r="I1572" t="n">
        <v>0</v>
      </c>
      <c r="J1572" t="n">
        <v>0</v>
      </c>
      <c r="K1572" t="n">
        <v>0</v>
      </c>
      <c r="L1572" t="n">
        <v>0</v>
      </c>
      <c r="M1572" t="n">
        <v>0</v>
      </c>
      <c r="N1572" t="n">
        <v>0</v>
      </c>
      <c r="O1572" t="n">
        <v>0</v>
      </c>
      <c r="P1572" t="n">
        <v>0</v>
      </c>
      <c r="Q1572" t="n">
        <v>0</v>
      </c>
      <c r="R1572" s="2" t="inlineStr"/>
    </row>
    <row r="1573" ht="15" customHeight="1">
      <c r="A1573" t="inlineStr">
        <is>
          <t>A 12519-2019</t>
        </is>
      </c>
      <c r="B1573" s="1" t="n">
        <v>43523</v>
      </c>
      <c r="C1573" s="1" t="n">
        <v>45204</v>
      </c>
      <c r="D1573" t="inlineStr">
        <is>
          <t>VÄSTERBOTTENS LÄN</t>
        </is>
      </c>
      <c r="E1573" t="inlineStr">
        <is>
          <t>ÅSELE</t>
        </is>
      </c>
      <c r="G1573" t="n">
        <v>13.9</v>
      </c>
      <c r="H1573" t="n">
        <v>0</v>
      </c>
      <c r="I1573" t="n">
        <v>0</v>
      </c>
      <c r="J1573" t="n">
        <v>0</v>
      </c>
      <c r="K1573" t="n">
        <v>0</v>
      </c>
      <c r="L1573" t="n">
        <v>0</v>
      </c>
      <c r="M1573" t="n">
        <v>0</v>
      </c>
      <c r="N1573" t="n">
        <v>0</v>
      </c>
      <c r="O1573" t="n">
        <v>0</v>
      </c>
      <c r="P1573" t="n">
        <v>0</v>
      </c>
      <c r="Q1573" t="n">
        <v>0</v>
      </c>
      <c r="R1573" s="2" t="inlineStr"/>
    </row>
    <row r="1574" ht="15" customHeight="1">
      <c r="A1574" t="inlineStr">
        <is>
          <t>A 12520-2019</t>
        </is>
      </c>
      <c r="B1574" s="1" t="n">
        <v>43523</v>
      </c>
      <c r="C1574" s="1" t="n">
        <v>45204</v>
      </c>
      <c r="D1574" t="inlineStr">
        <is>
          <t>VÄSTERBOTTENS LÄN</t>
        </is>
      </c>
      <c r="E1574" t="inlineStr">
        <is>
          <t>VILHELMINA</t>
        </is>
      </c>
      <c r="F1574" t="inlineStr">
        <is>
          <t>Allmännings- och besparingsskogar</t>
        </is>
      </c>
      <c r="G1574" t="n">
        <v>6.1</v>
      </c>
      <c r="H1574" t="n">
        <v>0</v>
      </c>
      <c r="I1574" t="n">
        <v>0</v>
      </c>
      <c r="J1574" t="n">
        <v>0</v>
      </c>
      <c r="K1574" t="n">
        <v>0</v>
      </c>
      <c r="L1574" t="n">
        <v>0</v>
      </c>
      <c r="M1574" t="n">
        <v>0</v>
      </c>
      <c r="N1574" t="n">
        <v>0</v>
      </c>
      <c r="O1574" t="n">
        <v>0</v>
      </c>
      <c r="P1574" t="n">
        <v>0</v>
      </c>
      <c r="Q1574" t="n">
        <v>0</v>
      </c>
      <c r="R1574" s="2" t="inlineStr"/>
    </row>
    <row r="1575" ht="15" customHeight="1">
      <c r="A1575" t="inlineStr">
        <is>
          <t>A 12308-2019</t>
        </is>
      </c>
      <c r="B1575" s="1" t="n">
        <v>43523</v>
      </c>
      <c r="C1575" s="1" t="n">
        <v>45204</v>
      </c>
      <c r="D1575" t="inlineStr">
        <is>
          <t>VÄSTERBOTTENS LÄN</t>
        </is>
      </c>
      <c r="E1575" t="inlineStr">
        <is>
          <t>VILHELMINA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12516-2019</t>
        </is>
      </c>
      <c r="B1576" s="1" t="n">
        <v>43523</v>
      </c>
      <c r="C1576" s="1" t="n">
        <v>45204</v>
      </c>
      <c r="D1576" t="inlineStr">
        <is>
          <t>VÄSTERBOTTENS LÄN</t>
        </is>
      </c>
      <c r="E1576" t="inlineStr">
        <is>
          <t>LYCKSELE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12627-2019</t>
        </is>
      </c>
      <c r="B1577" s="1" t="n">
        <v>43524</v>
      </c>
      <c r="C1577" s="1" t="n">
        <v>45204</v>
      </c>
      <c r="D1577" t="inlineStr">
        <is>
          <t>VÄSTERBOTTENS LÄN</t>
        </is>
      </c>
      <c r="E1577" t="inlineStr">
        <is>
          <t>LYCKSELE</t>
        </is>
      </c>
      <c r="G1577" t="n">
        <v>10.8</v>
      </c>
      <c r="H1577" t="n">
        <v>0</v>
      </c>
      <c r="I1577" t="n">
        <v>0</v>
      </c>
      <c r="J1577" t="n">
        <v>0</v>
      </c>
      <c r="K1577" t="n">
        <v>0</v>
      </c>
      <c r="L1577" t="n">
        <v>0</v>
      </c>
      <c r="M1577" t="n">
        <v>0</v>
      </c>
      <c r="N1577" t="n">
        <v>0</v>
      </c>
      <c r="O1577" t="n">
        <v>0</v>
      </c>
      <c r="P1577" t="n">
        <v>0</v>
      </c>
      <c r="Q1577" t="n">
        <v>0</v>
      </c>
      <c r="R1577" s="2" t="inlineStr"/>
    </row>
    <row r="1578" ht="15" customHeight="1">
      <c r="A1578" t="inlineStr">
        <is>
          <t>A 12828-2019</t>
        </is>
      </c>
      <c r="B1578" s="1" t="n">
        <v>43524</v>
      </c>
      <c r="C1578" s="1" t="n">
        <v>45204</v>
      </c>
      <c r="D1578" t="inlineStr">
        <is>
          <t>VÄSTERBOTTENS LÄN</t>
        </is>
      </c>
      <c r="E1578" t="inlineStr">
        <is>
          <t>SKELLEFTEÅ</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12912-2019</t>
        </is>
      </c>
      <c r="B1579" s="1" t="n">
        <v>43525</v>
      </c>
      <c r="C1579" s="1" t="n">
        <v>45204</v>
      </c>
      <c r="D1579" t="inlineStr">
        <is>
          <t>VÄSTERBOTTENS LÄN</t>
        </is>
      </c>
      <c r="E1579" t="inlineStr">
        <is>
          <t>NORDMALING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12921-2019</t>
        </is>
      </c>
      <c r="B1580" s="1" t="n">
        <v>43525</v>
      </c>
      <c r="C1580" s="1" t="n">
        <v>45204</v>
      </c>
      <c r="D1580" t="inlineStr">
        <is>
          <t>VÄSTERBOTTENS LÄN</t>
        </is>
      </c>
      <c r="E1580" t="inlineStr">
        <is>
          <t>NORDMALING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12998-2019</t>
        </is>
      </c>
      <c r="B1581" s="1" t="n">
        <v>43525</v>
      </c>
      <c r="C1581" s="1" t="n">
        <v>45204</v>
      </c>
      <c r="D1581" t="inlineStr">
        <is>
          <t>VÄSTERBOTTENS LÄN</t>
        </is>
      </c>
      <c r="E1581" t="inlineStr">
        <is>
          <t>SORSELE</t>
        </is>
      </c>
      <c r="G1581" t="n">
        <v>5.7</v>
      </c>
      <c r="H1581" t="n">
        <v>0</v>
      </c>
      <c r="I1581" t="n">
        <v>0</v>
      </c>
      <c r="J1581" t="n">
        <v>0</v>
      </c>
      <c r="K1581" t="n">
        <v>0</v>
      </c>
      <c r="L1581" t="n">
        <v>0</v>
      </c>
      <c r="M1581" t="n">
        <v>0</v>
      </c>
      <c r="N1581" t="n">
        <v>0</v>
      </c>
      <c r="O1581" t="n">
        <v>0</v>
      </c>
      <c r="P1581" t="n">
        <v>0</v>
      </c>
      <c r="Q1581" t="n">
        <v>0</v>
      </c>
      <c r="R1581" s="2" t="inlineStr"/>
    </row>
    <row r="1582" ht="15" customHeight="1">
      <c r="A1582" t="inlineStr">
        <is>
          <t>A 12853-2019</t>
        </is>
      </c>
      <c r="B1582" s="1" t="n">
        <v>43525</v>
      </c>
      <c r="C1582" s="1" t="n">
        <v>45204</v>
      </c>
      <c r="D1582" t="inlineStr">
        <is>
          <t>VÄSTERBOTTENS LÄN</t>
        </is>
      </c>
      <c r="E1582" t="inlineStr">
        <is>
          <t>ROBERTSFORS</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12910-2019</t>
        </is>
      </c>
      <c r="B1583" s="1" t="n">
        <v>43525</v>
      </c>
      <c r="C1583" s="1" t="n">
        <v>45204</v>
      </c>
      <c r="D1583" t="inlineStr">
        <is>
          <t>VÄSTERBOTTENS LÄN</t>
        </is>
      </c>
      <c r="E1583" t="inlineStr">
        <is>
          <t>NORDMALING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12917-2019</t>
        </is>
      </c>
      <c r="B1584" s="1" t="n">
        <v>43525</v>
      </c>
      <c r="C1584" s="1" t="n">
        <v>45204</v>
      </c>
      <c r="D1584" t="inlineStr">
        <is>
          <t>VÄSTERBOTTENS LÄN</t>
        </is>
      </c>
      <c r="E1584" t="inlineStr">
        <is>
          <t>NORDMALING</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12851-2019</t>
        </is>
      </c>
      <c r="B1585" s="1" t="n">
        <v>43525</v>
      </c>
      <c r="C1585" s="1" t="n">
        <v>45204</v>
      </c>
      <c r="D1585" t="inlineStr">
        <is>
          <t>VÄSTERBOTTENS LÄN</t>
        </is>
      </c>
      <c r="E1585" t="inlineStr">
        <is>
          <t>ROBERTSFORS</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12924-2019</t>
        </is>
      </c>
      <c r="B1586" s="1" t="n">
        <v>43525</v>
      </c>
      <c r="C1586" s="1" t="n">
        <v>45204</v>
      </c>
      <c r="D1586" t="inlineStr">
        <is>
          <t>VÄSTERBOTTENS LÄN</t>
        </is>
      </c>
      <c r="E1586" t="inlineStr">
        <is>
          <t>NORDMALING</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12942-2019</t>
        </is>
      </c>
      <c r="B1587" s="1" t="n">
        <v>43525</v>
      </c>
      <c r="C1587" s="1" t="n">
        <v>45204</v>
      </c>
      <c r="D1587" t="inlineStr">
        <is>
          <t>VÄSTERBOTTENS LÄN</t>
        </is>
      </c>
      <c r="E1587" t="inlineStr">
        <is>
          <t>VINDELN</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12959-2019</t>
        </is>
      </c>
      <c r="B1588" s="1" t="n">
        <v>43526</v>
      </c>
      <c r="C1588" s="1" t="n">
        <v>45204</v>
      </c>
      <c r="D1588" t="inlineStr">
        <is>
          <t>VÄSTERBOTTENS LÄN</t>
        </is>
      </c>
      <c r="E1588" t="inlineStr">
        <is>
          <t>VINDELN</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12958-2019</t>
        </is>
      </c>
      <c r="B1589" s="1" t="n">
        <v>43526</v>
      </c>
      <c r="C1589" s="1" t="n">
        <v>45204</v>
      </c>
      <c r="D1589" t="inlineStr">
        <is>
          <t>VÄSTERBOTTENS LÄN</t>
        </is>
      </c>
      <c r="E1589" t="inlineStr">
        <is>
          <t>VINDELN</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12966-2019</t>
        </is>
      </c>
      <c r="B1590" s="1" t="n">
        <v>43526</v>
      </c>
      <c r="C1590" s="1" t="n">
        <v>45204</v>
      </c>
      <c r="D1590" t="inlineStr">
        <is>
          <t>VÄSTERBOTTENS LÄN</t>
        </is>
      </c>
      <c r="E1590" t="inlineStr">
        <is>
          <t>SKELLEFTEÅ</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13228-2019</t>
        </is>
      </c>
      <c r="B1591" s="1" t="n">
        <v>43529</v>
      </c>
      <c r="C1591" s="1" t="n">
        <v>45204</v>
      </c>
      <c r="D1591" t="inlineStr">
        <is>
          <t>VÄSTERBOTTENS LÄN</t>
        </is>
      </c>
      <c r="E1591" t="inlineStr">
        <is>
          <t>NORDMALING</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13239-2019</t>
        </is>
      </c>
      <c r="B1592" s="1" t="n">
        <v>43529</v>
      </c>
      <c r="C1592" s="1" t="n">
        <v>45204</v>
      </c>
      <c r="D1592" t="inlineStr">
        <is>
          <t>VÄSTERBOTTENS LÄN</t>
        </is>
      </c>
      <c r="E1592" t="inlineStr">
        <is>
          <t>NORDMALING</t>
        </is>
      </c>
      <c r="G1592" t="n">
        <v>0.2</v>
      </c>
      <c r="H1592" t="n">
        <v>0</v>
      </c>
      <c r="I1592" t="n">
        <v>0</v>
      </c>
      <c r="J1592" t="n">
        <v>0</v>
      </c>
      <c r="K1592" t="n">
        <v>0</v>
      </c>
      <c r="L1592" t="n">
        <v>0</v>
      </c>
      <c r="M1592" t="n">
        <v>0</v>
      </c>
      <c r="N1592" t="n">
        <v>0</v>
      </c>
      <c r="O1592" t="n">
        <v>0</v>
      </c>
      <c r="P1592" t="n">
        <v>0</v>
      </c>
      <c r="Q1592" t="n">
        <v>0</v>
      </c>
      <c r="R1592" s="2" t="inlineStr"/>
    </row>
    <row r="1593" ht="15" customHeight="1">
      <c r="A1593" t="inlineStr">
        <is>
          <t>A 13229-2019</t>
        </is>
      </c>
      <c r="B1593" s="1" t="n">
        <v>43529</v>
      </c>
      <c r="C1593" s="1" t="n">
        <v>45204</v>
      </c>
      <c r="D1593" t="inlineStr">
        <is>
          <t>VÄSTERBOTTENS LÄN</t>
        </is>
      </c>
      <c r="E1593" t="inlineStr">
        <is>
          <t>NORDMALING</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13240-2019</t>
        </is>
      </c>
      <c r="B1594" s="1" t="n">
        <v>43529</v>
      </c>
      <c r="C1594" s="1" t="n">
        <v>45204</v>
      </c>
      <c r="D1594" t="inlineStr">
        <is>
          <t>VÄSTERBOTTENS LÄN</t>
        </is>
      </c>
      <c r="E1594" t="inlineStr">
        <is>
          <t>NORDMALING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13498-2019</t>
        </is>
      </c>
      <c r="B1595" s="1" t="n">
        <v>43529</v>
      </c>
      <c r="C1595" s="1" t="n">
        <v>45204</v>
      </c>
      <c r="D1595" t="inlineStr">
        <is>
          <t>VÄSTERBOTTENS LÄN</t>
        </is>
      </c>
      <c r="E1595" t="inlineStr">
        <is>
          <t>NORDMALING</t>
        </is>
      </c>
      <c r="G1595" t="n">
        <v>15.5</v>
      </c>
      <c r="H1595" t="n">
        <v>0</v>
      </c>
      <c r="I1595" t="n">
        <v>0</v>
      </c>
      <c r="J1595" t="n">
        <v>0</v>
      </c>
      <c r="K1595" t="n">
        <v>0</v>
      </c>
      <c r="L1595" t="n">
        <v>0</v>
      </c>
      <c r="M1595" t="n">
        <v>0</v>
      </c>
      <c r="N1595" t="n">
        <v>0</v>
      </c>
      <c r="O1595" t="n">
        <v>0</v>
      </c>
      <c r="P1595" t="n">
        <v>0</v>
      </c>
      <c r="Q1595" t="n">
        <v>0</v>
      </c>
      <c r="R1595" s="2" t="inlineStr"/>
    </row>
    <row r="1596" ht="15" customHeight="1">
      <c r="A1596" t="inlineStr">
        <is>
          <t>A 13237-2019</t>
        </is>
      </c>
      <c r="B1596" s="1" t="n">
        <v>43529</v>
      </c>
      <c r="C1596" s="1" t="n">
        <v>45204</v>
      </c>
      <c r="D1596" t="inlineStr">
        <is>
          <t>VÄSTERBOTTENS LÄN</t>
        </is>
      </c>
      <c r="E1596" t="inlineStr">
        <is>
          <t>NORDMALING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13459-2019</t>
        </is>
      </c>
      <c r="B1597" s="1" t="n">
        <v>43530</v>
      </c>
      <c r="C1597" s="1" t="n">
        <v>45204</v>
      </c>
      <c r="D1597" t="inlineStr">
        <is>
          <t>VÄSTERBOTTENS LÄN</t>
        </is>
      </c>
      <c r="E1597" t="inlineStr">
        <is>
          <t>NORDMALING</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13695-2019</t>
        </is>
      </c>
      <c r="B1598" s="1" t="n">
        <v>43530</v>
      </c>
      <c r="C1598" s="1" t="n">
        <v>45204</v>
      </c>
      <c r="D1598" t="inlineStr">
        <is>
          <t>VÄSTERBOTTENS LÄN</t>
        </is>
      </c>
      <c r="E1598" t="inlineStr">
        <is>
          <t>VINDELN</t>
        </is>
      </c>
      <c r="F1598" t="inlineStr">
        <is>
          <t>SCA</t>
        </is>
      </c>
      <c r="G1598" t="n">
        <v>5.7</v>
      </c>
      <c r="H1598" t="n">
        <v>0</v>
      </c>
      <c r="I1598" t="n">
        <v>0</v>
      </c>
      <c r="J1598" t="n">
        <v>0</v>
      </c>
      <c r="K1598" t="n">
        <v>0</v>
      </c>
      <c r="L1598" t="n">
        <v>0</v>
      </c>
      <c r="M1598" t="n">
        <v>0</v>
      </c>
      <c r="N1598" t="n">
        <v>0</v>
      </c>
      <c r="O1598" t="n">
        <v>0</v>
      </c>
      <c r="P1598" t="n">
        <v>0</v>
      </c>
      <c r="Q1598" t="n">
        <v>0</v>
      </c>
      <c r="R1598" s="2" t="inlineStr"/>
    </row>
    <row r="1599" ht="15" customHeight="1">
      <c r="A1599" t="inlineStr">
        <is>
          <t>A 13458-2019</t>
        </is>
      </c>
      <c r="B1599" s="1" t="n">
        <v>43530</v>
      </c>
      <c r="C1599" s="1" t="n">
        <v>45204</v>
      </c>
      <c r="D1599" t="inlineStr">
        <is>
          <t>VÄSTERBOTTENS LÄN</t>
        </is>
      </c>
      <c r="E1599" t="inlineStr">
        <is>
          <t>NORDMALING</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13688-2019</t>
        </is>
      </c>
      <c r="B1600" s="1" t="n">
        <v>43530</v>
      </c>
      <c r="C1600" s="1" t="n">
        <v>45204</v>
      </c>
      <c r="D1600" t="inlineStr">
        <is>
          <t>VÄSTERBOTTENS LÄN</t>
        </is>
      </c>
      <c r="E1600" t="inlineStr">
        <is>
          <t>VINDELN</t>
        </is>
      </c>
      <c r="F1600" t="inlineStr">
        <is>
          <t>SCA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13819-2019</t>
        </is>
      </c>
      <c r="B1601" s="1" t="n">
        <v>43530</v>
      </c>
      <c r="C1601" s="1" t="n">
        <v>45204</v>
      </c>
      <c r="D1601" t="inlineStr">
        <is>
          <t>VÄSTERBOTTENS LÄN</t>
        </is>
      </c>
      <c r="E1601" t="inlineStr">
        <is>
          <t>NORDMALING</t>
        </is>
      </c>
      <c r="G1601" t="n">
        <v>4.6</v>
      </c>
      <c r="H1601" t="n">
        <v>0</v>
      </c>
      <c r="I1601" t="n">
        <v>0</v>
      </c>
      <c r="J1601" t="n">
        <v>0</v>
      </c>
      <c r="K1601" t="n">
        <v>0</v>
      </c>
      <c r="L1601" t="n">
        <v>0</v>
      </c>
      <c r="M1601" t="n">
        <v>0</v>
      </c>
      <c r="N1601" t="n">
        <v>0</v>
      </c>
      <c r="O1601" t="n">
        <v>0</v>
      </c>
      <c r="P1601" t="n">
        <v>0</v>
      </c>
      <c r="Q1601" t="n">
        <v>0</v>
      </c>
      <c r="R1601" s="2" t="inlineStr"/>
    </row>
    <row r="1602" ht="15" customHeight="1">
      <c r="A1602" t="inlineStr">
        <is>
          <t>A 13682-2019</t>
        </is>
      </c>
      <c r="B1602" s="1" t="n">
        <v>43530</v>
      </c>
      <c r="C1602" s="1" t="n">
        <v>45204</v>
      </c>
      <c r="D1602" t="inlineStr">
        <is>
          <t>VÄSTERBOTTENS LÄN</t>
        </is>
      </c>
      <c r="E1602" t="inlineStr">
        <is>
          <t>MALÅ</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13930-2019</t>
        </is>
      </c>
      <c r="B1603" s="1" t="n">
        <v>43531</v>
      </c>
      <c r="C1603" s="1" t="n">
        <v>45204</v>
      </c>
      <c r="D1603" t="inlineStr">
        <is>
          <t>VÄSTERBOTTENS LÄN</t>
        </is>
      </c>
      <c r="E1603" t="inlineStr">
        <is>
          <t>VINDELN</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13708-2019</t>
        </is>
      </c>
      <c r="B1604" s="1" t="n">
        <v>43531</v>
      </c>
      <c r="C1604" s="1" t="n">
        <v>45204</v>
      </c>
      <c r="D1604" t="inlineStr">
        <is>
          <t>VÄSTERBOTTENS LÄN</t>
        </is>
      </c>
      <c r="E1604" t="inlineStr">
        <is>
          <t>NORDMALING</t>
        </is>
      </c>
      <c r="G1604" t="n">
        <v>6.9</v>
      </c>
      <c r="H1604" t="n">
        <v>0</v>
      </c>
      <c r="I1604" t="n">
        <v>0</v>
      </c>
      <c r="J1604" t="n">
        <v>0</v>
      </c>
      <c r="K1604" t="n">
        <v>0</v>
      </c>
      <c r="L1604" t="n">
        <v>0</v>
      </c>
      <c r="M1604" t="n">
        <v>0</v>
      </c>
      <c r="N1604" t="n">
        <v>0</v>
      </c>
      <c r="O1604" t="n">
        <v>0</v>
      </c>
      <c r="P1604" t="n">
        <v>0</v>
      </c>
      <c r="Q1604" t="n">
        <v>0</v>
      </c>
      <c r="R1604" s="2" t="inlineStr"/>
    </row>
    <row r="1605" ht="15" customHeight="1">
      <c r="A1605" t="inlineStr">
        <is>
          <t>A 13709-2019</t>
        </is>
      </c>
      <c r="B1605" s="1" t="n">
        <v>43531</v>
      </c>
      <c r="C1605" s="1" t="n">
        <v>45204</v>
      </c>
      <c r="D1605" t="inlineStr">
        <is>
          <t>VÄSTERBOTTENS LÄN</t>
        </is>
      </c>
      <c r="E1605" t="inlineStr">
        <is>
          <t>NORDMALING</t>
        </is>
      </c>
      <c r="G1605" t="n">
        <v>2.3</v>
      </c>
      <c r="H1605" t="n">
        <v>0</v>
      </c>
      <c r="I1605" t="n">
        <v>0</v>
      </c>
      <c r="J1605" t="n">
        <v>0</v>
      </c>
      <c r="K1605" t="n">
        <v>0</v>
      </c>
      <c r="L1605" t="n">
        <v>0</v>
      </c>
      <c r="M1605" t="n">
        <v>0</v>
      </c>
      <c r="N1605" t="n">
        <v>0</v>
      </c>
      <c r="O1605" t="n">
        <v>0</v>
      </c>
      <c r="P1605" t="n">
        <v>0</v>
      </c>
      <c r="Q1605" t="n">
        <v>0</v>
      </c>
      <c r="R1605" s="2" t="inlineStr"/>
    </row>
    <row r="1606" ht="15" customHeight="1">
      <c r="A1606" t="inlineStr">
        <is>
          <t>A 14002-2019</t>
        </is>
      </c>
      <c r="B1606" s="1" t="n">
        <v>43531</v>
      </c>
      <c r="C1606" s="1" t="n">
        <v>45204</v>
      </c>
      <c r="D1606" t="inlineStr">
        <is>
          <t>VÄSTERBOTTENS LÄN</t>
        </is>
      </c>
      <c r="E1606" t="inlineStr">
        <is>
          <t>ÅSELE</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13952-2019</t>
        </is>
      </c>
      <c r="B1607" s="1" t="n">
        <v>43532</v>
      </c>
      <c r="C1607" s="1" t="n">
        <v>45204</v>
      </c>
      <c r="D1607" t="inlineStr">
        <is>
          <t>VÄSTERBOTTENS LÄN</t>
        </is>
      </c>
      <c r="E1607" t="inlineStr">
        <is>
          <t>SKELLEFTEÅ</t>
        </is>
      </c>
      <c r="F1607" t="inlineStr">
        <is>
          <t>Kommuner</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14437-2019</t>
        </is>
      </c>
      <c r="B1608" s="1" t="n">
        <v>43532</v>
      </c>
      <c r="C1608" s="1" t="n">
        <v>45204</v>
      </c>
      <c r="D1608" t="inlineStr">
        <is>
          <t>VÄSTERBOTTENS LÄN</t>
        </is>
      </c>
      <c r="E1608" t="inlineStr">
        <is>
          <t>SKELLEFTEÅ</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14222-2019</t>
        </is>
      </c>
      <c r="B1609" s="1" t="n">
        <v>43532</v>
      </c>
      <c r="C1609" s="1" t="n">
        <v>45204</v>
      </c>
      <c r="D1609" t="inlineStr">
        <is>
          <t>VÄSTERBOTTENS LÄN</t>
        </is>
      </c>
      <c r="E1609" t="inlineStr">
        <is>
          <t>SKELLEFTEÅ</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13983-2019</t>
        </is>
      </c>
      <c r="B1610" s="1" t="n">
        <v>43532</v>
      </c>
      <c r="C1610" s="1" t="n">
        <v>45204</v>
      </c>
      <c r="D1610" t="inlineStr">
        <is>
          <t>VÄSTERBOTTENS LÄN</t>
        </is>
      </c>
      <c r="E1610" t="inlineStr">
        <is>
          <t>SKELLEFTEÅ</t>
        </is>
      </c>
      <c r="F1610" t="inlineStr">
        <is>
          <t>Kommuner</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14566-2019</t>
        </is>
      </c>
      <c r="B1611" s="1" t="n">
        <v>43535</v>
      </c>
      <c r="C1611" s="1" t="n">
        <v>45204</v>
      </c>
      <c r="D1611" t="inlineStr">
        <is>
          <t>VÄSTERBOTTENS LÄN</t>
        </is>
      </c>
      <c r="E1611" t="inlineStr">
        <is>
          <t>SKELLEFTEÅ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14287-2019</t>
        </is>
      </c>
      <c r="B1612" s="1" t="n">
        <v>43535</v>
      </c>
      <c r="C1612" s="1" t="n">
        <v>45204</v>
      </c>
      <c r="D1612" t="inlineStr">
        <is>
          <t>VÄSTERBOTTENS LÄN</t>
        </is>
      </c>
      <c r="E1612" t="inlineStr">
        <is>
          <t>UMEÅ</t>
        </is>
      </c>
      <c r="F1612" t="inlineStr">
        <is>
          <t>Holmen skog AB</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14565-2019</t>
        </is>
      </c>
      <c r="B1613" s="1" t="n">
        <v>43535</v>
      </c>
      <c r="C1613" s="1" t="n">
        <v>45204</v>
      </c>
      <c r="D1613" t="inlineStr">
        <is>
          <t>VÄSTERBOTTENS LÄN</t>
        </is>
      </c>
      <c r="E1613" t="inlineStr">
        <is>
          <t>SKELLEFTEÅ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14701-2019</t>
        </is>
      </c>
      <c r="B1614" s="1" t="n">
        <v>43535</v>
      </c>
      <c r="C1614" s="1" t="n">
        <v>45204</v>
      </c>
      <c r="D1614" t="inlineStr">
        <is>
          <t>VÄSTERBOTTENS LÄN</t>
        </is>
      </c>
      <c r="E1614" t="inlineStr">
        <is>
          <t>LYCKSELE</t>
        </is>
      </c>
      <c r="F1614" t="inlineStr">
        <is>
          <t>Sveaskog</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14537-2019</t>
        </is>
      </c>
      <c r="B1615" s="1" t="n">
        <v>43535</v>
      </c>
      <c r="C1615" s="1" t="n">
        <v>45204</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14563-2019</t>
        </is>
      </c>
      <c r="B1616" s="1" t="n">
        <v>43535</v>
      </c>
      <c r="C1616" s="1" t="n">
        <v>45204</v>
      </c>
      <c r="D1616" t="inlineStr">
        <is>
          <t>VÄSTERBOTTENS LÄN</t>
        </is>
      </c>
      <c r="E1616" t="inlineStr">
        <is>
          <t>SKELLEFTEÅ</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14472-2019</t>
        </is>
      </c>
      <c r="B1617" s="1" t="n">
        <v>43536</v>
      </c>
      <c r="C1617" s="1" t="n">
        <v>45204</v>
      </c>
      <c r="D1617" t="inlineStr">
        <is>
          <t>VÄSTERBOTTENS LÄN</t>
        </is>
      </c>
      <c r="E1617" t="inlineStr">
        <is>
          <t>SKELLEFTEÅ</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14585-2019</t>
        </is>
      </c>
      <c r="B1618" s="1" t="n">
        <v>43536</v>
      </c>
      <c r="C1618" s="1" t="n">
        <v>45204</v>
      </c>
      <c r="D1618" t="inlineStr">
        <is>
          <t>VÄSTERBOTTENS LÄN</t>
        </is>
      </c>
      <c r="E1618" t="inlineStr">
        <is>
          <t>SKELLEFTEÅ</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14736-2019</t>
        </is>
      </c>
      <c r="B1619" s="1" t="n">
        <v>43536</v>
      </c>
      <c r="C1619" s="1" t="n">
        <v>45204</v>
      </c>
      <c r="D1619" t="inlineStr">
        <is>
          <t>VÄSTERBOTTENS LÄN</t>
        </is>
      </c>
      <c r="E1619" t="inlineStr">
        <is>
          <t>SKELLEFTEÅ</t>
        </is>
      </c>
      <c r="G1619" t="n">
        <v>4.4</v>
      </c>
      <c r="H1619" t="n">
        <v>0</v>
      </c>
      <c r="I1619" t="n">
        <v>0</v>
      </c>
      <c r="J1619" t="n">
        <v>0</v>
      </c>
      <c r="K1619" t="n">
        <v>0</v>
      </c>
      <c r="L1619" t="n">
        <v>0</v>
      </c>
      <c r="M1619" t="n">
        <v>0</v>
      </c>
      <c r="N1619" t="n">
        <v>0</v>
      </c>
      <c r="O1619" t="n">
        <v>0</v>
      </c>
      <c r="P1619" t="n">
        <v>0</v>
      </c>
      <c r="Q1619" t="n">
        <v>0</v>
      </c>
      <c r="R1619" s="2" t="inlineStr"/>
    </row>
    <row r="1620" ht="15" customHeight="1">
      <c r="A1620" t="inlineStr">
        <is>
          <t>A 14584-2019</t>
        </is>
      </c>
      <c r="B1620" s="1" t="n">
        <v>43536</v>
      </c>
      <c r="C1620" s="1" t="n">
        <v>45204</v>
      </c>
      <c r="D1620" t="inlineStr">
        <is>
          <t>VÄSTERBOTTENS LÄN</t>
        </is>
      </c>
      <c r="E1620" t="inlineStr">
        <is>
          <t>ÅSELE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14847-2019</t>
        </is>
      </c>
      <c r="B1621" s="1" t="n">
        <v>43537</v>
      </c>
      <c r="C1621" s="1" t="n">
        <v>45204</v>
      </c>
      <c r="D1621" t="inlineStr">
        <is>
          <t>VÄSTERBOTTENS LÄN</t>
        </is>
      </c>
      <c r="E1621" t="inlineStr">
        <is>
          <t>SKELLEFTEÅ</t>
        </is>
      </c>
      <c r="F1621" t="inlineStr">
        <is>
          <t>Kommuner</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15369-2019</t>
        </is>
      </c>
      <c r="B1622" s="1" t="n">
        <v>43537</v>
      </c>
      <c r="C1622" s="1" t="n">
        <v>45204</v>
      </c>
      <c r="D1622" t="inlineStr">
        <is>
          <t>VÄSTERBOTTENS LÄN</t>
        </is>
      </c>
      <c r="E1622" t="inlineStr">
        <is>
          <t>SKELLEFTEÅ</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14973-2019</t>
        </is>
      </c>
      <c r="B1623" s="1" t="n">
        <v>43537</v>
      </c>
      <c r="C1623" s="1" t="n">
        <v>45204</v>
      </c>
      <c r="D1623" t="inlineStr">
        <is>
          <t>VÄSTERBOTTENS LÄN</t>
        </is>
      </c>
      <c r="E1623" t="inlineStr">
        <is>
          <t>SKELLEFTEÅ</t>
        </is>
      </c>
      <c r="F1623" t="inlineStr">
        <is>
          <t>Kommuner</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15049-2019</t>
        </is>
      </c>
      <c r="B1624" s="1" t="n">
        <v>43537</v>
      </c>
      <c r="C1624" s="1" t="n">
        <v>45204</v>
      </c>
      <c r="D1624" t="inlineStr">
        <is>
          <t>VÄSTERBOTTENS LÄN</t>
        </is>
      </c>
      <c r="E1624" t="inlineStr">
        <is>
          <t>UMEÅ</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15462-2019</t>
        </is>
      </c>
      <c r="B1625" s="1" t="n">
        <v>43537</v>
      </c>
      <c r="C1625" s="1" t="n">
        <v>45204</v>
      </c>
      <c r="D1625" t="inlineStr">
        <is>
          <t>VÄSTERBOTTENS LÄN</t>
        </is>
      </c>
      <c r="E1625" t="inlineStr">
        <is>
          <t>SKELLEFTEÅ</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14528-2019</t>
        </is>
      </c>
      <c r="B1626" s="1" t="n">
        <v>43537</v>
      </c>
      <c r="C1626" s="1" t="n">
        <v>45204</v>
      </c>
      <c r="D1626" t="inlineStr">
        <is>
          <t>VÄSTERBOTTENS LÄN</t>
        </is>
      </c>
      <c r="E1626" t="inlineStr">
        <is>
          <t>BJURHOLM</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14608-2019</t>
        </is>
      </c>
      <c r="B1627" s="1" t="n">
        <v>43537</v>
      </c>
      <c r="C1627" s="1" t="n">
        <v>45204</v>
      </c>
      <c r="D1627" t="inlineStr">
        <is>
          <t>VÄSTERBOTTENS LÄN</t>
        </is>
      </c>
      <c r="E1627" t="inlineStr">
        <is>
          <t>VINDELN</t>
        </is>
      </c>
      <c r="G1627" t="n">
        <v>3.6</v>
      </c>
      <c r="H1627" t="n">
        <v>0</v>
      </c>
      <c r="I1627" t="n">
        <v>0</v>
      </c>
      <c r="J1627" t="n">
        <v>0</v>
      </c>
      <c r="K1627" t="n">
        <v>0</v>
      </c>
      <c r="L1627" t="n">
        <v>0</v>
      </c>
      <c r="M1627" t="n">
        <v>0</v>
      </c>
      <c r="N1627" t="n">
        <v>0</v>
      </c>
      <c r="O1627" t="n">
        <v>0</v>
      </c>
      <c r="P1627" t="n">
        <v>0</v>
      </c>
      <c r="Q1627" t="n">
        <v>0</v>
      </c>
      <c r="R1627" s="2" t="inlineStr"/>
    </row>
    <row r="1628" ht="15" customHeight="1">
      <c r="A1628" t="inlineStr">
        <is>
          <t>A 15147-2019</t>
        </is>
      </c>
      <c r="B1628" s="1" t="n">
        <v>43538</v>
      </c>
      <c r="C1628" s="1" t="n">
        <v>45204</v>
      </c>
      <c r="D1628" t="inlineStr">
        <is>
          <t>VÄSTERBOTTENS LÄN</t>
        </is>
      </c>
      <c r="E1628" t="inlineStr">
        <is>
          <t>SKELLEFTEÅ</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14908-2019</t>
        </is>
      </c>
      <c r="B1629" s="1" t="n">
        <v>43538</v>
      </c>
      <c r="C1629" s="1" t="n">
        <v>45204</v>
      </c>
      <c r="D1629" t="inlineStr">
        <is>
          <t>VÄSTERBOTTENS LÄN</t>
        </is>
      </c>
      <c r="E1629" t="inlineStr">
        <is>
          <t>VINDELN</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14850-2019</t>
        </is>
      </c>
      <c r="B1630" s="1" t="n">
        <v>43538</v>
      </c>
      <c r="C1630" s="1" t="n">
        <v>45204</v>
      </c>
      <c r="D1630" t="inlineStr">
        <is>
          <t>VÄSTERBOTTENS LÄN</t>
        </is>
      </c>
      <c r="E1630" t="inlineStr">
        <is>
          <t>UMEÅ</t>
        </is>
      </c>
      <c r="G1630" t="n">
        <v>5.1</v>
      </c>
      <c r="H1630" t="n">
        <v>0</v>
      </c>
      <c r="I1630" t="n">
        <v>0</v>
      </c>
      <c r="J1630" t="n">
        <v>0</v>
      </c>
      <c r="K1630" t="n">
        <v>0</v>
      </c>
      <c r="L1630" t="n">
        <v>0</v>
      </c>
      <c r="M1630" t="n">
        <v>0</v>
      </c>
      <c r="N1630" t="n">
        <v>0</v>
      </c>
      <c r="O1630" t="n">
        <v>0</v>
      </c>
      <c r="P1630" t="n">
        <v>0</v>
      </c>
      <c r="Q1630" t="n">
        <v>0</v>
      </c>
      <c r="R1630" s="2" t="inlineStr"/>
    </row>
    <row r="1631" ht="15" customHeight="1">
      <c r="A1631" t="inlineStr">
        <is>
          <t>A 14939-2019</t>
        </is>
      </c>
      <c r="B1631" s="1" t="n">
        <v>43538</v>
      </c>
      <c r="C1631" s="1" t="n">
        <v>45204</v>
      </c>
      <c r="D1631" t="inlineStr">
        <is>
          <t>VÄSTERBOTTENS LÄN</t>
        </is>
      </c>
      <c r="E1631" t="inlineStr">
        <is>
          <t>LYCKSELE</t>
        </is>
      </c>
      <c r="G1631" t="n">
        <v>12.2</v>
      </c>
      <c r="H1631" t="n">
        <v>0</v>
      </c>
      <c r="I1631" t="n">
        <v>0</v>
      </c>
      <c r="J1631" t="n">
        <v>0</v>
      </c>
      <c r="K1631" t="n">
        <v>0</v>
      </c>
      <c r="L1631" t="n">
        <v>0</v>
      </c>
      <c r="M1631" t="n">
        <v>0</v>
      </c>
      <c r="N1631" t="n">
        <v>0</v>
      </c>
      <c r="O1631" t="n">
        <v>0</v>
      </c>
      <c r="P1631" t="n">
        <v>0</v>
      </c>
      <c r="Q1631" t="n">
        <v>0</v>
      </c>
      <c r="R1631" s="2" t="inlineStr"/>
    </row>
    <row r="1632" ht="15" customHeight="1">
      <c r="A1632" t="inlineStr">
        <is>
          <t>A 15006-2019</t>
        </is>
      </c>
      <c r="B1632" s="1" t="n">
        <v>43538</v>
      </c>
      <c r="C1632" s="1" t="n">
        <v>45204</v>
      </c>
      <c r="D1632" t="inlineStr">
        <is>
          <t>VÄSTERBOTTENS LÄN</t>
        </is>
      </c>
      <c r="E1632" t="inlineStr">
        <is>
          <t>SKELLEFTEÅ</t>
        </is>
      </c>
      <c r="F1632" t="inlineStr">
        <is>
          <t>SCA</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15150-2019</t>
        </is>
      </c>
      <c r="B1633" s="1" t="n">
        <v>43538</v>
      </c>
      <c r="C1633" s="1" t="n">
        <v>45204</v>
      </c>
      <c r="D1633" t="inlineStr">
        <is>
          <t>VÄSTERBOTTENS LÄN</t>
        </is>
      </c>
      <c r="E1633" t="inlineStr">
        <is>
          <t>SKELLEFTEÅ</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15164-2019</t>
        </is>
      </c>
      <c r="B1634" s="1" t="n">
        <v>43538</v>
      </c>
      <c r="C1634" s="1" t="n">
        <v>45204</v>
      </c>
      <c r="D1634" t="inlineStr">
        <is>
          <t>VÄSTERBOTTENS LÄN</t>
        </is>
      </c>
      <c r="E1634" t="inlineStr">
        <is>
          <t>SKELLEFTEÅ</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15613-2019</t>
        </is>
      </c>
      <c r="B1635" s="1" t="n">
        <v>43539</v>
      </c>
      <c r="C1635" s="1" t="n">
        <v>45204</v>
      </c>
      <c r="D1635" t="inlineStr">
        <is>
          <t>VÄSTERBOTTENS LÄN</t>
        </is>
      </c>
      <c r="E1635" t="inlineStr">
        <is>
          <t>SKELLEFTEÅ</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15407-2019</t>
        </is>
      </c>
      <c r="B1636" s="1" t="n">
        <v>43539</v>
      </c>
      <c r="C1636" s="1" t="n">
        <v>45204</v>
      </c>
      <c r="D1636" t="inlineStr">
        <is>
          <t>VÄSTERBOTTENS LÄN</t>
        </is>
      </c>
      <c r="E1636" t="inlineStr">
        <is>
          <t>VÄNNÄS</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15513-2019</t>
        </is>
      </c>
      <c r="B1637" s="1" t="n">
        <v>43539</v>
      </c>
      <c r="C1637" s="1" t="n">
        <v>45204</v>
      </c>
      <c r="D1637" t="inlineStr">
        <is>
          <t>VÄSTERBOTTENS LÄN</t>
        </is>
      </c>
      <c r="E1637" t="inlineStr">
        <is>
          <t>SKELLEFTEÅ</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15614-2019</t>
        </is>
      </c>
      <c r="B1638" s="1" t="n">
        <v>43539</v>
      </c>
      <c r="C1638" s="1" t="n">
        <v>45204</v>
      </c>
      <c r="D1638" t="inlineStr">
        <is>
          <t>VÄSTERBOTTENS LÄN</t>
        </is>
      </c>
      <c r="E1638" t="inlineStr">
        <is>
          <t>SKELLEFTEÅ</t>
        </is>
      </c>
      <c r="G1638" t="n">
        <v>5.3</v>
      </c>
      <c r="H1638" t="n">
        <v>0</v>
      </c>
      <c r="I1638" t="n">
        <v>0</v>
      </c>
      <c r="J1638" t="n">
        <v>0</v>
      </c>
      <c r="K1638" t="n">
        <v>0</v>
      </c>
      <c r="L1638" t="n">
        <v>0</v>
      </c>
      <c r="M1638" t="n">
        <v>0</v>
      </c>
      <c r="N1638" t="n">
        <v>0</v>
      </c>
      <c r="O1638" t="n">
        <v>0</v>
      </c>
      <c r="P1638" t="n">
        <v>0</v>
      </c>
      <c r="Q1638" t="n">
        <v>0</v>
      </c>
      <c r="R1638" s="2" t="inlineStr"/>
    </row>
    <row r="1639" ht="15" customHeight="1">
      <c r="A1639" t="inlineStr">
        <is>
          <t>A 15411-2019</t>
        </is>
      </c>
      <c r="B1639" s="1" t="n">
        <v>43539</v>
      </c>
      <c r="C1639" s="1" t="n">
        <v>45204</v>
      </c>
      <c r="D1639" t="inlineStr">
        <is>
          <t>VÄSTERBOTTENS LÄN</t>
        </is>
      </c>
      <c r="E1639" t="inlineStr">
        <is>
          <t>UMEÅ</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15496-2019</t>
        </is>
      </c>
      <c r="B1640" s="1" t="n">
        <v>43539</v>
      </c>
      <c r="C1640" s="1" t="n">
        <v>45204</v>
      </c>
      <c r="D1640" t="inlineStr">
        <is>
          <t>VÄSTERBOTTENS LÄN</t>
        </is>
      </c>
      <c r="E1640" t="inlineStr">
        <is>
          <t>ÅSELE</t>
        </is>
      </c>
      <c r="F1640" t="inlineStr">
        <is>
          <t>SCA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15514-2019</t>
        </is>
      </c>
      <c r="B1641" s="1" t="n">
        <v>43539</v>
      </c>
      <c r="C1641" s="1" t="n">
        <v>45204</v>
      </c>
      <c r="D1641" t="inlineStr">
        <is>
          <t>VÄSTERBOTTENS LÄN</t>
        </is>
      </c>
      <c r="E1641" t="inlineStr">
        <is>
          <t>SKELLEFTEÅ</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15516-2019</t>
        </is>
      </c>
      <c r="B1642" s="1" t="n">
        <v>43539</v>
      </c>
      <c r="C1642" s="1" t="n">
        <v>45204</v>
      </c>
      <c r="D1642" t="inlineStr">
        <is>
          <t>VÄSTERBOTTENS LÄN</t>
        </is>
      </c>
      <c r="E1642" t="inlineStr">
        <is>
          <t>SKELLEFTEÅ</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15612-2019</t>
        </is>
      </c>
      <c r="B1643" s="1" t="n">
        <v>43539</v>
      </c>
      <c r="C1643" s="1" t="n">
        <v>45204</v>
      </c>
      <c r="D1643" t="inlineStr">
        <is>
          <t>VÄSTERBOTTENS LÄN</t>
        </is>
      </c>
      <c r="E1643" t="inlineStr">
        <is>
          <t>SKELLEFTEÅ</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15637-2019</t>
        </is>
      </c>
      <c r="B1644" s="1" t="n">
        <v>43539</v>
      </c>
      <c r="C1644" s="1" t="n">
        <v>45204</v>
      </c>
      <c r="D1644" t="inlineStr">
        <is>
          <t>VÄSTERBOTTENS LÄN</t>
        </is>
      </c>
      <c r="E1644" t="inlineStr">
        <is>
          <t>SKELLEFTEÅ</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15386-2019</t>
        </is>
      </c>
      <c r="B1645" s="1" t="n">
        <v>43542</v>
      </c>
      <c r="C1645" s="1" t="n">
        <v>45204</v>
      </c>
      <c r="D1645" t="inlineStr">
        <is>
          <t>VÄSTERBOTTENS LÄN</t>
        </is>
      </c>
      <c r="E1645" t="inlineStr">
        <is>
          <t>VILHELMINA</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15666-2019</t>
        </is>
      </c>
      <c r="B1646" s="1" t="n">
        <v>43542</v>
      </c>
      <c r="C1646" s="1" t="n">
        <v>45204</v>
      </c>
      <c r="D1646" t="inlineStr">
        <is>
          <t>VÄSTERBOTTENS LÄN</t>
        </is>
      </c>
      <c r="E1646" t="inlineStr">
        <is>
          <t>VILHELMINA</t>
        </is>
      </c>
      <c r="F1646" t="inlineStr">
        <is>
          <t>Allmännings- och besparingsskogar</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15255-2019</t>
        </is>
      </c>
      <c r="B1647" s="1" t="n">
        <v>43542</v>
      </c>
      <c r="C1647" s="1" t="n">
        <v>45204</v>
      </c>
      <c r="D1647" t="inlineStr">
        <is>
          <t>VÄSTERBOTTENS LÄN</t>
        </is>
      </c>
      <c r="E1647" t="inlineStr">
        <is>
          <t>SKELLEFTEÅ</t>
        </is>
      </c>
      <c r="G1647" t="n">
        <v>15.6</v>
      </c>
      <c r="H1647" t="n">
        <v>0</v>
      </c>
      <c r="I1647" t="n">
        <v>0</v>
      </c>
      <c r="J1647" t="n">
        <v>0</v>
      </c>
      <c r="K1647" t="n">
        <v>0</v>
      </c>
      <c r="L1647" t="n">
        <v>0</v>
      </c>
      <c r="M1647" t="n">
        <v>0</v>
      </c>
      <c r="N1647" t="n">
        <v>0</v>
      </c>
      <c r="O1647" t="n">
        <v>0</v>
      </c>
      <c r="P1647" t="n">
        <v>0</v>
      </c>
      <c r="Q1647" t="n">
        <v>0</v>
      </c>
      <c r="R1647" s="2" t="inlineStr"/>
    </row>
    <row r="1648" ht="15" customHeight="1">
      <c r="A1648" t="inlineStr">
        <is>
          <t>A 15418-2019</t>
        </is>
      </c>
      <c r="B1648" s="1" t="n">
        <v>43542</v>
      </c>
      <c r="C1648" s="1" t="n">
        <v>45204</v>
      </c>
      <c r="D1648" t="inlineStr">
        <is>
          <t>VÄSTERBOTTENS LÄN</t>
        </is>
      </c>
      <c r="E1648" t="inlineStr">
        <is>
          <t>SKELLEFTEÅ</t>
        </is>
      </c>
      <c r="F1648" t="inlineStr">
        <is>
          <t>Kommuner</t>
        </is>
      </c>
      <c r="G1648" t="n">
        <v>7.8</v>
      </c>
      <c r="H1648" t="n">
        <v>0</v>
      </c>
      <c r="I1648" t="n">
        <v>0</v>
      </c>
      <c r="J1648" t="n">
        <v>0</v>
      </c>
      <c r="K1648" t="n">
        <v>0</v>
      </c>
      <c r="L1648" t="n">
        <v>0</v>
      </c>
      <c r="M1648" t="n">
        <v>0</v>
      </c>
      <c r="N1648" t="n">
        <v>0</v>
      </c>
      <c r="O1648" t="n">
        <v>0</v>
      </c>
      <c r="P1648" t="n">
        <v>0</v>
      </c>
      <c r="Q1648" t="n">
        <v>0</v>
      </c>
      <c r="R1648" s="2" t="inlineStr"/>
    </row>
    <row r="1649" ht="15" customHeight="1">
      <c r="A1649" t="inlineStr">
        <is>
          <t>A 15664-2019</t>
        </is>
      </c>
      <c r="B1649" s="1" t="n">
        <v>43542</v>
      </c>
      <c r="C1649" s="1" t="n">
        <v>45204</v>
      </c>
      <c r="D1649" t="inlineStr">
        <is>
          <t>VÄSTERBOTTENS LÄN</t>
        </is>
      </c>
      <c r="E1649" t="inlineStr">
        <is>
          <t>VILHELMINA</t>
        </is>
      </c>
      <c r="F1649" t="inlineStr">
        <is>
          <t>Allmännings- och besparingsskogar</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15638-2019</t>
        </is>
      </c>
      <c r="B1650" s="1" t="n">
        <v>43542</v>
      </c>
      <c r="C1650" s="1" t="n">
        <v>45204</v>
      </c>
      <c r="D1650" t="inlineStr">
        <is>
          <t>VÄSTERBOTTENS LÄN</t>
        </is>
      </c>
      <c r="E1650" t="inlineStr">
        <is>
          <t>SKELLEFTEÅ</t>
        </is>
      </c>
      <c r="G1650" t="n">
        <v>0.2</v>
      </c>
      <c r="H1650" t="n">
        <v>0</v>
      </c>
      <c r="I1650" t="n">
        <v>0</v>
      </c>
      <c r="J1650" t="n">
        <v>0</v>
      </c>
      <c r="K1650" t="n">
        <v>0</v>
      </c>
      <c r="L1650" t="n">
        <v>0</v>
      </c>
      <c r="M1650" t="n">
        <v>0</v>
      </c>
      <c r="N1650" t="n">
        <v>0</v>
      </c>
      <c r="O1650" t="n">
        <v>0</v>
      </c>
      <c r="P1650" t="n">
        <v>0</v>
      </c>
      <c r="Q1650" t="n">
        <v>0</v>
      </c>
      <c r="R1650" s="2" t="inlineStr"/>
    </row>
    <row r="1651" ht="15" customHeight="1">
      <c r="A1651" t="inlineStr">
        <is>
          <t>A 15813-2019</t>
        </is>
      </c>
      <c r="B1651" s="1" t="n">
        <v>43542</v>
      </c>
      <c r="C1651" s="1" t="n">
        <v>45204</v>
      </c>
      <c r="D1651" t="inlineStr">
        <is>
          <t>VÄSTERBOTTENS LÄN</t>
        </is>
      </c>
      <c r="E1651" t="inlineStr">
        <is>
          <t>LYCKSELE</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16030-2019</t>
        </is>
      </c>
      <c r="B1652" s="1" t="n">
        <v>43543</v>
      </c>
      <c r="C1652" s="1" t="n">
        <v>45204</v>
      </c>
      <c r="D1652" t="inlineStr">
        <is>
          <t>VÄSTERBOTTENS LÄN</t>
        </is>
      </c>
      <c r="E1652" t="inlineStr">
        <is>
          <t>VINDELN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16142-2019</t>
        </is>
      </c>
      <c r="B1653" s="1" t="n">
        <v>43544</v>
      </c>
      <c r="C1653" s="1" t="n">
        <v>45204</v>
      </c>
      <c r="D1653" t="inlineStr">
        <is>
          <t>VÄSTERBOTTENS LÄN</t>
        </is>
      </c>
      <c r="E1653" t="inlineStr">
        <is>
          <t>ÅSELE</t>
        </is>
      </c>
      <c r="F1653" t="inlineStr">
        <is>
          <t>SCA</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16329-2019</t>
        </is>
      </c>
      <c r="B1654" s="1" t="n">
        <v>43545</v>
      </c>
      <c r="C1654" s="1" t="n">
        <v>45204</v>
      </c>
      <c r="D1654" t="inlineStr">
        <is>
          <t>VÄSTERBOTTENS LÄN</t>
        </is>
      </c>
      <c r="E1654" t="inlineStr">
        <is>
          <t>SKELLEFTEÅ</t>
        </is>
      </c>
      <c r="G1654" t="n">
        <v>7</v>
      </c>
      <c r="H1654" t="n">
        <v>0</v>
      </c>
      <c r="I1654" t="n">
        <v>0</v>
      </c>
      <c r="J1654" t="n">
        <v>0</v>
      </c>
      <c r="K1654" t="n">
        <v>0</v>
      </c>
      <c r="L1654" t="n">
        <v>0</v>
      </c>
      <c r="M1654" t="n">
        <v>0</v>
      </c>
      <c r="N1654" t="n">
        <v>0</v>
      </c>
      <c r="O1654" t="n">
        <v>0</v>
      </c>
      <c r="P1654" t="n">
        <v>0</v>
      </c>
      <c r="Q1654" t="n">
        <v>0</v>
      </c>
      <c r="R1654" s="2" t="inlineStr"/>
    </row>
    <row r="1655" ht="15" customHeight="1">
      <c r="A1655" t="inlineStr">
        <is>
          <t>A 16364-2019</t>
        </is>
      </c>
      <c r="B1655" s="1" t="n">
        <v>43545</v>
      </c>
      <c r="C1655" s="1" t="n">
        <v>45204</v>
      </c>
      <c r="D1655" t="inlineStr">
        <is>
          <t>VÄSTERBOTTENS LÄN</t>
        </is>
      </c>
      <c r="E1655" t="inlineStr">
        <is>
          <t>VILHELMINA</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16366-2019</t>
        </is>
      </c>
      <c r="B1656" s="1" t="n">
        <v>43545</v>
      </c>
      <c r="C1656" s="1" t="n">
        <v>45204</v>
      </c>
      <c r="D1656" t="inlineStr">
        <is>
          <t>VÄSTERBOTTENS LÄN</t>
        </is>
      </c>
      <c r="E1656" t="inlineStr">
        <is>
          <t>VILHELMINA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16210-2019</t>
        </is>
      </c>
      <c r="B1657" s="1" t="n">
        <v>43545</v>
      </c>
      <c r="C1657" s="1" t="n">
        <v>45204</v>
      </c>
      <c r="D1657" t="inlineStr">
        <is>
          <t>VÄSTERBOTTENS LÄN</t>
        </is>
      </c>
      <c r="E1657" t="inlineStr">
        <is>
          <t>NORDMALING</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16228-2019</t>
        </is>
      </c>
      <c r="B1658" s="1" t="n">
        <v>43545</v>
      </c>
      <c r="C1658" s="1" t="n">
        <v>45204</v>
      </c>
      <c r="D1658" t="inlineStr">
        <is>
          <t>VÄSTERBOTTENS LÄN</t>
        </is>
      </c>
      <c r="E1658" t="inlineStr">
        <is>
          <t>VILHELMINA</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16319-2019</t>
        </is>
      </c>
      <c r="B1659" s="1" t="n">
        <v>43545</v>
      </c>
      <c r="C1659" s="1" t="n">
        <v>45204</v>
      </c>
      <c r="D1659" t="inlineStr">
        <is>
          <t>VÄSTERBOTTENS LÄN</t>
        </is>
      </c>
      <c r="E1659" t="inlineStr">
        <is>
          <t>SKELLEFTEÅ</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16598-2019</t>
        </is>
      </c>
      <c r="B1660" s="1" t="n">
        <v>43546</v>
      </c>
      <c r="C1660" s="1" t="n">
        <v>45204</v>
      </c>
      <c r="D1660" t="inlineStr">
        <is>
          <t>VÄSTERBOTTENS LÄN</t>
        </is>
      </c>
      <c r="E1660" t="inlineStr">
        <is>
          <t>SKELLEFTEÅ</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17094-2019</t>
        </is>
      </c>
      <c r="B1661" s="1" t="n">
        <v>43549</v>
      </c>
      <c r="C1661" s="1" t="n">
        <v>45204</v>
      </c>
      <c r="D1661" t="inlineStr">
        <is>
          <t>VÄSTERBOTTENS LÄN</t>
        </is>
      </c>
      <c r="E1661" t="inlineStr">
        <is>
          <t>UMEÅ</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16964-2019</t>
        </is>
      </c>
      <c r="B1662" s="1" t="n">
        <v>43550</v>
      </c>
      <c r="C1662" s="1" t="n">
        <v>45204</v>
      </c>
      <c r="D1662" t="inlineStr">
        <is>
          <t>VÄSTERBOTTENS LÄN</t>
        </is>
      </c>
      <c r="E1662" t="inlineStr">
        <is>
          <t>UMEÅ</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17178-2019</t>
        </is>
      </c>
      <c r="B1663" s="1" t="n">
        <v>43551</v>
      </c>
      <c r="C1663" s="1" t="n">
        <v>45204</v>
      </c>
      <c r="D1663" t="inlineStr">
        <is>
          <t>VÄSTERBOTTENS LÄN</t>
        </is>
      </c>
      <c r="E1663" t="inlineStr">
        <is>
          <t>ROBERTSFORS</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17266-2019</t>
        </is>
      </c>
      <c r="B1664" s="1" t="n">
        <v>43551</v>
      </c>
      <c r="C1664" s="1" t="n">
        <v>45204</v>
      </c>
      <c r="D1664" t="inlineStr">
        <is>
          <t>VÄSTERBOTTENS LÄN</t>
        </is>
      </c>
      <c r="E1664" t="inlineStr">
        <is>
          <t>LYCKSELE</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17179-2019</t>
        </is>
      </c>
      <c r="B1665" s="1" t="n">
        <v>43551</v>
      </c>
      <c r="C1665" s="1" t="n">
        <v>45204</v>
      </c>
      <c r="D1665" t="inlineStr">
        <is>
          <t>VÄSTERBOTTENS LÄN</t>
        </is>
      </c>
      <c r="E1665" t="inlineStr">
        <is>
          <t>ROBERTSFORS</t>
        </is>
      </c>
      <c r="F1665" t="inlineStr">
        <is>
          <t>SCA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17177-2019</t>
        </is>
      </c>
      <c r="B1666" s="1" t="n">
        <v>43551</v>
      </c>
      <c r="C1666" s="1" t="n">
        <v>45204</v>
      </c>
      <c r="D1666" t="inlineStr">
        <is>
          <t>VÄSTERBOTTENS LÄN</t>
        </is>
      </c>
      <c r="E1666" t="inlineStr">
        <is>
          <t>VINDELN</t>
        </is>
      </c>
      <c r="F1666" t="inlineStr">
        <is>
          <t>SCA</t>
        </is>
      </c>
      <c r="G1666" t="n">
        <v>9.4</v>
      </c>
      <c r="H1666" t="n">
        <v>0</v>
      </c>
      <c r="I1666" t="n">
        <v>0</v>
      </c>
      <c r="J1666" t="n">
        <v>0</v>
      </c>
      <c r="K1666" t="n">
        <v>0</v>
      </c>
      <c r="L1666" t="n">
        <v>0</v>
      </c>
      <c r="M1666" t="n">
        <v>0</v>
      </c>
      <c r="N1666" t="n">
        <v>0</v>
      </c>
      <c r="O1666" t="n">
        <v>0</v>
      </c>
      <c r="P1666" t="n">
        <v>0</v>
      </c>
      <c r="Q1666" t="n">
        <v>0</v>
      </c>
      <c r="R1666" s="2" t="inlineStr"/>
    </row>
    <row r="1667" ht="15" customHeight="1">
      <c r="A1667" t="inlineStr">
        <is>
          <t>A 17400-2019</t>
        </is>
      </c>
      <c r="B1667" s="1" t="n">
        <v>43552</v>
      </c>
      <c r="C1667" s="1" t="n">
        <v>45204</v>
      </c>
      <c r="D1667" t="inlineStr">
        <is>
          <t>VÄSTERBOTTENS LÄN</t>
        </is>
      </c>
      <c r="E1667" t="inlineStr">
        <is>
          <t>NORSJÖ</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17870-2019</t>
        </is>
      </c>
      <c r="B1668" s="1" t="n">
        <v>43553</v>
      </c>
      <c r="C1668" s="1" t="n">
        <v>45204</v>
      </c>
      <c r="D1668" t="inlineStr">
        <is>
          <t>VÄSTERBOTTENS LÄN</t>
        </is>
      </c>
      <c r="E1668" t="inlineStr">
        <is>
          <t>UMEÅ</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17416-2019</t>
        </is>
      </c>
      <c r="B1669" s="1" t="n">
        <v>43553</v>
      </c>
      <c r="C1669" s="1" t="n">
        <v>45204</v>
      </c>
      <c r="D1669" t="inlineStr">
        <is>
          <t>VÄSTERBOTTENS LÄN</t>
        </is>
      </c>
      <c r="E1669" t="inlineStr">
        <is>
          <t>NORDMALING</t>
        </is>
      </c>
      <c r="G1669" t="n">
        <v>2.8</v>
      </c>
      <c r="H1669" t="n">
        <v>0</v>
      </c>
      <c r="I1669" t="n">
        <v>0</v>
      </c>
      <c r="J1669" t="n">
        <v>0</v>
      </c>
      <c r="K1669" t="n">
        <v>0</v>
      </c>
      <c r="L1669" t="n">
        <v>0</v>
      </c>
      <c r="M1669" t="n">
        <v>0</v>
      </c>
      <c r="N1669" t="n">
        <v>0</v>
      </c>
      <c r="O1669" t="n">
        <v>0</v>
      </c>
      <c r="P1669" t="n">
        <v>0</v>
      </c>
      <c r="Q1669" t="n">
        <v>0</v>
      </c>
      <c r="R1669" s="2" t="inlineStr"/>
    </row>
    <row r="1670" ht="15" customHeight="1">
      <c r="A1670" t="inlineStr">
        <is>
          <t>A 17578-2019</t>
        </is>
      </c>
      <c r="B1670" s="1" t="n">
        <v>43553</v>
      </c>
      <c r="C1670" s="1" t="n">
        <v>45204</v>
      </c>
      <c r="D1670" t="inlineStr">
        <is>
          <t>VÄSTERBOTTENS LÄN</t>
        </is>
      </c>
      <c r="E1670" t="inlineStr">
        <is>
          <t>SKELLEFTEÅ</t>
        </is>
      </c>
      <c r="G1670" t="n">
        <v>3</v>
      </c>
      <c r="H1670" t="n">
        <v>0</v>
      </c>
      <c r="I1670" t="n">
        <v>0</v>
      </c>
      <c r="J1670" t="n">
        <v>0</v>
      </c>
      <c r="K1670" t="n">
        <v>0</v>
      </c>
      <c r="L1670" t="n">
        <v>0</v>
      </c>
      <c r="M1670" t="n">
        <v>0</v>
      </c>
      <c r="N1670" t="n">
        <v>0</v>
      </c>
      <c r="O1670" t="n">
        <v>0</v>
      </c>
      <c r="P1670" t="n">
        <v>0</v>
      </c>
      <c r="Q1670" t="n">
        <v>0</v>
      </c>
      <c r="R1670" s="2" t="inlineStr"/>
    </row>
    <row r="1671" ht="15" customHeight="1">
      <c r="A1671" t="inlineStr">
        <is>
          <t>A 17415-2019</t>
        </is>
      </c>
      <c r="B1671" s="1" t="n">
        <v>43553</v>
      </c>
      <c r="C1671" s="1" t="n">
        <v>45204</v>
      </c>
      <c r="D1671" t="inlineStr">
        <is>
          <t>VÄSTERBOTTENS LÄN</t>
        </is>
      </c>
      <c r="E1671" t="inlineStr">
        <is>
          <t>NORDMALING</t>
        </is>
      </c>
      <c r="G1671" t="n">
        <v>26.5</v>
      </c>
      <c r="H1671" t="n">
        <v>0</v>
      </c>
      <c r="I1671" t="n">
        <v>0</v>
      </c>
      <c r="J1671" t="n">
        <v>0</v>
      </c>
      <c r="K1671" t="n">
        <v>0</v>
      </c>
      <c r="L1671" t="n">
        <v>0</v>
      </c>
      <c r="M1671" t="n">
        <v>0</v>
      </c>
      <c r="N1671" t="n">
        <v>0</v>
      </c>
      <c r="O1671" t="n">
        <v>0</v>
      </c>
      <c r="P1671" t="n">
        <v>0</v>
      </c>
      <c r="Q1671" t="n">
        <v>0</v>
      </c>
      <c r="R1671" s="2" t="inlineStr"/>
    </row>
    <row r="1672" ht="15" customHeight="1">
      <c r="A1672" t="inlineStr">
        <is>
          <t>A 17594-2019</t>
        </is>
      </c>
      <c r="B1672" s="1" t="n">
        <v>43553</v>
      </c>
      <c r="C1672" s="1" t="n">
        <v>45204</v>
      </c>
      <c r="D1672" t="inlineStr">
        <is>
          <t>VÄSTERBOTTENS LÄN</t>
        </is>
      </c>
      <c r="E1672" t="inlineStr">
        <is>
          <t>LYCKSELE</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17877-2019</t>
        </is>
      </c>
      <c r="B1673" s="1" t="n">
        <v>43553</v>
      </c>
      <c r="C1673" s="1" t="n">
        <v>45204</v>
      </c>
      <c r="D1673" t="inlineStr">
        <is>
          <t>VÄSTERBOTTENS LÄN</t>
        </is>
      </c>
      <c r="E1673" t="inlineStr">
        <is>
          <t>UMEÅ</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17604-2019</t>
        </is>
      </c>
      <c r="B1674" s="1" t="n">
        <v>43554</v>
      </c>
      <c r="C1674" s="1" t="n">
        <v>45204</v>
      </c>
      <c r="D1674" t="inlineStr">
        <is>
          <t>VÄSTERBOTTENS LÄN</t>
        </is>
      </c>
      <c r="E1674" t="inlineStr">
        <is>
          <t>SKELLEFTEÅ</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18096-2019</t>
        </is>
      </c>
      <c r="B1675" s="1" t="n">
        <v>43556</v>
      </c>
      <c r="C1675" s="1" t="n">
        <v>45204</v>
      </c>
      <c r="D1675" t="inlineStr">
        <is>
          <t>VÄSTERBOTTENS LÄN</t>
        </is>
      </c>
      <c r="E1675" t="inlineStr">
        <is>
          <t>STORUMAN</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17665-2019</t>
        </is>
      </c>
      <c r="B1676" s="1" t="n">
        <v>43556</v>
      </c>
      <c r="C1676" s="1" t="n">
        <v>45204</v>
      </c>
      <c r="D1676" t="inlineStr">
        <is>
          <t>VÄSTERBOTTENS LÄN</t>
        </is>
      </c>
      <c r="E1676" t="inlineStr">
        <is>
          <t>UMEÅ</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18106-2019</t>
        </is>
      </c>
      <c r="B1677" s="1" t="n">
        <v>43556</v>
      </c>
      <c r="C1677" s="1" t="n">
        <v>45204</v>
      </c>
      <c r="D1677" t="inlineStr">
        <is>
          <t>VÄSTERBOTTENS LÄN</t>
        </is>
      </c>
      <c r="E1677" t="inlineStr">
        <is>
          <t>STORUMAN</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18151-2019</t>
        </is>
      </c>
      <c r="B1678" s="1" t="n">
        <v>43556</v>
      </c>
      <c r="C1678" s="1" t="n">
        <v>45204</v>
      </c>
      <c r="D1678" t="inlineStr">
        <is>
          <t>VÄSTERBOTTENS LÄN</t>
        </is>
      </c>
      <c r="E1678" t="inlineStr">
        <is>
          <t>UMEÅ</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17859-2019</t>
        </is>
      </c>
      <c r="B1679" s="1" t="n">
        <v>43556</v>
      </c>
      <c r="C1679" s="1" t="n">
        <v>45204</v>
      </c>
      <c r="D1679" t="inlineStr">
        <is>
          <t>VÄSTERBOTTENS LÄN</t>
        </is>
      </c>
      <c r="E1679" t="inlineStr">
        <is>
          <t>VINDELN</t>
        </is>
      </c>
      <c r="F1679" t="inlineStr">
        <is>
          <t>SCA</t>
        </is>
      </c>
      <c r="G1679" t="n">
        <v>6.6</v>
      </c>
      <c r="H1679" t="n">
        <v>0</v>
      </c>
      <c r="I1679" t="n">
        <v>0</v>
      </c>
      <c r="J1679" t="n">
        <v>0</v>
      </c>
      <c r="K1679" t="n">
        <v>0</v>
      </c>
      <c r="L1679" t="n">
        <v>0</v>
      </c>
      <c r="M1679" t="n">
        <v>0</v>
      </c>
      <c r="N1679" t="n">
        <v>0</v>
      </c>
      <c r="O1679" t="n">
        <v>0</v>
      </c>
      <c r="P1679" t="n">
        <v>0</v>
      </c>
      <c r="Q1679" t="n">
        <v>0</v>
      </c>
      <c r="R1679" s="2" t="inlineStr"/>
    </row>
    <row r="1680" ht="15" customHeight="1">
      <c r="A1680" t="inlineStr">
        <is>
          <t>A 17891-2019</t>
        </is>
      </c>
      <c r="B1680" s="1" t="n">
        <v>43557</v>
      </c>
      <c r="C1680" s="1" t="n">
        <v>45204</v>
      </c>
      <c r="D1680" t="inlineStr">
        <is>
          <t>VÄSTERBOTTENS LÄN</t>
        </is>
      </c>
      <c r="E1680" t="inlineStr">
        <is>
          <t>BJURHOLM</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18073-2019</t>
        </is>
      </c>
      <c r="B1681" s="1" t="n">
        <v>43557</v>
      </c>
      <c r="C1681" s="1" t="n">
        <v>45204</v>
      </c>
      <c r="D1681" t="inlineStr">
        <is>
          <t>VÄSTERBOTTENS LÄN</t>
        </is>
      </c>
      <c r="E1681" t="inlineStr">
        <is>
          <t>SKELLEFTEÅ</t>
        </is>
      </c>
      <c r="F1681" t="inlineStr">
        <is>
          <t>SCA</t>
        </is>
      </c>
      <c r="G1681" t="n">
        <v>3.2</v>
      </c>
      <c r="H1681" t="n">
        <v>0</v>
      </c>
      <c r="I1681" t="n">
        <v>0</v>
      </c>
      <c r="J1681" t="n">
        <v>0</v>
      </c>
      <c r="K1681" t="n">
        <v>0</v>
      </c>
      <c r="L1681" t="n">
        <v>0</v>
      </c>
      <c r="M1681" t="n">
        <v>0</v>
      </c>
      <c r="N1681" t="n">
        <v>0</v>
      </c>
      <c r="O1681" t="n">
        <v>0</v>
      </c>
      <c r="P1681" t="n">
        <v>0</v>
      </c>
      <c r="Q1681" t="n">
        <v>0</v>
      </c>
      <c r="R1681" s="2" t="inlineStr"/>
    </row>
    <row r="1682" ht="15" customHeight="1">
      <c r="A1682" t="inlineStr">
        <is>
          <t>A 18072-2019</t>
        </is>
      </c>
      <c r="B1682" s="1" t="n">
        <v>43557</v>
      </c>
      <c r="C1682" s="1" t="n">
        <v>45204</v>
      </c>
      <c r="D1682" t="inlineStr">
        <is>
          <t>VÄSTERBOTTENS LÄN</t>
        </is>
      </c>
      <c r="E1682" t="inlineStr">
        <is>
          <t>SKELLEFTEÅ</t>
        </is>
      </c>
      <c r="F1682" t="inlineStr">
        <is>
          <t>SCA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17898-2019</t>
        </is>
      </c>
      <c r="B1683" s="1" t="n">
        <v>43557</v>
      </c>
      <c r="C1683" s="1" t="n">
        <v>45204</v>
      </c>
      <c r="D1683" t="inlineStr">
        <is>
          <t>VÄSTERBOTTENS LÄN</t>
        </is>
      </c>
      <c r="E1683" t="inlineStr">
        <is>
          <t>BJURHOLM</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18271-2019</t>
        </is>
      </c>
      <c r="B1684" s="1" t="n">
        <v>43557</v>
      </c>
      <c r="C1684" s="1" t="n">
        <v>45204</v>
      </c>
      <c r="D1684" t="inlineStr">
        <is>
          <t>VÄSTERBOTTENS LÄN</t>
        </is>
      </c>
      <c r="E1684" t="inlineStr">
        <is>
          <t>SKELLEFTEÅ</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18137-2019</t>
        </is>
      </c>
      <c r="B1685" s="1" t="n">
        <v>43558</v>
      </c>
      <c r="C1685" s="1" t="n">
        <v>45204</v>
      </c>
      <c r="D1685" t="inlineStr">
        <is>
          <t>VÄSTERBOTTENS LÄN</t>
        </is>
      </c>
      <c r="E1685" t="inlineStr">
        <is>
          <t>SKELLEFTEÅ</t>
        </is>
      </c>
      <c r="G1685" t="n">
        <v>10</v>
      </c>
      <c r="H1685" t="n">
        <v>0</v>
      </c>
      <c r="I1685" t="n">
        <v>0</v>
      </c>
      <c r="J1685" t="n">
        <v>0</v>
      </c>
      <c r="K1685" t="n">
        <v>0</v>
      </c>
      <c r="L1685" t="n">
        <v>0</v>
      </c>
      <c r="M1685" t="n">
        <v>0</v>
      </c>
      <c r="N1685" t="n">
        <v>0</v>
      </c>
      <c r="O1685" t="n">
        <v>0</v>
      </c>
      <c r="P1685" t="n">
        <v>0</v>
      </c>
      <c r="Q1685" t="n">
        <v>0</v>
      </c>
      <c r="R1685" s="2" t="inlineStr"/>
    </row>
    <row r="1686" ht="15" customHeight="1">
      <c r="A1686" t="inlineStr">
        <is>
          <t>A 18079-2019</t>
        </is>
      </c>
      <c r="B1686" s="1" t="n">
        <v>43558</v>
      </c>
      <c r="C1686" s="1" t="n">
        <v>45204</v>
      </c>
      <c r="D1686" t="inlineStr">
        <is>
          <t>VÄSTERBOTTENS LÄN</t>
        </is>
      </c>
      <c r="E1686" t="inlineStr">
        <is>
          <t>ROBERTSFORS</t>
        </is>
      </c>
      <c r="G1686" t="n">
        <v>6.1</v>
      </c>
      <c r="H1686" t="n">
        <v>0</v>
      </c>
      <c r="I1686" t="n">
        <v>0</v>
      </c>
      <c r="J1686" t="n">
        <v>0</v>
      </c>
      <c r="K1686" t="n">
        <v>0</v>
      </c>
      <c r="L1686" t="n">
        <v>0</v>
      </c>
      <c r="M1686" t="n">
        <v>0</v>
      </c>
      <c r="N1686" t="n">
        <v>0</v>
      </c>
      <c r="O1686" t="n">
        <v>0</v>
      </c>
      <c r="P1686" t="n">
        <v>0</v>
      </c>
      <c r="Q1686" t="n">
        <v>0</v>
      </c>
      <c r="R1686" s="2" t="inlineStr"/>
    </row>
    <row r="1687" ht="15" customHeight="1">
      <c r="A1687" t="inlineStr">
        <is>
          <t>A 18116-2019</t>
        </is>
      </c>
      <c r="B1687" s="1" t="n">
        <v>43558</v>
      </c>
      <c r="C1687" s="1" t="n">
        <v>45204</v>
      </c>
      <c r="D1687" t="inlineStr">
        <is>
          <t>VÄSTERBOTTENS LÄN</t>
        </is>
      </c>
      <c r="E1687" t="inlineStr">
        <is>
          <t>VINDELN</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18202-2019</t>
        </is>
      </c>
      <c r="B1688" s="1" t="n">
        <v>43558</v>
      </c>
      <c r="C1688" s="1" t="n">
        <v>45204</v>
      </c>
      <c r="D1688" t="inlineStr">
        <is>
          <t>VÄSTERBOTTENS LÄN</t>
        </is>
      </c>
      <c r="E1688" t="inlineStr">
        <is>
          <t>SKELLEFTEÅ</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18521-2019</t>
        </is>
      </c>
      <c r="B1689" s="1" t="n">
        <v>43558</v>
      </c>
      <c r="C1689" s="1" t="n">
        <v>45204</v>
      </c>
      <c r="D1689" t="inlineStr">
        <is>
          <t>VÄSTERBOTTENS LÄN</t>
        </is>
      </c>
      <c r="E1689" t="inlineStr">
        <is>
          <t>VILHELMINA</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18692-2019</t>
        </is>
      </c>
      <c r="B1690" s="1" t="n">
        <v>43559</v>
      </c>
      <c r="C1690" s="1" t="n">
        <v>45204</v>
      </c>
      <c r="D1690" t="inlineStr">
        <is>
          <t>VÄSTERBOTTENS LÄN</t>
        </is>
      </c>
      <c r="E1690" t="inlineStr">
        <is>
          <t>ÅSELE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18669-2019</t>
        </is>
      </c>
      <c r="B1691" s="1" t="n">
        <v>43559</v>
      </c>
      <c r="C1691" s="1" t="n">
        <v>45204</v>
      </c>
      <c r="D1691" t="inlineStr">
        <is>
          <t>VÄSTERBOTTENS LÄN</t>
        </is>
      </c>
      <c r="E1691" t="inlineStr">
        <is>
          <t>VINDELN</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18449-2019</t>
        </is>
      </c>
      <c r="B1692" s="1" t="n">
        <v>43559</v>
      </c>
      <c r="C1692" s="1" t="n">
        <v>45204</v>
      </c>
      <c r="D1692" t="inlineStr">
        <is>
          <t>VÄSTERBOTTENS LÄN</t>
        </is>
      </c>
      <c r="E1692" t="inlineStr">
        <is>
          <t>VILHELMINA</t>
        </is>
      </c>
      <c r="F1692" t="inlineStr">
        <is>
          <t>Kommuner</t>
        </is>
      </c>
      <c r="G1692" t="n">
        <v>20.8</v>
      </c>
      <c r="H1692" t="n">
        <v>0</v>
      </c>
      <c r="I1692" t="n">
        <v>0</v>
      </c>
      <c r="J1692" t="n">
        <v>0</v>
      </c>
      <c r="K1692" t="n">
        <v>0</v>
      </c>
      <c r="L1692" t="n">
        <v>0</v>
      </c>
      <c r="M1692" t="n">
        <v>0</v>
      </c>
      <c r="N1692" t="n">
        <v>0</v>
      </c>
      <c r="O1692" t="n">
        <v>0</v>
      </c>
      <c r="P1692" t="n">
        <v>0</v>
      </c>
      <c r="Q1692" t="n">
        <v>0</v>
      </c>
      <c r="R1692" s="2" t="inlineStr"/>
    </row>
    <row r="1693" ht="15" customHeight="1">
      <c r="A1693" t="inlineStr">
        <is>
          <t>A 18529-2019</t>
        </is>
      </c>
      <c r="B1693" s="1" t="n">
        <v>43559</v>
      </c>
      <c r="C1693" s="1" t="n">
        <v>45204</v>
      </c>
      <c r="D1693" t="inlineStr">
        <is>
          <t>VÄSTERBOTTENS LÄN</t>
        </is>
      </c>
      <c r="E1693" t="inlineStr">
        <is>
          <t>VILHELMINA</t>
        </is>
      </c>
      <c r="F1693" t="inlineStr">
        <is>
          <t>Kommuner</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18714-2019</t>
        </is>
      </c>
      <c r="B1694" s="1" t="n">
        <v>43560</v>
      </c>
      <c r="C1694" s="1" t="n">
        <v>45204</v>
      </c>
      <c r="D1694" t="inlineStr">
        <is>
          <t>VÄSTERBOTTENS LÄN</t>
        </is>
      </c>
      <c r="E1694" t="inlineStr">
        <is>
          <t>SKELLEFTEÅ</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18757-2019</t>
        </is>
      </c>
      <c r="B1695" s="1" t="n">
        <v>43560</v>
      </c>
      <c r="C1695" s="1" t="n">
        <v>45204</v>
      </c>
      <c r="D1695" t="inlineStr">
        <is>
          <t>VÄSTERBOTTENS LÄN</t>
        </is>
      </c>
      <c r="E1695" t="inlineStr">
        <is>
          <t>DOROTEA</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18816-2019</t>
        </is>
      </c>
      <c r="B1696" s="1" t="n">
        <v>43560</v>
      </c>
      <c r="C1696" s="1" t="n">
        <v>45204</v>
      </c>
      <c r="D1696" t="inlineStr">
        <is>
          <t>VÄSTERBOTTENS LÄN</t>
        </is>
      </c>
      <c r="E1696" t="inlineStr">
        <is>
          <t>ROBERTSFORS</t>
        </is>
      </c>
      <c r="G1696" t="n">
        <v>5.1</v>
      </c>
      <c r="H1696" t="n">
        <v>0</v>
      </c>
      <c r="I1696" t="n">
        <v>0</v>
      </c>
      <c r="J1696" t="n">
        <v>0</v>
      </c>
      <c r="K1696" t="n">
        <v>0</v>
      </c>
      <c r="L1696" t="n">
        <v>0</v>
      </c>
      <c r="M1696" t="n">
        <v>0</v>
      </c>
      <c r="N1696" t="n">
        <v>0</v>
      </c>
      <c r="O1696" t="n">
        <v>0</v>
      </c>
      <c r="P1696" t="n">
        <v>0</v>
      </c>
      <c r="Q1696" t="n">
        <v>0</v>
      </c>
      <c r="R1696" s="2" t="inlineStr"/>
    </row>
    <row r="1697" ht="15" customHeight="1">
      <c r="A1697" t="inlineStr">
        <is>
          <t>A 18591-2019</t>
        </is>
      </c>
      <c r="B1697" s="1" t="n">
        <v>43560</v>
      </c>
      <c r="C1697" s="1" t="n">
        <v>45204</v>
      </c>
      <c r="D1697" t="inlineStr">
        <is>
          <t>VÄSTERBOTTENS LÄN</t>
        </is>
      </c>
      <c r="E1697" t="inlineStr">
        <is>
          <t>VÄNNÄS</t>
        </is>
      </c>
      <c r="F1697" t="inlineStr">
        <is>
          <t>Övriga Aktiebolag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18771-2019</t>
        </is>
      </c>
      <c r="B1698" s="1" t="n">
        <v>43560</v>
      </c>
      <c r="C1698" s="1" t="n">
        <v>45204</v>
      </c>
      <c r="D1698" t="inlineStr">
        <is>
          <t>VÄSTERBOTTENS LÄN</t>
        </is>
      </c>
      <c r="E1698" t="inlineStr">
        <is>
          <t>LYCKSELE</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18821-2019</t>
        </is>
      </c>
      <c r="B1699" s="1" t="n">
        <v>43560</v>
      </c>
      <c r="C1699" s="1" t="n">
        <v>45204</v>
      </c>
      <c r="D1699" t="inlineStr">
        <is>
          <t>VÄSTERBOTTENS LÄN</t>
        </is>
      </c>
      <c r="E1699" t="inlineStr">
        <is>
          <t>NORSJÖ</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18712-2019</t>
        </is>
      </c>
      <c r="B1700" s="1" t="n">
        <v>43560</v>
      </c>
      <c r="C1700" s="1" t="n">
        <v>45204</v>
      </c>
      <c r="D1700" t="inlineStr">
        <is>
          <t>VÄSTERBOTTENS LÄN</t>
        </is>
      </c>
      <c r="E1700" t="inlineStr">
        <is>
          <t>SKELLEFTEÅ</t>
        </is>
      </c>
      <c r="F1700" t="inlineStr">
        <is>
          <t>Övriga Aktiebolag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19059-2019</t>
        </is>
      </c>
      <c r="B1701" s="1" t="n">
        <v>43563</v>
      </c>
      <c r="C1701" s="1" t="n">
        <v>45204</v>
      </c>
      <c r="D1701" t="inlineStr">
        <is>
          <t>VÄSTERBOTTENS LÄN</t>
        </is>
      </c>
      <c r="E1701" t="inlineStr">
        <is>
          <t>SKELLEFTEÅ</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19101-2019</t>
        </is>
      </c>
      <c r="B1702" s="1" t="n">
        <v>43563</v>
      </c>
      <c r="C1702" s="1" t="n">
        <v>45204</v>
      </c>
      <c r="D1702" t="inlineStr">
        <is>
          <t>VÄSTERBOTTENS LÄN</t>
        </is>
      </c>
      <c r="E1702" t="inlineStr">
        <is>
          <t>SKELLEFTEÅ</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18846-2019</t>
        </is>
      </c>
      <c r="B1703" s="1" t="n">
        <v>43563</v>
      </c>
      <c r="C1703" s="1" t="n">
        <v>45204</v>
      </c>
      <c r="D1703" t="inlineStr">
        <is>
          <t>VÄSTERBOTTENS LÄN</t>
        </is>
      </c>
      <c r="E1703" t="inlineStr">
        <is>
          <t>NORDMALING</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18986-2019</t>
        </is>
      </c>
      <c r="B1704" s="1" t="n">
        <v>43563</v>
      </c>
      <c r="C1704" s="1" t="n">
        <v>45204</v>
      </c>
      <c r="D1704" t="inlineStr">
        <is>
          <t>VÄSTERBOTTENS LÄN</t>
        </is>
      </c>
      <c r="E1704" t="inlineStr">
        <is>
          <t>LYCKSELE</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19007-2019</t>
        </is>
      </c>
      <c r="B1705" s="1" t="n">
        <v>43563</v>
      </c>
      <c r="C1705" s="1" t="n">
        <v>45204</v>
      </c>
      <c r="D1705" t="inlineStr">
        <is>
          <t>VÄSTERBOTTENS LÄN</t>
        </is>
      </c>
      <c r="E1705" t="inlineStr">
        <is>
          <t>NORSJÖ</t>
        </is>
      </c>
      <c r="G1705" t="n">
        <v>3.3</v>
      </c>
      <c r="H1705" t="n">
        <v>0</v>
      </c>
      <c r="I1705" t="n">
        <v>0</v>
      </c>
      <c r="J1705" t="n">
        <v>0</v>
      </c>
      <c r="K1705" t="n">
        <v>0</v>
      </c>
      <c r="L1705" t="n">
        <v>0</v>
      </c>
      <c r="M1705" t="n">
        <v>0</v>
      </c>
      <c r="N1705" t="n">
        <v>0</v>
      </c>
      <c r="O1705" t="n">
        <v>0</v>
      </c>
      <c r="P1705" t="n">
        <v>0</v>
      </c>
      <c r="Q1705" t="n">
        <v>0</v>
      </c>
      <c r="R1705" s="2" t="inlineStr"/>
    </row>
    <row r="1706" ht="15" customHeight="1">
      <c r="A1706" t="inlineStr">
        <is>
          <t>A 19130-2019</t>
        </is>
      </c>
      <c r="B1706" s="1" t="n">
        <v>43564</v>
      </c>
      <c r="C1706" s="1" t="n">
        <v>45204</v>
      </c>
      <c r="D1706" t="inlineStr">
        <is>
          <t>VÄSTERBOTTENS LÄN</t>
        </is>
      </c>
      <c r="E1706" t="inlineStr">
        <is>
          <t>VILHELMINA</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19530-2019</t>
        </is>
      </c>
      <c r="B1707" s="1" t="n">
        <v>43565</v>
      </c>
      <c r="C1707" s="1" t="n">
        <v>45204</v>
      </c>
      <c r="D1707" t="inlineStr">
        <is>
          <t>VÄSTERBOTTENS LÄN</t>
        </is>
      </c>
      <c r="E1707" t="inlineStr">
        <is>
          <t>SKELLEFTEÅ</t>
        </is>
      </c>
      <c r="G1707" t="n">
        <v>8</v>
      </c>
      <c r="H1707" t="n">
        <v>0</v>
      </c>
      <c r="I1707" t="n">
        <v>0</v>
      </c>
      <c r="J1707" t="n">
        <v>0</v>
      </c>
      <c r="K1707" t="n">
        <v>0</v>
      </c>
      <c r="L1707" t="n">
        <v>0</v>
      </c>
      <c r="M1707" t="n">
        <v>0</v>
      </c>
      <c r="N1707" t="n">
        <v>0</v>
      </c>
      <c r="O1707" t="n">
        <v>0</v>
      </c>
      <c r="P1707" t="n">
        <v>0</v>
      </c>
      <c r="Q1707" t="n">
        <v>0</v>
      </c>
      <c r="R1707" s="2" t="inlineStr"/>
    </row>
    <row r="1708" ht="15" customHeight="1">
      <c r="A1708" t="inlineStr">
        <is>
          <t>A 19382-2019</t>
        </is>
      </c>
      <c r="B1708" s="1" t="n">
        <v>43565</v>
      </c>
      <c r="C1708" s="1" t="n">
        <v>45204</v>
      </c>
      <c r="D1708" t="inlineStr">
        <is>
          <t>VÄSTERBOTTENS LÄN</t>
        </is>
      </c>
      <c r="E1708" t="inlineStr">
        <is>
          <t>SKELLEFTEÅ</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19604-2019</t>
        </is>
      </c>
      <c r="B1709" s="1" t="n">
        <v>43566</v>
      </c>
      <c r="C1709" s="1" t="n">
        <v>45204</v>
      </c>
      <c r="D1709" t="inlineStr">
        <is>
          <t>VÄSTERBOTTENS LÄN</t>
        </is>
      </c>
      <c r="E1709" t="inlineStr">
        <is>
          <t>LYCKSELE</t>
        </is>
      </c>
      <c r="F1709" t="inlineStr">
        <is>
          <t>Holmen skog AB</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19709-2019</t>
        </is>
      </c>
      <c r="B1710" s="1" t="n">
        <v>43566</v>
      </c>
      <c r="C1710" s="1" t="n">
        <v>45204</v>
      </c>
      <c r="D1710" t="inlineStr">
        <is>
          <t>VÄSTERBOTTENS LÄN</t>
        </is>
      </c>
      <c r="E1710" t="inlineStr">
        <is>
          <t>DOROTEA</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20289-2019</t>
        </is>
      </c>
      <c r="B1711" s="1" t="n">
        <v>43567</v>
      </c>
      <c r="C1711" s="1" t="n">
        <v>45204</v>
      </c>
      <c r="D1711" t="inlineStr">
        <is>
          <t>VÄSTERBOTTENS LÄN</t>
        </is>
      </c>
      <c r="E1711" t="inlineStr">
        <is>
          <t>NORDMALING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20163-2019</t>
        </is>
      </c>
      <c r="B1712" s="1" t="n">
        <v>43567</v>
      </c>
      <c r="C1712" s="1" t="n">
        <v>45204</v>
      </c>
      <c r="D1712" t="inlineStr">
        <is>
          <t>VÄSTERBOTTENS LÄN</t>
        </is>
      </c>
      <c r="E1712" t="inlineStr">
        <is>
          <t>SKELLEFTEÅ</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19854-2019</t>
        </is>
      </c>
      <c r="B1713" s="1" t="n">
        <v>43567</v>
      </c>
      <c r="C1713" s="1" t="n">
        <v>45204</v>
      </c>
      <c r="D1713" t="inlineStr">
        <is>
          <t>VÄSTERBOTTENS LÄN</t>
        </is>
      </c>
      <c r="E1713" t="inlineStr">
        <is>
          <t>VINDELN</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20015-2019</t>
        </is>
      </c>
      <c r="B1714" s="1" t="n">
        <v>43570</v>
      </c>
      <c r="C1714" s="1" t="n">
        <v>45204</v>
      </c>
      <c r="D1714" t="inlineStr">
        <is>
          <t>VÄSTERBOTTENS LÄN</t>
        </is>
      </c>
      <c r="E1714" t="inlineStr">
        <is>
          <t>VINDELN</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20103-2019</t>
        </is>
      </c>
      <c r="B1715" s="1" t="n">
        <v>43570</v>
      </c>
      <c r="C1715" s="1" t="n">
        <v>45204</v>
      </c>
      <c r="D1715" t="inlineStr">
        <is>
          <t>VÄSTERBOTTENS LÄN</t>
        </is>
      </c>
      <c r="E1715" t="inlineStr">
        <is>
          <t>BJURHOLM</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20336-2019</t>
        </is>
      </c>
      <c r="B1716" s="1" t="n">
        <v>43570</v>
      </c>
      <c r="C1716" s="1" t="n">
        <v>45204</v>
      </c>
      <c r="D1716" t="inlineStr">
        <is>
          <t>VÄSTERBOTTENS LÄN</t>
        </is>
      </c>
      <c r="E1716" t="inlineStr">
        <is>
          <t>NORSJÖ</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20431-2019</t>
        </is>
      </c>
      <c r="B1717" s="1" t="n">
        <v>43571</v>
      </c>
      <c r="C1717" s="1" t="n">
        <v>45204</v>
      </c>
      <c r="D1717" t="inlineStr">
        <is>
          <t>VÄSTERBOTTENS LÄN</t>
        </is>
      </c>
      <c r="E1717" t="inlineStr">
        <is>
          <t>NORSJÖ</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20428-2019</t>
        </is>
      </c>
      <c r="B1718" s="1" t="n">
        <v>43571</v>
      </c>
      <c r="C1718" s="1" t="n">
        <v>45204</v>
      </c>
      <c r="D1718" t="inlineStr">
        <is>
          <t>VÄSTERBOTTENS LÄN</t>
        </is>
      </c>
      <c r="E1718" t="inlineStr">
        <is>
          <t>SKELLEFTEÅ</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20538-2019</t>
        </is>
      </c>
      <c r="B1719" s="1" t="n">
        <v>43572</v>
      </c>
      <c r="C1719" s="1" t="n">
        <v>45204</v>
      </c>
      <c r="D1719" t="inlineStr">
        <is>
          <t>VÄSTERBOTTENS LÄN</t>
        </is>
      </c>
      <c r="E1719" t="inlineStr">
        <is>
          <t>VINDELN</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20584-2019</t>
        </is>
      </c>
      <c r="B1720" s="1" t="n">
        <v>43572</v>
      </c>
      <c r="C1720" s="1" t="n">
        <v>45204</v>
      </c>
      <c r="D1720" t="inlineStr">
        <is>
          <t>VÄSTERBOTTENS LÄN</t>
        </is>
      </c>
      <c r="E1720" t="inlineStr">
        <is>
          <t>SKELLEFTEÅ</t>
        </is>
      </c>
      <c r="F1720" t="inlineStr">
        <is>
          <t>Kommuner</t>
        </is>
      </c>
      <c r="G1720" t="n">
        <v>6.3</v>
      </c>
      <c r="H1720" t="n">
        <v>0</v>
      </c>
      <c r="I1720" t="n">
        <v>0</v>
      </c>
      <c r="J1720" t="n">
        <v>0</v>
      </c>
      <c r="K1720" t="n">
        <v>0</v>
      </c>
      <c r="L1720" t="n">
        <v>0</v>
      </c>
      <c r="M1720" t="n">
        <v>0</v>
      </c>
      <c r="N1720" t="n">
        <v>0</v>
      </c>
      <c r="O1720" t="n">
        <v>0</v>
      </c>
      <c r="P1720" t="n">
        <v>0</v>
      </c>
      <c r="Q1720" t="n">
        <v>0</v>
      </c>
      <c r="R1720" s="2" t="inlineStr"/>
    </row>
    <row r="1721" ht="15" customHeight="1">
      <c r="A1721" t="inlineStr">
        <is>
          <t>A 20595-2019</t>
        </is>
      </c>
      <c r="B1721" s="1" t="n">
        <v>43572</v>
      </c>
      <c r="C1721" s="1" t="n">
        <v>45204</v>
      </c>
      <c r="D1721" t="inlineStr">
        <is>
          <t>VÄSTERBOTTENS LÄN</t>
        </is>
      </c>
      <c r="E1721" t="inlineStr">
        <is>
          <t>VINDELN</t>
        </is>
      </c>
      <c r="G1721" t="n">
        <v>4</v>
      </c>
      <c r="H1721" t="n">
        <v>0</v>
      </c>
      <c r="I1721" t="n">
        <v>0</v>
      </c>
      <c r="J1721" t="n">
        <v>0</v>
      </c>
      <c r="K1721" t="n">
        <v>0</v>
      </c>
      <c r="L1721" t="n">
        <v>0</v>
      </c>
      <c r="M1721" t="n">
        <v>0</v>
      </c>
      <c r="N1721" t="n">
        <v>0</v>
      </c>
      <c r="O1721" t="n">
        <v>0</v>
      </c>
      <c r="P1721" t="n">
        <v>0</v>
      </c>
      <c r="Q1721" t="n">
        <v>0</v>
      </c>
      <c r="R1721" s="2" t="inlineStr"/>
    </row>
    <row r="1722" ht="15" customHeight="1">
      <c r="A1722" t="inlineStr">
        <is>
          <t>A 20458-2019</t>
        </is>
      </c>
      <c r="B1722" s="1" t="n">
        <v>43572</v>
      </c>
      <c r="C1722" s="1" t="n">
        <v>45204</v>
      </c>
      <c r="D1722" t="inlineStr">
        <is>
          <t>VÄSTERBOTTENS LÄN</t>
        </is>
      </c>
      <c r="E1722" t="inlineStr">
        <is>
          <t>UMEÅ</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20502-2019</t>
        </is>
      </c>
      <c r="B1723" s="1" t="n">
        <v>43572</v>
      </c>
      <c r="C1723" s="1" t="n">
        <v>45204</v>
      </c>
      <c r="D1723" t="inlineStr">
        <is>
          <t>VÄSTERBOTTENS LÄN</t>
        </is>
      </c>
      <c r="E1723" t="inlineStr">
        <is>
          <t>VINDELN</t>
        </is>
      </c>
      <c r="G1723" t="n">
        <v>17.4</v>
      </c>
      <c r="H1723" t="n">
        <v>0</v>
      </c>
      <c r="I1723" t="n">
        <v>0</v>
      </c>
      <c r="J1723" t="n">
        <v>0</v>
      </c>
      <c r="K1723" t="n">
        <v>0</v>
      </c>
      <c r="L1723" t="n">
        <v>0</v>
      </c>
      <c r="M1723" t="n">
        <v>0</v>
      </c>
      <c r="N1723" t="n">
        <v>0</v>
      </c>
      <c r="O1723" t="n">
        <v>0</v>
      </c>
      <c r="P1723" t="n">
        <v>0</v>
      </c>
      <c r="Q1723" t="n">
        <v>0</v>
      </c>
      <c r="R1723" s="2" t="inlineStr"/>
    </row>
    <row r="1724" ht="15" customHeight="1">
      <c r="A1724" t="inlineStr">
        <is>
          <t>A 20583-2019</t>
        </is>
      </c>
      <c r="B1724" s="1" t="n">
        <v>43572</v>
      </c>
      <c r="C1724" s="1" t="n">
        <v>45204</v>
      </c>
      <c r="D1724" t="inlineStr">
        <is>
          <t>VÄSTERBOTTENS LÄN</t>
        </is>
      </c>
      <c r="E1724" t="inlineStr">
        <is>
          <t>VINDELN</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20928-2019</t>
        </is>
      </c>
      <c r="B1725" s="1" t="n">
        <v>43572</v>
      </c>
      <c r="C1725" s="1" t="n">
        <v>45204</v>
      </c>
      <c r="D1725" t="inlineStr">
        <is>
          <t>VÄSTERBOTTENS LÄN</t>
        </is>
      </c>
      <c r="E1725" t="inlineStr">
        <is>
          <t>LYCKSELE</t>
        </is>
      </c>
      <c r="G1725" t="n">
        <v>7.9</v>
      </c>
      <c r="H1725" t="n">
        <v>0</v>
      </c>
      <c r="I1725" t="n">
        <v>0</v>
      </c>
      <c r="J1725" t="n">
        <v>0</v>
      </c>
      <c r="K1725" t="n">
        <v>0</v>
      </c>
      <c r="L1725" t="n">
        <v>0</v>
      </c>
      <c r="M1725" t="n">
        <v>0</v>
      </c>
      <c r="N1725" t="n">
        <v>0</v>
      </c>
      <c r="O1725" t="n">
        <v>0</v>
      </c>
      <c r="P1725" t="n">
        <v>0</v>
      </c>
      <c r="Q1725" t="n">
        <v>0</v>
      </c>
      <c r="R1725" s="2" t="inlineStr"/>
    </row>
    <row r="1726" ht="15" customHeight="1">
      <c r="A1726" t="inlineStr">
        <is>
          <t>A 20668-2019</t>
        </is>
      </c>
      <c r="B1726" s="1" t="n">
        <v>43572</v>
      </c>
      <c r="C1726" s="1" t="n">
        <v>45204</v>
      </c>
      <c r="D1726" t="inlineStr">
        <is>
          <t>VÄSTERBOTTENS LÄN</t>
        </is>
      </c>
      <c r="E1726" t="inlineStr">
        <is>
          <t>SKELLEFTEÅ</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20714-2019</t>
        </is>
      </c>
      <c r="B1727" s="1" t="n">
        <v>43573</v>
      </c>
      <c r="C1727" s="1" t="n">
        <v>45204</v>
      </c>
      <c r="D1727" t="inlineStr">
        <is>
          <t>VÄSTERBOTTENS LÄN</t>
        </is>
      </c>
      <c r="E1727" t="inlineStr">
        <is>
          <t>VÄNNÄS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20842-2019</t>
        </is>
      </c>
      <c r="B1728" s="1" t="n">
        <v>43577</v>
      </c>
      <c r="C1728" s="1" t="n">
        <v>45204</v>
      </c>
      <c r="D1728" t="inlineStr">
        <is>
          <t>VÄSTERBOTTENS LÄN</t>
        </is>
      </c>
      <c r="E1728" t="inlineStr">
        <is>
          <t>BJURHOLM</t>
        </is>
      </c>
      <c r="G1728" t="n">
        <v>4.6</v>
      </c>
      <c r="H1728" t="n">
        <v>0</v>
      </c>
      <c r="I1728" t="n">
        <v>0</v>
      </c>
      <c r="J1728" t="n">
        <v>0</v>
      </c>
      <c r="K1728" t="n">
        <v>0</v>
      </c>
      <c r="L1728" t="n">
        <v>0</v>
      </c>
      <c r="M1728" t="n">
        <v>0</v>
      </c>
      <c r="N1728" t="n">
        <v>0</v>
      </c>
      <c r="O1728" t="n">
        <v>0</v>
      </c>
      <c r="P1728" t="n">
        <v>0</v>
      </c>
      <c r="Q1728" t="n">
        <v>0</v>
      </c>
      <c r="R1728" s="2" t="inlineStr"/>
    </row>
    <row r="1729" ht="15" customHeight="1">
      <c r="A1729" t="inlineStr">
        <is>
          <t>A 21025-2019</t>
        </is>
      </c>
      <c r="B1729" s="1" t="n">
        <v>43578</v>
      </c>
      <c r="C1729" s="1" t="n">
        <v>45204</v>
      </c>
      <c r="D1729" t="inlineStr">
        <is>
          <t>VÄSTERBOTTENS LÄN</t>
        </is>
      </c>
      <c r="E1729" t="inlineStr">
        <is>
          <t>NORDMALING</t>
        </is>
      </c>
      <c r="G1729" t="n">
        <v>10.8</v>
      </c>
      <c r="H1729" t="n">
        <v>0</v>
      </c>
      <c r="I1729" t="n">
        <v>0</v>
      </c>
      <c r="J1729" t="n">
        <v>0</v>
      </c>
      <c r="K1729" t="n">
        <v>0</v>
      </c>
      <c r="L1729" t="n">
        <v>0</v>
      </c>
      <c r="M1729" t="n">
        <v>0</v>
      </c>
      <c r="N1729" t="n">
        <v>0</v>
      </c>
      <c r="O1729" t="n">
        <v>0</v>
      </c>
      <c r="P1729" t="n">
        <v>0</v>
      </c>
      <c r="Q1729" t="n">
        <v>0</v>
      </c>
      <c r="R1729" s="2" t="inlineStr"/>
    </row>
    <row r="1730" ht="15" customHeight="1">
      <c r="A1730" t="inlineStr">
        <is>
          <t>A 20871-2019</t>
        </is>
      </c>
      <c r="B1730" s="1" t="n">
        <v>43578</v>
      </c>
      <c r="C1730" s="1" t="n">
        <v>45204</v>
      </c>
      <c r="D1730" t="inlineStr">
        <is>
          <t>VÄSTERBOTTENS LÄN</t>
        </is>
      </c>
      <c r="E1730" t="inlineStr">
        <is>
          <t>ROBERTSFORS</t>
        </is>
      </c>
      <c r="F1730" t="inlineStr">
        <is>
          <t>Holmen skog AB</t>
        </is>
      </c>
      <c r="G1730" t="n">
        <v>3.7</v>
      </c>
      <c r="H1730" t="n">
        <v>0</v>
      </c>
      <c r="I1730" t="n">
        <v>0</v>
      </c>
      <c r="J1730" t="n">
        <v>0</v>
      </c>
      <c r="K1730" t="n">
        <v>0</v>
      </c>
      <c r="L1730" t="n">
        <v>0</v>
      </c>
      <c r="M1730" t="n">
        <v>0</v>
      </c>
      <c r="N1730" t="n">
        <v>0</v>
      </c>
      <c r="O1730" t="n">
        <v>0</v>
      </c>
      <c r="P1730" t="n">
        <v>0</v>
      </c>
      <c r="Q1730" t="n">
        <v>0</v>
      </c>
      <c r="R1730" s="2" t="inlineStr"/>
    </row>
    <row r="1731" ht="15" customHeight="1">
      <c r="A1731" t="inlineStr">
        <is>
          <t>A 21034-2019</t>
        </is>
      </c>
      <c r="B1731" s="1" t="n">
        <v>43578</v>
      </c>
      <c r="C1731" s="1" t="n">
        <v>45204</v>
      </c>
      <c r="D1731" t="inlineStr">
        <is>
          <t>VÄSTERBOTTENS LÄN</t>
        </is>
      </c>
      <c r="E1731" t="inlineStr">
        <is>
          <t>NORDMALING</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21104-2019</t>
        </is>
      </c>
      <c r="B1732" s="1" t="n">
        <v>43578</v>
      </c>
      <c r="C1732" s="1" t="n">
        <v>45204</v>
      </c>
      <c r="D1732" t="inlineStr">
        <is>
          <t>VÄSTERBOTTENS LÄN</t>
        </is>
      </c>
      <c r="E1732" t="inlineStr">
        <is>
          <t>BJURHOLM</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21325-2019</t>
        </is>
      </c>
      <c r="B1733" s="1" t="n">
        <v>43579</v>
      </c>
      <c r="C1733" s="1" t="n">
        <v>45204</v>
      </c>
      <c r="D1733" t="inlineStr">
        <is>
          <t>VÄSTERBOTTENS LÄN</t>
        </is>
      </c>
      <c r="E1733" t="inlineStr">
        <is>
          <t>BJURHOLM</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21338-2019</t>
        </is>
      </c>
      <c r="B1734" s="1" t="n">
        <v>43579</v>
      </c>
      <c r="C1734" s="1" t="n">
        <v>45204</v>
      </c>
      <c r="D1734" t="inlineStr">
        <is>
          <t>VÄSTERBOTTENS LÄN</t>
        </is>
      </c>
      <c r="E1734" t="inlineStr">
        <is>
          <t>NORDMALING</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21331-2019</t>
        </is>
      </c>
      <c r="B1735" s="1" t="n">
        <v>43579</v>
      </c>
      <c r="C1735" s="1" t="n">
        <v>45204</v>
      </c>
      <c r="D1735" t="inlineStr">
        <is>
          <t>VÄSTERBOTTENS LÄN</t>
        </is>
      </c>
      <c r="E1735" t="inlineStr">
        <is>
          <t>LYCKSELE</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21352-2019</t>
        </is>
      </c>
      <c r="B1736" s="1" t="n">
        <v>43579</v>
      </c>
      <c r="C1736" s="1" t="n">
        <v>45204</v>
      </c>
      <c r="D1736" t="inlineStr">
        <is>
          <t>VÄSTERBOTTENS LÄN</t>
        </is>
      </c>
      <c r="E1736" t="inlineStr">
        <is>
          <t>NORSJÖ</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21339-2019</t>
        </is>
      </c>
      <c r="B1737" s="1" t="n">
        <v>43579</v>
      </c>
      <c r="C1737" s="1" t="n">
        <v>45204</v>
      </c>
      <c r="D1737" t="inlineStr">
        <is>
          <t>VÄSTERBOTTENS LÄN</t>
        </is>
      </c>
      <c r="E1737" t="inlineStr">
        <is>
          <t>NORDMALING</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21583-2019</t>
        </is>
      </c>
      <c r="B1738" s="1" t="n">
        <v>43580</v>
      </c>
      <c r="C1738" s="1" t="n">
        <v>45204</v>
      </c>
      <c r="D1738" t="inlineStr">
        <is>
          <t>VÄSTERBOTTENS LÄN</t>
        </is>
      </c>
      <c r="E1738" t="inlineStr">
        <is>
          <t>SKELLEFTEÅ</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21469-2019</t>
        </is>
      </c>
      <c r="B1739" s="1" t="n">
        <v>43580</v>
      </c>
      <c r="C1739" s="1" t="n">
        <v>45204</v>
      </c>
      <c r="D1739" t="inlineStr">
        <is>
          <t>VÄSTERBOTTENS LÄN</t>
        </is>
      </c>
      <c r="E1739" t="inlineStr">
        <is>
          <t>ROBERTSFORS</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21553-2019</t>
        </is>
      </c>
      <c r="B1740" s="1" t="n">
        <v>43580</v>
      </c>
      <c r="C1740" s="1" t="n">
        <v>45204</v>
      </c>
      <c r="D1740" t="inlineStr">
        <is>
          <t>VÄSTERBOTTENS LÄN</t>
        </is>
      </c>
      <c r="E1740" t="inlineStr">
        <is>
          <t>SKELLEFTEÅ</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21775-2019</t>
        </is>
      </c>
      <c r="B1741" s="1" t="n">
        <v>43581</v>
      </c>
      <c r="C1741" s="1" t="n">
        <v>45204</v>
      </c>
      <c r="D1741" t="inlineStr">
        <is>
          <t>VÄSTERBOTTENS LÄN</t>
        </is>
      </c>
      <c r="E1741" t="inlineStr">
        <is>
          <t>LYCKSELE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21832-2019</t>
        </is>
      </c>
      <c r="B1742" s="1" t="n">
        <v>43581</v>
      </c>
      <c r="C1742" s="1" t="n">
        <v>45204</v>
      </c>
      <c r="D1742" t="inlineStr">
        <is>
          <t>VÄSTERBOTTENS LÄN</t>
        </is>
      </c>
      <c r="E1742" t="inlineStr">
        <is>
          <t>NORSJÖ</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21756-2019</t>
        </is>
      </c>
      <c r="B1743" s="1" t="n">
        <v>43581</v>
      </c>
      <c r="C1743" s="1" t="n">
        <v>45204</v>
      </c>
      <c r="D1743" t="inlineStr">
        <is>
          <t>VÄSTERBOTTENS LÄN</t>
        </is>
      </c>
      <c r="E1743" t="inlineStr">
        <is>
          <t>LYCKSELE</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21766-2019</t>
        </is>
      </c>
      <c r="B1744" s="1" t="n">
        <v>43581</v>
      </c>
      <c r="C1744" s="1" t="n">
        <v>45204</v>
      </c>
      <c r="D1744" t="inlineStr">
        <is>
          <t>VÄSTERBOTTENS LÄN</t>
        </is>
      </c>
      <c r="E1744" t="inlineStr">
        <is>
          <t>LYCKSELE</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21841-2019</t>
        </is>
      </c>
      <c r="B1745" s="1" t="n">
        <v>43581</v>
      </c>
      <c r="C1745" s="1" t="n">
        <v>45204</v>
      </c>
      <c r="D1745" t="inlineStr">
        <is>
          <t>VÄSTERBOTTENS LÄN</t>
        </is>
      </c>
      <c r="E1745" t="inlineStr">
        <is>
          <t>ROBERTSFORS</t>
        </is>
      </c>
      <c r="G1745" t="n">
        <v>2.4</v>
      </c>
      <c r="H1745" t="n">
        <v>0</v>
      </c>
      <c r="I1745" t="n">
        <v>0</v>
      </c>
      <c r="J1745" t="n">
        <v>0</v>
      </c>
      <c r="K1745" t="n">
        <v>0</v>
      </c>
      <c r="L1745" t="n">
        <v>0</v>
      </c>
      <c r="M1745" t="n">
        <v>0</v>
      </c>
      <c r="N1745" t="n">
        <v>0</v>
      </c>
      <c r="O1745" t="n">
        <v>0</v>
      </c>
      <c r="P1745" t="n">
        <v>0</v>
      </c>
      <c r="Q1745" t="n">
        <v>0</v>
      </c>
      <c r="R1745" s="2" t="inlineStr"/>
    </row>
    <row r="1746" ht="15" customHeight="1">
      <c r="A1746" t="inlineStr">
        <is>
          <t>A 21754-2019</t>
        </is>
      </c>
      <c r="B1746" s="1" t="n">
        <v>43581</v>
      </c>
      <c r="C1746" s="1" t="n">
        <v>45204</v>
      </c>
      <c r="D1746" t="inlineStr">
        <is>
          <t>VÄSTERBOTTENS LÄN</t>
        </is>
      </c>
      <c r="E1746" t="inlineStr">
        <is>
          <t>LYCKSELE</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21839-2019</t>
        </is>
      </c>
      <c r="B1747" s="1" t="n">
        <v>43581</v>
      </c>
      <c r="C1747" s="1" t="n">
        <v>45204</v>
      </c>
      <c r="D1747" t="inlineStr">
        <is>
          <t>VÄSTERBOTTENS LÄN</t>
        </is>
      </c>
      <c r="E1747" t="inlineStr">
        <is>
          <t>ROBERTSFORS</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21942-2019</t>
        </is>
      </c>
      <c r="B1748" s="1" t="n">
        <v>43584</v>
      </c>
      <c r="C1748" s="1" t="n">
        <v>45204</v>
      </c>
      <c r="D1748" t="inlineStr">
        <is>
          <t>VÄSTERBOTTENS LÄN</t>
        </is>
      </c>
      <c r="E1748" t="inlineStr">
        <is>
          <t>SKELLEFTEÅ</t>
        </is>
      </c>
      <c r="F1748" t="inlineStr">
        <is>
          <t>Kyrkan</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22277-2019</t>
        </is>
      </c>
      <c r="B1749" s="1" t="n">
        <v>43585</v>
      </c>
      <c r="C1749" s="1" t="n">
        <v>45204</v>
      </c>
      <c r="D1749" t="inlineStr">
        <is>
          <t>VÄSTERBOTTENS LÄN</t>
        </is>
      </c>
      <c r="E1749" t="inlineStr">
        <is>
          <t>ÅSELE</t>
        </is>
      </c>
      <c r="F1749" t="inlineStr">
        <is>
          <t>SCA</t>
        </is>
      </c>
      <c r="G1749" t="n">
        <v>4.7</v>
      </c>
      <c r="H1749" t="n">
        <v>0</v>
      </c>
      <c r="I1749" t="n">
        <v>0</v>
      </c>
      <c r="J1749" t="n">
        <v>0</v>
      </c>
      <c r="K1749" t="n">
        <v>0</v>
      </c>
      <c r="L1749" t="n">
        <v>0</v>
      </c>
      <c r="M1749" t="n">
        <v>0</v>
      </c>
      <c r="N1749" t="n">
        <v>0</v>
      </c>
      <c r="O1749" t="n">
        <v>0</v>
      </c>
      <c r="P1749" t="n">
        <v>0</v>
      </c>
      <c r="Q1749" t="n">
        <v>0</v>
      </c>
      <c r="R1749" s="2" t="inlineStr"/>
    </row>
    <row r="1750" ht="15" customHeight="1">
      <c r="A1750" t="inlineStr">
        <is>
          <t>A 22370-2019</t>
        </is>
      </c>
      <c r="B1750" s="1" t="n">
        <v>43585</v>
      </c>
      <c r="C1750" s="1" t="n">
        <v>45204</v>
      </c>
      <c r="D1750" t="inlineStr">
        <is>
          <t>VÄSTERBOTTENS LÄN</t>
        </is>
      </c>
      <c r="E1750" t="inlineStr">
        <is>
          <t>BJURHOLM</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22461-2019</t>
        </is>
      </c>
      <c r="B1751" s="1" t="n">
        <v>43585</v>
      </c>
      <c r="C1751" s="1" t="n">
        <v>45204</v>
      </c>
      <c r="D1751" t="inlineStr">
        <is>
          <t>VÄSTERBOTTENS LÄN</t>
        </is>
      </c>
      <c r="E1751" t="inlineStr">
        <is>
          <t>ÅSELE</t>
        </is>
      </c>
      <c r="F1751" t="inlineStr">
        <is>
          <t>SCA</t>
        </is>
      </c>
      <c r="G1751" t="n">
        <v>6.2</v>
      </c>
      <c r="H1751" t="n">
        <v>0</v>
      </c>
      <c r="I1751" t="n">
        <v>0</v>
      </c>
      <c r="J1751" t="n">
        <v>0</v>
      </c>
      <c r="K1751" t="n">
        <v>0</v>
      </c>
      <c r="L1751" t="n">
        <v>0</v>
      </c>
      <c r="M1751" t="n">
        <v>0</v>
      </c>
      <c r="N1751" t="n">
        <v>0</v>
      </c>
      <c r="O1751" t="n">
        <v>0</v>
      </c>
      <c r="P1751" t="n">
        <v>0</v>
      </c>
      <c r="Q1751" t="n">
        <v>0</v>
      </c>
      <c r="R1751" s="2" t="inlineStr"/>
    </row>
    <row r="1752" ht="15" customHeight="1">
      <c r="A1752" t="inlineStr">
        <is>
          <t>A 22278-2019</t>
        </is>
      </c>
      <c r="B1752" s="1" t="n">
        <v>43585</v>
      </c>
      <c r="C1752" s="1" t="n">
        <v>45204</v>
      </c>
      <c r="D1752" t="inlineStr">
        <is>
          <t>VÄSTERBOTTENS LÄN</t>
        </is>
      </c>
      <c r="E1752" t="inlineStr">
        <is>
          <t>ÅSELE</t>
        </is>
      </c>
      <c r="F1752" t="inlineStr">
        <is>
          <t>SCA</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22156-2019</t>
        </is>
      </c>
      <c r="B1753" s="1" t="n">
        <v>43585</v>
      </c>
      <c r="C1753" s="1" t="n">
        <v>45204</v>
      </c>
      <c r="D1753" t="inlineStr">
        <is>
          <t>VÄSTERBOTTENS LÄN</t>
        </is>
      </c>
      <c r="E1753" t="inlineStr">
        <is>
          <t>VÄNNÄS</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22279-2019</t>
        </is>
      </c>
      <c r="B1754" s="1" t="n">
        <v>43585</v>
      </c>
      <c r="C1754" s="1" t="n">
        <v>45204</v>
      </c>
      <c r="D1754" t="inlineStr">
        <is>
          <t>VÄSTERBOTTENS LÄN</t>
        </is>
      </c>
      <c r="E1754" t="inlineStr">
        <is>
          <t>ÅSELE</t>
        </is>
      </c>
      <c r="F1754" t="inlineStr">
        <is>
          <t>SCA</t>
        </is>
      </c>
      <c r="G1754" t="n">
        <v>59.4</v>
      </c>
      <c r="H1754" t="n">
        <v>0</v>
      </c>
      <c r="I1754" t="n">
        <v>0</v>
      </c>
      <c r="J1754" t="n">
        <v>0</v>
      </c>
      <c r="K1754" t="n">
        <v>0</v>
      </c>
      <c r="L1754" t="n">
        <v>0</v>
      </c>
      <c r="M1754" t="n">
        <v>0</v>
      </c>
      <c r="N1754" t="n">
        <v>0</v>
      </c>
      <c r="O1754" t="n">
        <v>0</v>
      </c>
      <c r="P1754" t="n">
        <v>0</v>
      </c>
      <c r="Q1754" t="n">
        <v>0</v>
      </c>
      <c r="R1754" s="2" t="inlineStr"/>
    </row>
    <row r="1755" ht="15" customHeight="1">
      <c r="A1755" t="inlineStr">
        <is>
          <t>A 22272-2019</t>
        </is>
      </c>
      <c r="B1755" s="1" t="n">
        <v>43585</v>
      </c>
      <c r="C1755" s="1" t="n">
        <v>45204</v>
      </c>
      <c r="D1755" t="inlineStr">
        <is>
          <t>VÄSTERBOTTENS LÄN</t>
        </is>
      </c>
      <c r="E1755" t="inlineStr">
        <is>
          <t>DOROTEA</t>
        </is>
      </c>
      <c r="F1755" t="inlineStr">
        <is>
          <t>SCA</t>
        </is>
      </c>
      <c r="G1755" t="n">
        <v>21.6</v>
      </c>
      <c r="H1755" t="n">
        <v>0</v>
      </c>
      <c r="I1755" t="n">
        <v>0</v>
      </c>
      <c r="J1755" t="n">
        <v>0</v>
      </c>
      <c r="K1755" t="n">
        <v>0</v>
      </c>
      <c r="L1755" t="n">
        <v>0</v>
      </c>
      <c r="M1755" t="n">
        <v>0</v>
      </c>
      <c r="N1755" t="n">
        <v>0</v>
      </c>
      <c r="O1755" t="n">
        <v>0</v>
      </c>
      <c r="P1755" t="n">
        <v>0</v>
      </c>
      <c r="Q1755" t="n">
        <v>0</v>
      </c>
      <c r="R1755" s="2" t="inlineStr"/>
    </row>
    <row r="1756" ht="15" customHeight="1">
      <c r="A1756" t="inlineStr">
        <is>
          <t>A 22318-2019</t>
        </is>
      </c>
      <c r="B1756" s="1" t="n">
        <v>43586</v>
      </c>
      <c r="C1756" s="1" t="n">
        <v>45204</v>
      </c>
      <c r="D1756" t="inlineStr">
        <is>
          <t>VÄSTERBOTTENS LÄN</t>
        </is>
      </c>
      <c r="E1756" t="inlineStr">
        <is>
          <t>LYCKSELE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22320-2019</t>
        </is>
      </c>
      <c r="B1757" s="1" t="n">
        <v>43586</v>
      </c>
      <c r="C1757" s="1" t="n">
        <v>45204</v>
      </c>
      <c r="D1757" t="inlineStr">
        <is>
          <t>VÄSTERBOTTENS LÄN</t>
        </is>
      </c>
      <c r="E1757" t="inlineStr">
        <is>
          <t>LYCKSELE</t>
        </is>
      </c>
      <c r="G1757" t="n">
        <v>5.8</v>
      </c>
      <c r="H1757" t="n">
        <v>0</v>
      </c>
      <c r="I1757" t="n">
        <v>0</v>
      </c>
      <c r="J1757" t="n">
        <v>0</v>
      </c>
      <c r="K1757" t="n">
        <v>0</v>
      </c>
      <c r="L1757" t="n">
        <v>0</v>
      </c>
      <c r="M1757" t="n">
        <v>0</v>
      </c>
      <c r="N1757" t="n">
        <v>0</v>
      </c>
      <c r="O1757" t="n">
        <v>0</v>
      </c>
      <c r="P1757" t="n">
        <v>0</v>
      </c>
      <c r="Q1757" t="n">
        <v>0</v>
      </c>
      <c r="R1757" s="2" t="inlineStr"/>
    </row>
    <row r="1758" ht="15" customHeight="1">
      <c r="A1758" t="inlineStr">
        <is>
          <t>A 22493-2019</t>
        </is>
      </c>
      <c r="B1758" s="1" t="n">
        <v>43587</v>
      </c>
      <c r="C1758" s="1" t="n">
        <v>45204</v>
      </c>
      <c r="D1758" t="inlineStr">
        <is>
          <t>VÄSTERBOTTENS LÄN</t>
        </is>
      </c>
      <c r="E1758" t="inlineStr">
        <is>
          <t>ROBERTSFORS</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22580-2019</t>
        </is>
      </c>
      <c r="B1759" s="1" t="n">
        <v>43587</v>
      </c>
      <c r="C1759" s="1" t="n">
        <v>45204</v>
      </c>
      <c r="D1759" t="inlineStr">
        <is>
          <t>VÄSTERBOTTENS LÄN</t>
        </is>
      </c>
      <c r="E1759" t="inlineStr">
        <is>
          <t>SKELLEFTEÅ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22591-2019</t>
        </is>
      </c>
      <c r="B1760" s="1" t="n">
        <v>43587</v>
      </c>
      <c r="C1760" s="1" t="n">
        <v>45204</v>
      </c>
      <c r="D1760" t="inlineStr">
        <is>
          <t>VÄSTERBOTTENS LÄN</t>
        </is>
      </c>
      <c r="E1760" t="inlineStr">
        <is>
          <t>ÅSELE</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22357-2019</t>
        </is>
      </c>
      <c r="B1761" s="1" t="n">
        <v>43587</v>
      </c>
      <c r="C1761" s="1" t="n">
        <v>45204</v>
      </c>
      <c r="D1761" t="inlineStr">
        <is>
          <t>VÄSTERBOTTENS LÄN</t>
        </is>
      </c>
      <c r="E1761" t="inlineStr">
        <is>
          <t>NORDMALING</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22590-2019</t>
        </is>
      </c>
      <c r="B1762" s="1" t="n">
        <v>43587</v>
      </c>
      <c r="C1762" s="1" t="n">
        <v>45204</v>
      </c>
      <c r="D1762" t="inlineStr">
        <is>
          <t>VÄSTERBOTTENS LÄN</t>
        </is>
      </c>
      <c r="E1762" t="inlineStr">
        <is>
          <t>DOROTEA</t>
        </is>
      </c>
      <c r="F1762" t="inlineStr">
        <is>
          <t>SCA</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22739-2019</t>
        </is>
      </c>
      <c r="B1763" s="1" t="n">
        <v>43588</v>
      </c>
      <c r="C1763" s="1" t="n">
        <v>45204</v>
      </c>
      <c r="D1763" t="inlineStr">
        <is>
          <t>VÄSTERBOTTENS LÄN</t>
        </is>
      </c>
      <c r="E1763" t="inlineStr">
        <is>
          <t>UMEÅ</t>
        </is>
      </c>
      <c r="F1763" t="inlineStr">
        <is>
          <t>Kommuner</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23316-2019</t>
        </is>
      </c>
      <c r="B1764" s="1" t="n">
        <v>43591</v>
      </c>
      <c r="C1764" s="1" t="n">
        <v>45204</v>
      </c>
      <c r="D1764" t="inlineStr">
        <is>
          <t>VÄSTERBOTTENS LÄN</t>
        </is>
      </c>
      <c r="E1764" t="inlineStr">
        <is>
          <t>ÅSELE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23064-2019</t>
        </is>
      </c>
      <c r="B1765" s="1" t="n">
        <v>43591</v>
      </c>
      <c r="C1765" s="1" t="n">
        <v>45204</v>
      </c>
      <c r="D1765" t="inlineStr">
        <is>
          <t>VÄSTERBOTTENS LÄN</t>
        </is>
      </c>
      <c r="E1765" t="inlineStr">
        <is>
          <t>DOROTEA</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23098-2019</t>
        </is>
      </c>
      <c r="B1766" s="1" t="n">
        <v>43591</v>
      </c>
      <c r="C1766" s="1" t="n">
        <v>45204</v>
      </c>
      <c r="D1766" t="inlineStr">
        <is>
          <t>VÄSTERBOTTENS LÄN</t>
        </is>
      </c>
      <c r="E1766" t="inlineStr">
        <is>
          <t>UMEÅ</t>
        </is>
      </c>
      <c r="F1766" t="inlineStr">
        <is>
          <t>Kommuner</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23175-2019</t>
        </is>
      </c>
      <c r="B1767" s="1" t="n">
        <v>43591</v>
      </c>
      <c r="C1767" s="1" t="n">
        <v>45204</v>
      </c>
      <c r="D1767" t="inlineStr">
        <is>
          <t>VÄSTERBOTTENS LÄN</t>
        </is>
      </c>
      <c r="E1767" t="inlineStr">
        <is>
          <t>VINDELN</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23336-2019</t>
        </is>
      </c>
      <c r="B1768" s="1" t="n">
        <v>43591</v>
      </c>
      <c r="C1768" s="1" t="n">
        <v>45204</v>
      </c>
      <c r="D1768" t="inlineStr">
        <is>
          <t>VÄSTERBOTTENS LÄN</t>
        </is>
      </c>
      <c r="E1768" t="inlineStr">
        <is>
          <t>VINDELN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23177-2019</t>
        </is>
      </c>
      <c r="B1769" s="1" t="n">
        <v>43592</v>
      </c>
      <c r="C1769" s="1" t="n">
        <v>45204</v>
      </c>
      <c r="D1769" t="inlineStr">
        <is>
          <t>VÄSTERBOTTENS LÄN</t>
        </is>
      </c>
      <c r="E1769" t="inlineStr">
        <is>
          <t>ROBERTSFORS</t>
        </is>
      </c>
      <c r="F1769" t="inlineStr">
        <is>
          <t>Holmen skog AB</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23277-2019</t>
        </is>
      </c>
      <c r="B1770" s="1" t="n">
        <v>43592</v>
      </c>
      <c r="C1770" s="1" t="n">
        <v>45204</v>
      </c>
      <c r="D1770" t="inlineStr">
        <is>
          <t>VÄSTERBOTTENS LÄN</t>
        </is>
      </c>
      <c r="E1770" t="inlineStr">
        <is>
          <t>VILHELMINA</t>
        </is>
      </c>
      <c r="F1770" t="inlineStr">
        <is>
          <t>SCA</t>
        </is>
      </c>
      <c r="G1770" t="n">
        <v>2.8</v>
      </c>
      <c r="H1770" t="n">
        <v>0</v>
      </c>
      <c r="I1770" t="n">
        <v>0</v>
      </c>
      <c r="J1770" t="n">
        <v>0</v>
      </c>
      <c r="K1770" t="n">
        <v>0</v>
      </c>
      <c r="L1770" t="n">
        <v>0</v>
      </c>
      <c r="M1770" t="n">
        <v>0</v>
      </c>
      <c r="N1770" t="n">
        <v>0</v>
      </c>
      <c r="O1770" t="n">
        <v>0</v>
      </c>
      <c r="P1770" t="n">
        <v>0</v>
      </c>
      <c r="Q1770" t="n">
        <v>0</v>
      </c>
      <c r="R1770" s="2" t="inlineStr"/>
    </row>
    <row r="1771" ht="15" customHeight="1">
      <c r="A1771" t="inlineStr">
        <is>
          <t>A 23414-2019</t>
        </is>
      </c>
      <c r="B1771" s="1" t="n">
        <v>43592</v>
      </c>
      <c r="C1771" s="1" t="n">
        <v>45204</v>
      </c>
      <c r="D1771" t="inlineStr">
        <is>
          <t>VÄSTERBOTTENS LÄN</t>
        </is>
      </c>
      <c r="E1771" t="inlineStr">
        <is>
          <t>NORDMALING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23106-2019</t>
        </is>
      </c>
      <c r="B1772" s="1" t="n">
        <v>43592</v>
      </c>
      <c r="C1772" s="1" t="n">
        <v>45204</v>
      </c>
      <c r="D1772" t="inlineStr">
        <is>
          <t>VÄSTERBOTTENS LÄN</t>
        </is>
      </c>
      <c r="E1772" t="inlineStr">
        <is>
          <t>LYCKSELE</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23158-2019</t>
        </is>
      </c>
      <c r="B1773" s="1" t="n">
        <v>43592</v>
      </c>
      <c r="C1773" s="1" t="n">
        <v>45204</v>
      </c>
      <c r="D1773" t="inlineStr">
        <is>
          <t>VÄSTERBOTTENS LÄN</t>
        </is>
      </c>
      <c r="E1773" t="inlineStr">
        <is>
          <t>LYCKSELE</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23226-2019</t>
        </is>
      </c>
      <c r="B1774" s="1" t="n">
        <v>43592</v>
      </c>
      <c r="C1774" s="1" t="n">
        <v>45204</v>
      </c>
      <c r="D1774" t="inlineStr">
        <is>
          <t>VÄSTERBOTTENS LÄN</t>
        </is>
      </c>
      <c r="E1774" t="inlineStr">
        <is>
          <t>VÄNNÄS</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23396-2019</t>
        </is>
      </c>
      <c r="B1775" s="1" t="n">
        <v>43592</v>
      </c>
      <c r="C1775" s="1" t="n">
        <v>45204</v>
      </c>
      <c r="D1775" t="inlineStr">
        <is>
          <t>VÄSTERBOTTENS LÄN</t>
        </is>
      </c>
      <c r="E1775" t="inlineStr">
        <is>
          <t>SKELLEFTEÅ</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23436-2019</t>
        </is>
      </c>
      <c r="B1776" s="1" t="n">
        <v>43592</v>
      </c>
      <c r="C1776" s="1" t="n">
        <v>45204</v>
      </c>
      <c r="D1776" t="inlineStr">
        <is>
          <t>VÄSTERBOTTENS LÄN</t>
        </is>
      </c>
      <c r="E1776" t="inlineStr">
        <is>
          <t>SKELLEFTEÅ</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23103-2019</t>
        </is>
      </c>
      <c r="B1777" s="1" t="n">
        <v>43592</v>
      </c>
      <c r="C1777" s="1" t="n">
        <v>45204</v>
      </c>
      <c r="D1777" t="inlineStr">
        <is>
          <t>VÄSTERBOTTENS LÄN</t>
        </is>
      </c>
      <c r="E1777" t="inlineStr">
        <is>
          <t>LYCKSELE</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23278-2019</t>
        </is>
      </c>
      <c r="B1778" s="1" t="n">
        <v>43592</v>
      </c>
      <c r="C1778" s="1" t="n">
        <v>45204</v>
      </c>
      <c r="D1778" t="inlineStr">
        <is>
          <t>VÄSTERBOTTENS LÄN</t>
        </is>
      </c>
      <c r="E1778" t="inlineStr">
        <is>
          <t>VILHELMINA</t>
        </is>
      </c>
      <c r="F1778" t="inlineStr">
        <is>
          <t>SCA</t>
        </is>
      </c>
      <c r="G1778" t="n">
        <v>6.6</v>
      </c>
      <c r="H1778" t="n">
        <v>0</v>
      </c>
      <c r="I1778" t="n">
        <v>0</v>
      </c>
      <c r="J1778" t="n">
        <v>0</v>
      </c>
      <c r="K1778" t="n">
        <v>0</v>
      </c>
      <c r="L1778" t="n">
        <v>0</v>
      </c>
      <c r="M1778" t="n">
        <v>0</v>
      </c>
      <c r="N1778" t="n">
        <v>0</v>
      </c>
      <c r="O1778" t="n">
        <v>0</v>
      </c>
      <c r="P1778" t="n">
        <v>0</v>
      </c>
      <c r="Q1778" t="n">
        <v>0</v>
      </c>
      <c r="R1778" s="2" t="inlineStr"/>
    </row>
    <row r="1779" ht="15" customHeight="1">
      <c r="A1779" t="inlineStr">
        <is>
          <t>A 23510-2019</t>
        </is>
      </c>
      <c r="B1779" s="1" t="n">
        <v>43593</v>
      </c>
      <c r="C1779" s="1" t="n">
        <v>45204</v>
      </c>
      <c r="D1779" t="inlineStr">
        <is>
          <t>VÄSTERBOTTENS LÄN</t>
        </is>
      </c>
      <c r="E1779" t="inlineStr">
        <is>
          <t>UMEÅ</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23581-2019</t>
        </is>
      </c>
      <c r="B1780" s="1" t="n">
        <v>43593</v>
      </c>
      <c r="C1780" s="1" t="n">
        <v>45204</v>
      </c>
      <c r="D1780" t="inlineStr">
        <is>
          <t>VÄSTERBOTTENS LÄN</t>
        </is>
      </c>
      <c r="E1780" t="inlineStr">
        <is>
          <t>NORDMALING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23662-2019</t>
        </is>
      </c>
      <c r="B1781" s="1" t="n">
        <v>43593</v>
      </c>
      <c r="C1781" s="1" t="n">
        <v>45204</v>
      </c>
      <c r="D1781" t="inlineStr">
        <is>
          <t>VÄSTERBOTTENS LÄN</t>
        </is>
      </c>
      <c r="E1781" t="inlineStr">
        <is>
          <t>MALÅ</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23282-2019</t>
        </is>
      </c>
      <c r="B1782" s="1" t="n">
        <v>43593</v>
      </c>
      <c r="C1782" s="1" t="n">
        <v>45204</v>
      </c>
      <c r="D1782" t="inlineStr">
        <is>
          <t>VÄSTERBOTTENS LÄN</t>
        </is>
      </c>
      <c r="E1782" t="inlineStr">
        <is>
          <t>LYCKSELE</t>
        </is>
      </c>
      <c r="G1782" t="n">
        <v>5.6</v>
      </c>
      <c r="H1782" t="n">
        <v>0</v>
      </c>
      <c r="I1782" t="n">
        <v>0</v>
      </c>
      <c r="J1782" t="n">
        <v>0</v>
      </c>
      <c r="K1782" t="n">
        <v>0</v>
      </c>
      <c r="L1782" t="n">
        <v>0</v>
      </c>
      <c r="M1782" t="n">
        <v>0</v>
      </c>
      <c r="N1782" t="n">
        <v>0</v>
      </c>
      <c r="O1782" t="n">
        <v>0</v>
      </c>
      <c r="P1782" t="n">
        <v>0</v>
      </c>
      <c r="Q1782" t="n">
        <v>0</v>
      </c>
      <c r="R1782" s="2" t="inlineStr"/>
    </row>
    <row r="1783" ht="15" customHeight="1">
      <c r="A1783" t="inlineStr">
        <is>
          <t>A 23520-2019</t>
        </is>
      </c>
      <c r="B1783" s="1" t="n">
        <v>43593</v>
      </c>
      <c r="C1783" s="1" t="n">
        <v>45204</v>
      </c>
      <c r="D1783" t="inlineStr">
        <is>
          <t>VÄSTERBOTTENS LÄN</t>
        </is>
      </c>
      <c r="E1783" t="inlineStr">
        <is>
          <t>LYCKSELE</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23664-2019</t>
        </is>
      </c>
      <c r="B1784" s="1" t="n">
        <v>43593</v>
      </c>
      <c r="C1784" s="1" t="n">
        <v>45204</v>
      </c>
      <c r="D1784" t="inlineStr">
        <is>
          <t>VÄSTERBOTTENS LÄN</t>
        </is>
      </c>
      <c r="E1784" t="inlineStr">
        <is>
          <t>MALÅ</t>
        </is>
      </c>
      <c r="F1784" t="inlineStr">
        <is>
          <t>Sveaskog</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23491-2019</t>
        </is>
      </c>
      <c r="B1785" s="1" t="n">
        <v>43593</v>
      </c>
      <c r="C1785" s="1" t="n">
        <v>45204</v>
      </c>
      <c r="D1785" t="inlineStr">
        <is>
          <t>VÄSTERBOTTENS LÄN</t>
        </is>
      </c>
      <c r="E1785" t="inlineStr">
        <is>
          <t>UMEÅ</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23508-2019</t>
        </is>
      </c>
      <c r="B1786" s="1" t="n">
        <v>43593</v>
      </c>
      <c r="C1786" s="1" t="n">
        <v>45204</v>
      </c>
      <c r="D1786" t="inlineStr">
        <is>
          <t>VÄSTERBOTTENS LÄN</t>
        </is>
      </c>
      <c r="E1786" t="inlineStr">
        <is>
          <t>DOROTEA</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23651-2019</t>
        </is>
      </c>
      <c r="B1787" s="1" t="n">
        <v>43593</v>
      </c>
      <c r="C1787" s="1" t="n">
        <v>45204</v>
      </c>
      <c r="D1787" t="inlineStr">
        <is>
          <t>VÄSTERBOTTENS LÄN</t>
        </is>
      </c>
      <c r="E1787" t="inlineStr">
        <is>
          <t>MALÅ</t>
        </is>
      </c>
      <c r="G1787" t="n">
        <v>0.2</v>
      </c>
      <c r="H1787" t="n">
        <v>0</v>
      </c>
      <c r="I1787" t="n">
        <v>0</v>
      </c>
      <c r="J1787" t="n">
        <v>0</v>
      </c>
      <c r="K1787" t="n">
        <v>0</v>
      </c>
      <c r="L1787" t="n">
        <v>0</v>
      </c>
      <c r="M1787" t="n">
        <v>0</v>
      </c>
      <c r="N1787" t="n">
        <v>0</v>
      </c>
      <c r="O1787" t="n">
        <v>0</v>
      </c>
      <c r="P1787" t="n">
        <v>0</v>
      </c>
      <c r="Q1787" t="n">
        <v>0</v>
      </c>
      <c r="R1787" s="2" t="inlineStr"/>
    </row>
    <row r="1788" ht="15" customHeight="1">
      <c r="A1788" t="inlineStr">
        <is>
          <t>A 23723-2019</t>
        </is>
      </c>
      <c r="B1788" s="1" t="n">
        <v>43594</v>
      </c>
      <c r="C1788" s="1" t="n">
        <v>45204</v>
      </c>
      <c r="D1788" t="inlineStr">
        <is>
          <t>VÄSTERBOTTENS LÄN</t>
        </is>
      </c>
      <c r="E1788" t="inlineStr">
        <is>
          <t>VILHELMINA</t>
        </is>
      </c>
      <c r="F1788" t="inlineStr">
        <is>
          <t>SCA</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23756-2019</t>
        </is>
      </c>
      <c r="B1789" s="1" t="n">
        <v>43594</v>
      </c>
      <c r="C1789" s="1" t="n">
        <v>45204</v>
      </c>
      <c r="D1789" t="inlineStr">
        <is>
          <t>VÄSTERBOTTENS LÄN</t>
        </is>
      </c>
      <c r="E1789" t="inlineStr">
        <is>
          <t>MALÅ</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23724-2019</t>
        </is>
      </c>
      <c r="B1790" s="1" t="n">
        <v>43594</v>
      </c>
      <c r="C1790" s="1" t="n">
        <v>45204</v>
      </c>
      <c r="D1790" t="inlineStr">
        <is>
          <t>VÄSTERBOTTENS LÄN</t>
        </is>
      </c>
      <c r="E1790" t="inlineStr">
        <is>
          <t>VILHELMINA</t>
        </is>
      </c>
      <c r="F1790" t="inlineStr">
        <is>
          <t>SCA</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23536-2019</t>
        </is>
      </c>
      <c r="B1791" s="1" t="n">
        <v>43594</v>
      </c>
      <c r="C1791" s="1" t="n">
        <v>45204</v>
      </c>
      <c r="D1791" t="inlineStr">
        <is>
          <t>VÄSTERBOTTENS LÄN</t>
        </is>
      </c>
      <c r="E1791" t="inlineStr">
        <is>
          <t>LYCKSELE</t>
        </is>
      </c>
      <c r="F1791" t="inlineStr">
        <is>
          <t>Sveaskog</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23796-2019</t>
        </is>
      </c>
      <c r="B1792" s="1" t="n">
        <v>43595</v>
      </c>
      <c r="C1792" s="1" t="n">
        <v>45204</v>
      </c>
      <c r="D1792" t="inlineStr">
        <is>
          <t>VÄSTERBOTTENS LÄN</t>
        </is>
      </c>
      <c r="E1792" t="inlineStr">
        <is>
          <t>UMEÅ</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23807-2019</t>
        </is>
      </c>
      <c r="B1793" s="1" t="n">
        <v>43595</v>
      </c>
      <c r="C1793" s="1" t="n">
        <v>45204</v>
      </c>
      <c r="D1793" t="inlineStr">
        <is>
          <t>VÄSTERBOTTENS LÄN</t>
        </is>
      </c>
      <c r="E1793" t="inlineStr">
        <is>
          <t>VINDELN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23938-2019</t>
        </is>
      </c>
      <c r="B1794" s="1" t="n">
        <v>43595</v>
      </c>
      <c r="C1794" s="1" t="n">
        <v>45204</v>
      </c>
      <c r="D1794" t="inlineStr">
        <is>
          <t>VÄSTERBOTTENS LÄN</t>
        </is>
      </c>
      <c r="E1794" t="inlineStr">
        <is>
          <t>LYCKSELE</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24259-2019</t>
        </is>
      </c>
      <c r="B1795" s="1" t="n">
        <v>43597</v>
      </c>
      <c r="C1795" s="1" t="n">
        <v>45204</v>
      </c>
      <c r="D1795" t="inlineStr">
        <is>
          <t>VÄSTERBOTTENS LÄN</t>
        </is>
      </c>
      <c r="E1795" t="inlineStr">
        <is>
          <t>BJURHOLM</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23956-2019</t>
        </is>
      </c>
      <c r="B1796" s="1" t="n">
        <v>43597</v>
      </c>
      <c r="C1796" s="1" t="n">
        <v>45204</v>
      </c>
      <c r="D1796" t="inlineStr">
        <is>
          <t>VÄSTERBOTTENS LÄN</t>
        </is>
      </c>
      <c r="E1796" t="inlineStr">
        <is>
          <t>VINDELN</t>
        </is>
      </c>
      <c r="G1796" t="n">
        <v>42.3</v>
      </c>
      <c r="H1796" t="n">
        <v>0</v>
      </c>
      <c r="I1796" t="n">
        <v>0</v>
      </c>
      <c r="J1796" t="n">
        <v>0</v>
      </c>
      <c r="K1796" t="n">
        <v>0</v>
      </c>
      <c r="L1796" t="n">
        <v>0</v>
      </c>
      <c r="M1796" t="n">
        <v>0</v>
      </c>
      <c r="N1796" t="n">
        <v>0</v>
      </c>
      <c r="O1796" t="n">
        <v>0</v>
      </c>
      <c r="P1796" t="n">
        <v>0</v>
      </c>
      <c r="Q1796" t="n">
        <v>0</v>
      </c>
      <c r="R1796" s="2" t="inlineStr"/>
    </row>
    <row r="1797" ht="15" customHeight="1">
      <c r="A1797" t="inlineStr">
        <is>
          <t>A 23957-2019</t>
        </is>
      </c>
      <c r="B1797" s="1" t="n">
        <v>43597</v>
      </c>
      <c r="C1797" s="1" t="n">
        <v>45204</v>
      </c>
      <c r="D1797" t="inlineStr">
        <is>
          <t>VÄSTERBOTTENS LÄN</t>
        </is>
      </c>
      <c r="E1797" t="inlineStr">
        <is>
          <t>VINDELN</t>
        </is>
      </c>
      <c r="G1797" t="n">
        <v>8.5</v>
      </c>
      <c r="H1797" t="n">
        <v>0</v>
      </c>
      <c r="I1797" t="n">
        <v>0</v>
      </c>
      <c r="J1797" t="n">
        <v>0</v>
      </c>
      <c r="K1797" t="n">
        <v>0</v>
      </c>
      <c r="L1797" t="n">
        <v>0</v>
      </c>
      <c r="M1797" t="n">
        <v>0</v>
      </c>
      <c r="N1797" t="n">
        <v>0</v>
      </c>
      <c r="O1797" t="n">
        <v>0</v>
      </c>
      <c r="P1797" t="n">
        <v>0</v>
      </c>
      <c r="Q1797" t="n">
        <v>0</v>
      </c>
      <c r="R1797" s="2" t="inlineStr"/>
    </row>
    <row r="1798" ht="15" customHeight="1">
      <c r="A1798" t="inlineStr">
        <is>
          <t>A 24335-2019</t>
        </is>
      </c>
      <c r="B1798" s="1" t="n">
        <v>43598</v>
      </c>
      <c r="C1798" s="1" t="n">
        <v>45204</v>
      </c>
      <c r="D1798" t="inlineStr">
        <is>
          <t>VÄSTERBOTTENS LÄN</t>
        </is>
      </c>
      <c r="E1798" t="inlineStr">
        <is>
          <t>LYCKSELE</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24080-2019</t>
        </is>
      </c>
      <c r="B1799" s="1" t="n">
        <v>43598</v>
      </c>
      <c r="C1799" s="1" t="n">
        <v>45204</v>
      </c>
      <c r="D1799" t="inlineStr">
        <is>
          <t>VÄSTERBOTTENS LÄN</t>
        </is>
      </c>
      <c r="E1799" t="inlineStr">
        <is>
          <t>STORUMAN</t>
        </is>
      </c>
      <c r="F1799" t="inlineStr">
        <is>
          <t>Sveaskog</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24155-2019</t>
        </is>
      </c>
      <c r="B1800" s="1" t="n">
        <v>43598</v>
      </c>
      <c r="C1800" s="1" t="n">
        <v>45204</v>
      </c>
      <c r="D1800" t="inlineStr">
        <is>
          <t>VÄSTERBOTTENS LÄN</t>
        </is>
      </c>
      <c r="E1800" t="inlineStr">
        <is>
          <t>VINDELN</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24955-2019</t>
        </is>
      </c>
      <c r="B1801" s="1" t="n">
        <v>43598</v>
      </c>
      <c r="C1801" s="1" t="n">
        <v>45204</v>
      </c>
      <c r="D1801" t="inlineStr">
        <is>
          <t>VÄSTERBOTTENS LÄN</t>
        </is>
      </c>
      <c r="E1801" t="inlineStr">
        <is>
          <t>STORUMAN</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24332-2019</t>
        </is>
      </c>
      <c r="B1802" s="1" t="n">
        <v>43598</v>
      </c>
      <c r="C1802" s="1" t="n">
        <v>45204</v>
      </c>
      <c r="D1802" t="inlineStr">
        <is>
          <t>VÄSTERBOTTENS LÄN</t>
        </is>
      </c>
      <c r="E1802" t="inlineStr">
        <is>
          <t>LYCKSELE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24063-2019</t>
        </is>
      </c>
      <c r="B1803" s="1" t="n">
        <v>43598</v>
      </c>
      <c r="C1803" s="1" t="n">
        <v>45204</v>
      </c>
      <c r="D1803" t="inlineStr">
        <is>
          <t>VÄSTERBOTTENS LÄN</t>
        </is>
      </c>
      <c r="E1803" t="inlineStr">
        <is>
          <t>SKELLEFTEÅ</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24153-2019</t>
        </is>
      </c>
      <c r="B1804" s="1" t="n">
        <v>43598</v>
      </c>
      <c r="C1804" s="1" t="n">
        <v>45204</v>
      </c>
      <c r="D1804" t="inlineStr">
        <is>
          <t>VÄSTERBOTTENS LÄN</t>
        </is>
      </c>
      <c r="E1804" t="inlineStr">
        <is>
          <t>VINDELN</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24164-2019</t>
        </is>
      </c>
      <c r="B1805" s="1" t="n">
        <v>43598</v>
      </c>
      <c r="C1805" s="1" t="n">
        <v>45204</v>
      </c>
      <c r="D1805" t="inlineStr">
        <is>
          <t>VÄSTERBOTTENS LÄN</t>
        </is>
      </c>
      <c r="E1805" t="inlineStr">
        <is>
          <t>SKELLEFTEÅ</t>
        </is>
      </c>
      <c r="F1805" t="inlineStr">
        <is>
          <t>SCA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24952-2019</t>
        </is>
      </c>
      <c r="B1806" s="1" t="n">
        <v>43598</v>
      </c>
      <c r="C1806" s="1" t="n">
        <v>45204</v>
      </c>
      <c r="D1806" t="inlineStr">
        <is>
          <t>VÄSTERBOTTENS LÄN</t>
        </is>
      </c>
      <c r="E1806" t="inlineStr">
        <is>
          <t>STORUMAN</t>
        </is>
      </c>
      <c r="G1806" t="n">
        <v>8.199999999999999</v>
      </c>
      <c r="H1806" t="n">
        <v>0</v>
      </c>
      <c r="I1806" t="n">
        <v>0</v>
      </c>
      <c r="J1806" t="n">
        <v>0</v>
      </c>
      <c r="K1806" t="n">
        <v>0</v>
      </c>
      <c r="L1806" t="n">
        <v>0</v>
      </c>
      <c r="M1806" t="n">
        <v>0</v>
      </c>
      <c r="N1806" t="n">
        <v>0</v>
      </c>
      <c r="O1806" t="n">
        <v>0</v>
      </c>
      <c r="P1806" t="n">
        <v>0</v>
      </c>
      <c r="Q1806" t="n">
        <v>0</v>
      </c>
      <c r="R1806" s="2" t="inlineStr"/>
    </row>
    <row r="1807" ht="15" customHeight="1">
      <c r="A1807" t="inlineStr">
        <is>
          <t>A 24386-2019</t>
        </is>
      </c>
      <c r="B1807" s="1" t="n">
        <v>43599</v>
      </c>
      <c r="C1807" s="1" t="n">
        <v>45204</v>
      </c>
      <c r="D1807" t="inlineStr">
        <is>
          <t>VÄSTERBOTTENS LÄN</t>
        </is>
      </c>
      <c r="E1807" t="inlineStr">
        <is>
          <t>VÄNNÄS</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24581-2019</t>
        </is>
      </c>
      <c r="B1808" s="1" t="n">
        <v>43600</v>
      </c>
      <c r="C1808" s="1" t="n">
        <v>45204</v>
      </c>
      <c r="D1808" t="inlineStr">
        <is>
          <t>VÄSTERBOTTENS LÄN</t>
        </is>
      </c>
      <c r="E1808" t="inlineStr">
        <is>
          <t>LYCKSELE</t>
        </is>
      </c>
      <c r="F1808" t="inlineStr">
        <is>
          <t>SCA</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25191-2019</t>
        </is>
      </c>
      <c r="B1809" s="1" t="n">
        <v>43601</v>
      </c>
      <c r="C1809" s="1" t="n">
        <v>45204</v>
      </c>
      <c r="D1809" t="inlineStr">
        <is>
          <t>VÄSTERBOTTENS LÄN</t>
        </is>
      </c>
      <c r="E1809" t="inlineStr">
        <is>
          <t>SORSELE</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25160-2019</t>
        </is>
      </c>
      <c r="B1810" s="1" t="n">
        <v>43601</v>
      </c>
      <c r="C1810" s="1" t="n">
        <v>45204</v>
      </c>
      <c r="D1810" t="inlineStr">
        <is>
          <t>VÄSTERBOTTENS LÄN</t>
        </is>
      </c>
      <c r="E1810" t="inlineStr">
        <is>
          <t>SORSELE</t>
        </is>
      </c>
      <c r="G1810" t="n">
        <v>16.7</v>
      </c>
      <c r="H1810" t="n">
        <v>0</v>
      </c>
      <c r="I1810" t="n">
        <v>0</v>
      </c>
      <c r="J1810" t="n">
        <v>0</v>
      </c>
      <c r="K1810" t="n">
        <v>0</v>
      </c>
      <c r="L1810" t="n">
        <v>0</v>
      </c>
      <c r="M1810" t="n">
        <v>0</v>
      </c>
      <c r="N1810" t="n">
        <v>0</v>
      </c>
      <c r="O1810" t="n">
        <v>0</v>
      </c>
      <c r="P1810" t="n">
        <v>0</v>
      </c>
      <c r="Q1810" t="n">
        <v>0</v>
      </c>
      <c r="R1810" s="2" t="inlineStr"/>
    </row>
    <row r="1811" ht="15" customHeight="1">
      <c r="A1811" t="inlineStr">
        <is>
          <t>A 24606-2019</t>
        </is>
      </c>
      <c r="B1811" s="1" t="n">
        <v>43601</v>
      </c>
      <c r="C1811" s="1" t="n">
        <v>45204</v>
      </c>
      <c r="D1811" t="inlineStr">
        <is>
          <t>VÄSTERBOTTENS LÄN</t>
        </is>
      </c>
      <c r="E1811" t="inlineStr">
        <is>
          <t>MALÅ</t>
        </is>
      </c>
      <c r="F1811" t="inlineStr">
        <is>
          <t>Sveaskog</t>
        </is>
      </c>
      <c r="G1811" t="n">
        <v>14.8</v>
      </c>
      <c r="H1811" t="n">
        <v>0</v>
      </c>
      <c r="I1811" t="n">
        <v>0</v>
      </c>
      <c r="J1811" t="n">
        <v>0</v>
      </c>
      <c r="K1811" t="n">
        <v>0</v>
      </c>
      <c r="L1811" t="n">
        <v>0</v>
      </c>
      <c r="M1811" t="n">
        <v>0</v>
      </c>
      <c r="N1811" t="n">
        <v>0</v>
      </c>
      <c r="O1811" t="n">
        <v>0</v>
      </c>
      <c r="P1811" t="n">
        <v>0</v>
      </c>
      <c r="Q1811" t="n">
        <v>0</v>
      </c>
      <c r="R1811" s="2" t="inlineStr"/>
    </row>
    <row r="1812" ht="15" customHeight="1">
      <c r="A1812" t="inlineStr">
        <is>
          <t>A 24790-2019</t>
        </is>
      </c>
      <c r="B1812" s="1" t="n">
        <v>43601</v>
      </c>
      <c r="C1812" s="1" t="n">
        <v>45204</v>
      </c>
      <c r="D1812" t="inlineStr">
        <is>
          <t>VÄSTERBOTTENS LÄN</t>
        </is>
      </c>
      <c r="E1812" t="inlineStr">
        <is>
          <t>ÅSELE</t>
        </is>
      </c>
      <c r="F1812" t="inlineStr">
        <is>
          <t>SCA</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25119-2019</t>
        </is>
      </c>
      <c r="B1813" s="1" t="n">
        <v>43601</v>
      </c>
      <c r="C1813" s="1" t="n">
        <v>45204</v>
      </c>
      <c r="D1813" t="inlineStr">
        <is>
          <t>VÄSTERBOTTENS LÄN</t>
        </is>
      </c>
      <c r="E1813" t="inlineStr">
        <is>
          <t>SORSELE</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25624-2019</t>
        </is>
      </c>
      <c r="B1814" s="1" t="n">
        <v>43602</v>
      </c>
      <c r="C1814" s="1" t="n">
        <v>45204</v>
      </c>
      <c r="D1814" t="inlineStr">
        <is>
          <t>VÄSTERBOTTENS LÄN</t>
        </is>
      </c>
      <c r="E1814" t="inlineStr">
        <is>
          <t>VINDELN</t>
        </is>
      </c>
      <c r="F1814" t="inlineStr">
        <is>
          <t>Kommuner</t>
        </is>
      </c>
      <c r="G1814" t="n">
        <v>5.1</v>
      </c>
      <c r="H1814" t="n">
        <v>0</v>
      </c>
      <c r="I1814" t="n">
        <v>0</v>
      </c>
      <c r="J1814" t="n">
        <v>0</v>
      </c>
      <c r="K1814" t="n">
        <v>0</v>
      </c>
      <c r="L1814" t="n">
        <v>0</v>
      </c>
      <c r="M1814" t="n">
        <v>0</v>
      </c>
      <c r="N1814" t="n">
        <v>0</v>
      </c>
      <c r="O1814" t="n">
        <v>0</v>
      </c>
      <c r="P1814" t="n">
        <v>0</v>
      </c>
      <c r="Q1814" t="n">
        <v>0</v>
      </c>
      <c r="R1814" s="2" t="inlineStr"/>
    </row>
    <row r="1815" ht="15" customHeight="1">
      <c r="A1815" t="inlineStr">
        <is>
          <t>A 25622-2019</t>
        </is>
      </c>
      <c r="B1815" s="1" t="n">
        <v>43602</v>
      </c>
      <c r="C1815" s="1" t="n">
        <v>45204</v>
      </c>
      <c r="D1815" t="inlineStr">
        <is>
          <t>VÄSTERBOTTENS LÄN</t>
        </is>
      </c>
      <c r="E1815" t="inlineStr">
        <is>
          <t>STORUMAN</t>
        </is>
      </c>
      <c r="G1815" t="n">
        <v>1.9</v>
      </c>
      <c r="H1815" t="n">
        <v>0</v>
      </c>
      <c r="I1815" t="n">
        <v>0</v>
      </c>
      <c r="J1815" t="n">
        <v>0</v>
      </c>
      <c r="K1815" t="n">
        <v>0</v>
      </c>
      <c r="L1815" t="n">
        <v>0</v>
      </c>
      <c r="M1815" t="n">
        <v>0</v>
      </c>
      <c r="N1815" t="n">
        <v>0</v>
      </c>
      <c r="O1815" t="n">
        <v>0</v>
      </c>
      <c r="P1815" t="n">
        <v>0</v>
      </c>
      <c r="Q1815" t="n">
        <v>0</v>
      </c>
      <c r="R1815" s="2" t="inlineStr"/>
    </row>
    <row r="1816" ht="15" customHeight="1">
      <c r="A1816" t="inlineStr">
        <is>
          <t>A 25290-2019</t>
        </is>
      </c>
      <c r="B1816" s="1" t="n">
        <v>43605</v>
      </c>
      <c r="C1816" s="1" t="n">
        <v>45204</v>
      </c>
      <c r="D1816" t="inlineStr">
        <is>
          <t>VÄSTERBOTTENS LÄN</t>
        </is>
      </c>
      <c r="E1816" t="inlineStr">
        <is>
          <t>VÄNNÄS</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26174-2019</t>
        </is>
      </c>
      <c r="B1817" s="1" t="n">
        <v>43605</v>
      </c>
      <c r="C1817" s="1" t="n">
        <v>45204</v>
      </c>
      <c r="D1817" t="inlineStr">
        <is>
          <t>VÄSTERBOTTENS LÄN</t>
        </is>
      </c>
      <c r="E1817" t="inlineStr">
        <is>
          <t>SKELLEFTEÅ</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25080-2019</t>
        </is>
      </c>
      <c r="B1818" s="1" t="n">
        <v>43605</v>
      </c>
      <c r="C1818" s="1" t="n">
        <v>45204</v>
      </c>
      <c r="D1818" t="inlineStr">
        <is>
          <t>VÄSTERBOTTENS LÄN</t>
        </is>
      </c>
      <c r="E1818" t="inlineStr">
        <is>
          <t>SORSELE</t>
        </is>
      </c>
      <c r="G1818" t="n">
        <v>15.7</v>
      </c>
      <c r="H1818" t="n">
        <v>0</v>
      </c>
      <c r="I1818" t="n">
        <v>0</v>
      </c>
      <c r="J1818" t="n">
        <v>0</v>
      </c>
      <c r="K1818" t="n">
        <v>0</v>
      </c>
      <c r="L1818" t="n">
        <v>0</v>
      </c>
      <c r="M1818" t="n">
        <v>0</v>
      </c>
      <c r="N1818" t="n">
        <v>0</v>
      </c>
      <c r="O1818" t="n">
        <v>0</v>
      </c>
      <c r="P1818" t="n">
        <v>0</v>
      </c>
      <c r="Q1818" t="n">
        <v>0</v>
      </c>
      <c r="R1818" s="2" t="inlineStr"/>
    </row>
    <row r="1819" ht="15" customHeight="1">
      <c r="A1819" t="inlineStr">
        <is>
          <t>A 25118-2019</t>
        </is>
      </c>
      <c r="B1819" s="1" t="n">
        <v>43605</v>
      </c>
      <c r="C1819" s="1" t="n">
        <v>45204</v>
      </c>
      <c r="D1819" t="inlineStr">
        <is>
          <t>VÄSTERBOTTENS LÄN</t>
        </is>
      </c>
      <c r="E1819" t="inlineStr">
        <is>
          <t>SORSELE</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26115-2019</t>
        </is>
      </c>
      <c r="B1820" s="1" t="n">
        <v>43605</v>
      </c>
      <c r="C1820" s="1" t="n">
        <v>45204</v>
      </c>
      <c r="D1820" t="inlineStr">
        <is>
          <t>VÄSTERBOTTENS LÄN</t>
        </is>
      </c>
      <c r="E1820" t="inlineStr">
        <is>
          <t>SKELLEFTEÅ</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25085-2019</t>
        </is>
      </c>
      <c r="B1821" s="1" t="n">
        <v>43605</v>
      </c>
      <c r="C1821" s="1" t="n">
        <v>45204</v>
      </c>
      <c r="D1821" t="inlineStr">
        <is>
          <t>VÄSTERBOTTENS LÄN</t>
        </is>
      </c>
      <c r="E1821" t="inlineStr">
        <is>
          <t>SORSELE</t>
        </is>
      </c>
      <c r="G1821" t="n">
        <v>4.5</v>
      </c>
      <c r="H1821" t="n">
        <v>0</v>
      </c>
      <c r="I1821" t="n">
        <v>0</v>
      </c>
      <c r="J1821" t="n">
        <v>0</v>
      </c>
      <c r="K1821" t="n">
        <v>0</v>
      </c>
      <c r="L1821" t="n">
        <v>0</v>
      </c>
      <c r="M1821" t="n">
        <v>0</v>
      </c>
      <c r="N1821" t="n">
        <v>0</v>
      </c>
      <c r="O1821" t="n">
        <v>0</v>
      </c>
      <c r="P1821" t="n">
        <v>0</v>
      </c>
      <c r="Q1821" t="n">
        <v>0</v>
      </c>
      <c r="R1821" s="2" t="inlineStr"/>
    </row>
    <row r="1822" ht="15" customHeight="1">
      <c r="A1822" t="inlineStr">
        <is>
          <t>A 25787-2019</t>
        </is>
      </c>
      <c r="B1822" s="1" t="n">
        <v>43605</v>
      </c>
      <c r="C1822" s="1" t="n">
        <v>45204</v>
      </c>
      <c r="D1822" t="inlineStr">
        <is>
          <t>VÄSTERBOTTENS LÄN</t>
        </is>
      </c>
      <c r="E1822" t="inlineStr">
        <is>
          <t>UMEÅ</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26104-2019</t>
        </is>
      </c>
      <c r="B1823" s="1" t="n">
        <v>43605</v>
      </c>
      <c r="C1823" s="1" t="n">
        <v>45204</v>
      </c>
      <c r="D1823" t="inlineStr">
        <is>
          <t>VÄSTERBOTTENS LÄN</t>
        </is>
      </c>
      <c r="E1823" t="inlineStr">
        <is>
          <t>NORSJÖ</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25273-2019</t>
        </is>
      </c>
      <c r="B1824" s="1" t="n">
        <v>43605</v>
      </c>
      <c r="C1824" s="1" t="n">
        <v>45204</v>
      </c>
      <c r="D1824" t="inlineStr">
        <is>
          <t>VÄSTERBOTTENS LÄN</t>
        </is>
      </c>
      <c r="E1824" t="inlineStr">
        <is>
          <t>UMEÅ</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26382-2019</t>
        </is>
      </c>
      <c r="B1825" s="1" t="n">
        <v>43606</v>
      </c>
      <c r="C1825" s="1" t="n">
        <v>45204</v>
      </c>
      <c r="D1825" t="inlineStr">
        <is>
          <t>VÄSTERBOTTENS LÄN</t>
        </is>
      </c>
      <c r="E1825" t="inlineStr">
        <is>
          <t>UMEÅ</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25514-2019</t>
        </is>
      </c>
      <c r="B1826" s="1" t="n">
        <v>43606</v>
      </c>
      <c r="C1826" s="1" t="n">
        <v>45204</v>
      </c>
      <c r="D1826" t="inlineStr">
        <is>
          <t>VÄSTERBOTTENS LÄN</t>
        </is>
      </c>
      <c r="E1826" t="inlineStr">
        <is>
          <t>UMEÅ</t>
        </is>
      </c>
      <c r="G1826" t="n">
        <v>5.9</v>
      </c>
      <c r="H1826" t="n">
        <v>0</v>
      </c>
      <c r="I1826" t="n">
        <v>0</v>
      </c>
      <c r="J1826" t="n">
        <v>0</v>
      </c>
      <c r="K1826" t="n">
        <v>0</v>
      </c>
      <c r="L1826" t="n">
        <v>0</v>
      </c>
      <c r="M1826" t="n">
        <v>0</v>
      </c>
      <c r="N1826" t="n">
        <v>0</v>
      </c>
      <c r="O1826" t="n">
        <v>0</v>
      </c>
      <c r="P1826" t="n">
        <v>0</v>
      </c>
      <c r="Q1826" t="n">
        <v>0</v>
      </c>
      <c r="R1826" s="2" t="inlineStr"/>
    </row>
    <row r="1827" ht="15" customHeight="1">
      <c r="A1827" t="inlineStr">
        <is>
          <t>A 25717-2019</t>
        </is>
      </c>
      <c r="B1827" s="1" t="n">
        <v>43607</v>
      </c>
      <c r="C1827" s="1" t="n">
        <v>45204</v>
      </c>
      <c r="D1827" t="inlineStr">
        <is>
          <t>VÄSTERBOTTENS LÄN</t>
        </is>
      </c>
      <c r="E1827" t="inlineStr">
        <is>
          <t>DOROTEA</t>
        </is>
      </c>
      <c r="F1827" t="inlineStr">
        <is>
          <t>SCA</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25683-2019</t>
        </is>
      </c>
      <c r="B1828" s="1" t="n">
        <v>43607</v>
      </c>
      <c r="C1828" s="1" t="n">
        <v>45204</v>
      </c>
      <c r="D1828" t="inlineStr">
        <is>
          <t>VÄSTERBOTTENS LÄN</t>
        </is>
      </c>
      <c r="E1828" t="inlineStr">
        <is>
          <t>SORSELE</t>
        </is>
      </c>
      <c r="F1828" t="inlineStr">
        <is>
          <t>Sveaskog</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25680-2019</t>
        </is>
      </c>
      <c r="B1829" s="1" t="n">
        <v>43607</v>
      </c>
      <c r="C1829" s="1" t="n">
        <v>45204</v>
      </c>
      <c r="D1829" t="inlineStr">
        <is>
          <t>VÄSTERBOTTENS LÄN</t>
        </is>
      </c>
      <c r="E1829" t="inlineStr">
        <is>
          <t>SORSELE</t>
        </is>
      </c>
      <c r="F1829" t="inlineStr">
        <is>
          <t>Sveaskog</t>
        </is>
      </c>
      <c r="G1829" t="n">
        <v>13.7</v>
      </c>
      <c r="H1829" t="n">
        <v>0</v>
      </c>
      <c r="I1829" t="n">
        <v>0</v>
      </c>
      <c r="J1829" t="n">
        <v>0</v>
      </c>
      <c r="K1829" t="n">
        <v>0</v>
      </c>
      <c r="L1829" t="n">
        <v>0</v>
      </c>
      <c r="M1829" t="n">
        <v>0</v>
      </c>
      <c r="N1829" t="n">
        <v>0</v>
      </c>
      <c r="O1829" t="n">
        <v>0</v>
      </c>
      <c r="P1829" t="n">
        <v>0</v>
      </c>
      <c r="Q1829" t="n">
        <v>0</v>
      </c>
      <c r="R1829" s="2" t="inlineStr"/>
    </row>
    <row r="1830" ht="15" customHeight="1">
      <c r="A1830" t="inlineStr">
        <is>
          <t>A 26019-2019</t>
        </is>
      </c>
      <c r="B1830" s="1" t="n">
        <v>43608</v>
      </c>
      <c r="C1830" s="1" t="n">
        <v>45204</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26896-2019</t>
        </is>
      </c>
      <c r="B1831" s="1" t="n">
        <v>43608</v>
      </c>
      <c r="C1831" s="1" t="n">
        <v>45204</v>
      </c>
      <c r="D1831" t="inlineStr">
        <is>
          <t>VÄSTERBOTTENS LÄN</t>
        </is>
      </c>
      <c r="E1831" t="inlineStr">
        <is>
          <t>VILHELMINA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26852-2019</t>
        </is>
      </c>
      <c r="B1832" s="1" t="n">
        <v>43608</v>
      </c>
      <c r="C1832" s="1" t="n">
        <v>45204</v>
      </c>
      <c r="D1832" t="inlineStr">
        <is>
          <t>VÄSTERBOTTENS LÄN</t>
        </is>
      </c>
      <c r="E1832" t="inlineStr">
        <is>
          <t>VILHELMINA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25902-2019</t>
        </is>
      </c>
      <c r="B1833" s="1" t="n">
        <v>43608</v>
      </c>
      <c r="C1833" s="1" t="n">
        <v>45204</v>
      </c>
      <c r="D1833" t="inlineStr">
        <is>
          <t>VÄSTERBOTTENS LÄN</t>
        </is>
      </c>
      <c r="E1833" t="inlineStr">
        <is>
          <t>ROBERTSFORS</t>
        </is>
      </c>
      <c r="F1833" t="inlineStr">
        <is>
          <t>Holmen skog AB</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25935-2019</t>
        </is>
      </c>
      <c r="B1834" s="1" t="n">
        <v>43608</v>
      </c>
      <c r="C1834" s="1" t="n">
        <v>45204</v>
      </c>
      <c r="D1834" t="inlineStr">
        <is>
          <t>VÄSTERBOTTENS LÄN</t>
        </is>
      </c>
      <c r="E1834" t="inlineStr">
        <is>
          <t>BJURHOLM</t>
        </is>
      </c>
      <c r="G1834" t="n">
        <v>7.9</v>
      </c>
      <c r="H1834" t="n">
        <v>0</v>
      </c>
      <c r="I1834" t="n">
        <v>0</v>
      </c>
      <c r="J1834" t="n">
        <v>0</v>
      </c>
      <c r="K1834" t="n">
        <v>0</v>
      </c>
      <c r="L1834" t="n">
        <v>0</v>
      </c>
      <c r="M1834" t="n">
        <v>0</v>
      </c>
      <c r="N1834" t="n">
        <v>0</v>
      </c>
      <c r="O1834" t="n">
        <v>0</v>
      </c>
      <c r="P1834" t="n">
        <v>0</v>
      </c>
      <c r="Q1834" t="n">
        <v>0</v>
      </c>
      <c r="R1834" s="2" t="inlineStr"/>
    </row>
    <row r="1835" ht="15" customHeight="1">
      <c r="A1835" t="inlineStr">
        <is>
          <t>A 26020-2019</t>
        </is>
      </c>
      <c r="B1835" s="1" t="n">
        <v>43608</v>
      </c>
      <c r="C1835" s="1" t="n">
        <v>45204</v>
      </c>
      <c r="D1835" t="inlineStr">
        <is>
          <t>VÄSTERBOTTENS LÄN</t>
        </is>
      </c>
      <c r="E1835" t="inlineStr">
        <is>
          <t>DOROTEA</t>
        </is>
      </c>
      <c r="F1835" t="inlineStr">
        <is>
          <t>SCA</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26989-2019</t>
        </is>
      </c>
      <c r="B1836" s="1" t="n">
        <v>43609</v>
      </c>
      <c r="C1836" s="1" t="n">
        <v>45204</v>
      </c>
      <c r="D1836" t="inlineStr">
        <is>
          <t>VÄSTERBOTTENS LÄN</t>
        </is>
      </c>
      <c r="E1836" t="inlineStr">
        <is>
          <t>MALÅ</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26075-2019</t>
        </is>
      </c>
      <c r="B1837" s="1" t="n">
        <v>43609</v>
      </c>
      <c r="C1837" s="1" t="n">
        <v>45204</v>
      </c>
      <c r="D1837" t="inlineStr">
        <is>
          <t>VÄSTERBOTTENS LÄN</t>
        </is>
      </c>
      <c r="E1837" t="inlineStr">
        <is>
          <t>SKELLEFTEÅ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26966-2019</t>
        </is>
      </c>
      <c r="B1838" s="1" t="n">
        <v>43609</v>
      </c>
      <c r="C1838" s="1" t="n">
        <v>45204</v>
      </c>
      <c r="D1838" t="inlineStr">
        <is>
          <t>VÄSTERBOTTENS LÄN</t>
        </is>
      </c>
      <c r="E1838" t="inlineStr">
        <is>
          <t>VINDELN</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26039-2019</t>
        </is>
      </c>
      <c r="B1839" s="1" t="n">
        <v>43609</v>
      </c>
      <c r="C1839" s="1" t="n">
        <v>45204</v>
      </c>
      <c r="D1839" t="inlineStr">
        <is>
          <t>VÄSTERBOTTENS LÄN</t>
        </is>
      </c>
      <c r="E1839" t="inlineStr">
        <is>
          <t>SKELLEFTEÅ</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26180-2019</t>
        </is>
      </c>
      <c r="B1840" s="1" t="n">
        <v>43609</v>
      </c>
      <c r="C1840" s="1" t="n">
        <v>45204</v>
      </c>
      <c r="D1840" t="inlineStr">
        <is>
          <t>VÄSTERBOTTENS LÄN</t>
        </is>
      </c>
      <c r="E1840" t="inlineStr">
        <is>
          <t>SKELLEFTEÅ</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26965-2019</t>
        </is>
      </c>
      <c r="B1841" s="1" t="n">
        <v>43609</v>
      </c>
      <c r="C1841" s="1" t="n">
        <v>45204</v>
      </c>
      <c r="D1841" t="inlineStr">
        <is>
          <t>VÄSTERBOTTENS LÄN</t>
        </is>
      </c>
      <c r="E1841" t="inlineStr">
        <is>
          <t>VINDELN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26277-2019</t>
        </is>
      </c>
      <c r="B1842" s="1" t="n">
        <v>43611</v>
      </c>
      <c r="C1842" s="1" t="n">
        <v>45204</v>
      </c>
      <c r="D1842" t="inlineStr">
        <is>
          <t>VÄSTERBOTTENS LÄN</t>
        </is>
      </c>
      <c r="E1842" t="inlineStr">
        <is>
          <t>STORUMAN</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26278-2019</t>
        </is>
      </c>
      <c r="B1843" s="1" t="n">
        <v>43611</v>
      </c>
      <c r="C1843" s="1" t="n">
        <v>45204</v>
      </c>
      <c r="D1843" t="inlineStr">
        <is>
          <t>VÄSTERBOTTENS LÄN</t>
        </is>
      </c>
      <c r="E1843" t="inlineStr">
        <is>
          <t>STORUMAN</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26513-2019</t>
        </is>
      </c>
      <c r="B1844" s="1" t="n">
        <v>43612</v>
      </c>
      <c r="C1844" s="1" t="n">
        <v>45204</v>
      </c>
      <c r="D1844" t="inlineStr">
        <is>
          <t>VÄSTERBOTTENS LÄN</t>
        </is>
      </c>
      <c r="E1844" t="inlineStr">
        <is>
          <t>NORSJÖ</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27075-2019</t>
        </is>
      </c>
      <c r="B1845" s="1" t="n">
        <v>43612</v>
      </c>
      <c r="C1845" s="1" t="n">
        <v>45204</v>
      </c>
      <c r="D1845" t="inlineStr">
        <is>
          <t>VÄSTERBOTTENS LÄN</t>
        </is>
      </c>
      <c r="E1845" t="inlineStr">
        <is>
          <t>VILHELMINA</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26523-2019</t>
        </is>
      </c>
      <c r="B1846" s="1" t="n">
        <v>43612</v>
      </c>
      <c r="C1846" s="1" t="n">
        <v>45204</v>
      </c>
      <c r="D1846" t="inlineStr">
        <is>
          <t>VÄSTERBOTTENS LÄN</t>
        </is>
      </c>
      <c r="E1846" t="inlineStr">
        <is>
          <t>NORSJÖ</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26297-2019</t>
        </is>
      </c>
      <c r="B1847" s="1" t="n">
        <v>43612</v>
      </c>
      <c r="C1847" s="1" t="n">
        <v>45204</v>
      </c>
      <c r="D1847" t="inlineStr">
        <is>
          <t>VÄSTERBOTTENS LÄN</t>
        </is>
      </c>
      <c r="E1847" t="inlineStr">
        <is>
          <t>ROBERTSFORS</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26511-2019</t>
        </is>
      </c>
      <c r="B1848" s="1" t="n">
        <v>43612</v>
      </c>
      <c r="C1848" s="1" t="n">
        <v>45204</v>
      </c>
      <c r="D1848" t="inlineStr">
        <is>
          <t>VÄSTERBOTTENS LÄN</t>
        </is>
      </c>
      <c r="E1848" t="inlineStr">
        <is>
          <t>VINDELN</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26859-2019</t>
        </is>
      </c>
      <c r="B1849" s="1" t="n">
        <v>43613</v>
      </c>
      <c r="C1849" s="1" t="n">
        <v>45204</v>
      </c>
      <c r="D1849" t="inlineStr">
        <is>
          <t>VÄSTERBOTTENS LÄN</t>
        </is>
      </c>
      <c r="E1849" t="inlineStr">
        <is>
          <t>SKELLEFTEÅ</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28147-2019</t>
        </is>
      </c>
      <c r="B1850" s="1" t="n">
        <v>43613</v>
      </c>
      <c r="C1850" s="1" t="n">
        <v>45204</v>
      </c>
      <c r="D1850" t="inlineStr">
        <is>
          <t>VÄSTERBOTTENS LÄN</t>
        </is>
      </c>
      <c r="E1850" t="inlineStr">
        <is>
          <t>UMEÅ</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26942-2019</t>
        </is>
      </c>
      <c r="B1851" s="1" t="n">
        <v>43613</v>
      </c>
      <c r="C1851" s="1" t="n">
        <v>45204</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28114-2019</t>
        </is>
      </c>
      <c r="B1852" s="1" t="n">
        <v>43613</v>
      </c>
      <c r="C1852" s="1" t="n">
        <v>45204</v>
      </c>
      <c r="D1852" t="inlineStr">
        <is>
          <t>VÄSTERBOTTENS LÄN</t>
        </is>
      </c>
      <c r="E1852" t="inlineStr">
        <is>
          <t>SKELLEFTEÅ</t>
        </is>
      </c>
      <c r="G1852" t="n">
        <v>4.4</v>
      </c>
      <c r="H1852" t="n">
        <v>0</v>
      </c>
      <c r="I1852" t="n">
        <v>0</v>
      </c>
      <c r="J1852" t="n">
        <v>0</v>
      </c>
      <c r="K1852" t="n">
        <v>0</v>
      </c>
      <c r="L1852" t="n">
        <v>0</v>
      </c>
      <c r="M1852" t="n">
        <v>0</v>
      </c>
      <c r="N1852" t="n">
        <v>0</v>
      </c>
      <c r="O1852" t="n">
        <v>0</v>
      </c>
      <c r="P1852" t="n">
        <v>0</v>
      </c>
      <c r="Q1852" t="n">
        <v>0</v>
      </c>
      <c r="R1852" s="2" t="inlineStr"/>
    </row>
    <row r="1853" ht="15" customHeight="1">
      <c r="A1853" t="inlineStr">
        <is>
          <t>A 26907-2019</t>
        </is>
      </c>
      <c r="B1853" s="1" t="n">
        <v>43613</v>
      </c>
      <c r="C1853" s="1" t="n">
        <v>45204</v>
      </c>
      <c r="D1853" t="inlineStr">
        <is>
          <t>VÄSTERBOTTENS LÄN</t>
        </is>
      </c>
      <c r="E1853" t="inlineStr">
        <is>
          <t>SKELLEFTEÅ</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28194-2019</t>
        </is>
      </c>
      <c r="B1854" s="1" t="n">
        <v>43613</v>
      </c>
      <c r="C1854" s="1" t="n">
        <v>45204</v>
      </c>
      <c r="D1854" t="inlineStr">
        <is>
          <t>VÄSTERBOTTENS LÄN</t>
        </is>
      </c>
      <c r="E1854" t="inlineStr">
        <is>
          <t>ROBERTSFORS</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26763-2019</t>
        </is>
      </c>
      <c r="B1855" s="1" t="n">
        <v>43613</v>
      </c>
      <c r="C1855" s="1" t="n">
        <v>45204</v>
      </c>
      <c r="D1855" t="inlineStr">
        <is>
          <t>VÄSTERBOTTENS LÄN</t>
        </is>
      </c>
      <c r="E1855" t="inlineStr">
        <is>
          <t>VILHELMINA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27102-2019</t>
        </is>
      </c>
      <c r="B1856" s="1" t="n">
        <v>43614</v>
      </c>
      <c r="C1856" s="1" t="n">
        <v>45204</v>
      </c>
      <c r="D1856" t="inlineStr">
        <is>
          <t>VÄSTERBOTTENS LÄN</t>
        </is>
      </c>
      <c r="E1856" t="inlineStr">
        <is>
          <t>STORUMAN</t>
        </is>
      </c>
      <c r="F1856" t="inlineStr">
        <is>
          <t>Sveaskog</t>
        </is>
      </c>
      <c r="G1856" t="n">
        <v>16.9</v>
      </c>
      <c r="H1856" t="n">
        <v>0</v>
      </c>
      <c r="I1856" t="n">
        <v>0</v>
      </c>
      <c r="J1856" t="n">
        <v>0</v>
      </c>
      <c r="K1856" t="n">
        <v>0</v>
      </c>
      <c r="L1856" t="n">
        <v>0</v>
      </c>
      <c r="M1856" t="n">
        <v>0</v>
      </c>
      <c r="N1856" t="n">
        <v>0</v>
      </c>
      <c r="O1856" t="n">
        <v>0</v>
      </c>
      <c r="P1856" t="n">
        <v>0</v>
      </c>
      <c r="Q1856" t="n">
        <v>0</v>
      </c>
      <c r="R1856" s="2" t="inlineStr"/>
    </row>
    <row r="1857" ht="15" customHeight="1">
      <c r="A1857" t="inlineStr">
        <is>
          <t>A 27254-2019</t>
        </is>
      </c>
      <c r="B1857" s="1" t="n">
        <v>43614</v>
      </c>
      <c r="C1857" s="1" t="n">
        <v>45204</v>
      </c>
      <c r="D1857" t="inlineStr">
        <is>
          <t>VÄSTERBOTTENS LÄN</t>
        </is>
      </c>
      <c r="E1857" t="inlineStr">
        <is>
          <t>VILHELMINA</t>
        </is>
      </c>
      <c r="F1857" t="inlineStr">
        <is>
          <t>SCA</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27091-2019</t>
        </is>
      </c>
      <c r="B1858" s="1" t="n">
        <v>43614</v>
      </c>
      <c r="C1858" s="1" t="n">
        <v>45204</v>
      </c>
      <c r="D1858" t="inlineStr">
        <is>
          <t>VÄSTERBOTTENS LÄN</t>
        </is>
      </c>
      <c r="E1858" t="inlineStr">
        <is>
          <t>ROBERTSFORS</t>
        </is>
      </c>
      <c r="F1858" t="inlineStr">
        <is>
          <t>Holmen skog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27253-2019</t>
        </is>
      </c>
      <c r="B1859" s="1" t="n">
        <v>43614</v>
      </c>
      <c r="C1859" s="1" t="n">
        <v>45204</v>
      </c>
      <c r="D1859" t="inlineStr">
        <is>
          <t>VÄSTERBOTTENS LÄN</t>
        </is>
      </c>
      <c r="E1859" t="inlineStr">
        <is>
          <t>VILHELMINA</t>
        </is>
      </c>
      <c r="F1859" t="inlineStr">
        <is>
          <t>SCA</t>
        </is>
      </c>
      <c r="G1859" t="n">
        <v>5.3</v>
      </c>
      <c r="H1859" t="n">
        <v>0</v>
      </c>
      <c r="I1859" t="n">
        <v>0</v>
      </c>
      <c r="J1859" t="n">
        <v>0</v>
      </c>
      <c r="K1859" t="n">
        <v>0</v>
      </c>
      <c r="L1859" t="n">
        <v>0</v>
      </c>
      <c r="M1859" t="n">
        <v>0</v>
      </c>
      <c r="N1859" t="n">
        <v>0</v>
      </c>
      <c r="O1859" t="n">
        <v>0</v>
      </c>
      <c r="P1859" t="n">
        <v>0</v>
      </c>
      <c r="Q1859" t="n">
        <v>0</v>
      </c>
      <c r="R1859" s="2" t="inlineStr"/>
    </row>
    <row r="1860" ht="15" customHeight="1">
      <c r="A1860" t="inlineStr">
        <is>
          <t>A 27038-2019</t>
        </is>
      </c>
      <c r="B1860" s="1" t="n">
        <v>43614</v>
      </c>
      <c r="C1860" s="1" t="n">
        <v>45204</v>
      </c>
      <c r="D1860" t="inlineStr">
        <is>
          <t>VÄSTERBOTTENS LÄN</t>
        </is>
      </c>
      <c r="E1860" t="inlineStr">
        <is>
          <t>STORUMAN</t>
        </is>
      </c>
      <c r="F1860" t="inlineStr">
        <is>
          <t>Sveaskog</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28710-2019</t>
        </is>
      </c>
      <c r="B1861" s="1" t="n">
        <v>43614</v>
      </c>
      <c r="C1861" s="1" t="n">
        <v>45204</v>
      </c>
      <c r="D1861" t="inlineStr">
        <is>
          <t>VÄSTERBOTTENS LÄN</t>
        </is>
      </c>
      <c r="E1861" t="inlineStr">
        <is>
          <t>ÅSELE</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27342-2019</t>
        </is>
      </c>
      <c r="B1862" s="1" t="n">
        <v>43616</v>
      </c>
      <c r="C1862" s="1" t="n">
        <v>45204</v>
      </c>
      <c r="D1862" t="inlineStr">
        <is>
          <t>VÄSTERBOTTENS LÄN</t>
        </is>
      </c>
      <c r="E1862" t="inlineStr">
        <is>
          <t>STORUMAN</t>
        </is>
      </c>
      <c r="F1862" t="inlineStr">
        <is>
          <t>Sveaskog</t>
        </is>
      </c>
      <c r="G1862" t="n">
        <v>4.8</v>
      </c>
      <c r="H1862" t="n">
        <v>0</v>
      </c>
      <c r="I1862" t="n">
        <v>0</v>
      </c>
      <c r="J1862" t="n">
        <v>0</v>
      </c>
      <c r="K1862" t="n">
        <v>0</v>
      </c>
      <c r="L1862" t="n">
        <v>0</v>
      </c>
      <c r="M1862" t="n">
        <v>0</v>
      </c>
      <c r="N1862" t="n">
        <v>0</v>
      </c>
      <c r="O1862" t="n">
        <v>0</v>
      </c>
      <c r="P1862" t="n">
        <v>0</v>
      </c>
      <c r="Q1862" t="n">
        <v>0</v>
      </c>
      <c r="R1862" s="2" t="inlineStr"/>
    </row>
    <row r="1863" ht="15" customHeight="1">
      <c r="A1863" t="inlineStr">
        <is>
          <t>A 28921-2019</t>
        </is>
      </c>
      <c r="B1863" s="1" t="n">
        <v>43619</v>
      </c>
      <c r="C1863" s="1" t="n">
        <v>45204</v>
      </c>
      <c r="D1863" t="inlineStr">
        <is>
          <t>VÄSTERBOTTENS LÄN</t>
        </is>
      </c>
      <c r="E1863" t="inlineStr">
        <is>
          <t>VINDELN</t>
        </is>
      </c>
      <c r="G1863" t="n">
        <v>10.8</v>
      </c>
      <c r="H1863" t="n">
        <v>0</v>
      </c>
      <c r="I1863" t="n">
        <v>0</v>
      </c>
      <c r="J1863" t="n">
        <v>0</v>
      </c>
      <c r="K1863" t="n">
        <v>0</v>
      </c>
      <c r="L1863" t="n">
        <v>0</v>
      </c>
      <c r="M1863" t="n">
        <v>0</v>
      </c>
      <c r="N1863" t="n">
        <v>0</v>
      </c>
      <c r="O1863" t="n">
        <v>0</v>
      </c>
      <c r="P1863" t="n">
        <v>0</v>
      </c>
      <c r="Q1863" t="n">
        <v>0</v>
      </c>
      <c r="R1863" s="2" t="inlineStr"/>
    </row>
    <row r="1864" ht="15" customHeight="1">
      <c r="A1864" t="inlineStr">
        <is>
          <t>A 28945-2019</t>
        </is>
      </c>
      <c r="B1864" s="1" t="n">
        <v>43619</v>
      </c>
      <c r="C1864" s="1" t="n">
        <v>45204</v>
      </c>
      <c r="D1864" t="inlineStr">
        <is>
          <t>VÄSTERBOTTENS LÄN</t>
        </is>
      </c>
      <c r="E1864" t="inlineStr">
        <is>
          <t>BJURHOLM</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28951-2019</t>
        </is>
      </c>
      <c r="B1865" s="1" t="n">
        <v>43619</v>
      </c>
      <c r="C1865" s="1" t="n">
        <v>45204</v>
      </c>
      <c r="D1865" t="inlineStr">
        <is>
          <t>VÄSTERBOTTENS LÄN</t>
        </is>
      </c>
      <c r="E1865" t="inlineStr">
        <is>
          <t>MALÅ</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28946-2019</t>
        </is>
      </c>
      <c r="B1866" s="1" t="n">
        <v>43619</v>
      </c>
      <c r="C1866" s="1" t="n">
        <v>45204</v>
      </c>
      <c r="D1866" t="inlineStr">
        <is>
          <t>VÄSTERBOTTENS LÄN</t>
        </is>
      </c>
      <c r="E1866" t="inlineStr">
        <is>
          <t>BJURHOLM</t>
        </is>
      </c>
      <c r="G1866" t="n">
        <v>0.2</v>
      </c>
      <c r="H1866" t="n">
        <v>0</v>
      </c>
      <c r="I1866" t="n">
        <v>0</v>
      </c>
      <c r="J1866" t="n">
        <v>0</v>
      </c>
      <c r="K1866" t="n">
        <v>0</v>
      </c>
      <c r="L1866" t="n">
        <v>0</v>
      </c>
      <c r="M1866" t="n">
        <v>0</v>
      </c>
      <c r="N1866" t="n">
        <v>0</v>
      </c>
      <c r="O1866" t="n">
        <v>0</v>
      </c>
      <c r="P1866" t="n">
        <v>0</v>
      </c>
      <c r="Q1866" t="n">
        <v>0</v>
      </c>
      <c r="R1866" s="2" t="inlineStr"/>
    </row>
    <row r="1867" ht="15" customHeight="1">
      <c r="A1867" t="inlineStr">
        <is>
          <t>A 28920-2019</t>
        </is>
      </c>
      <c r="B1867" s="1" t="n">
        <v>43619</v>
      </c>
      <c r="C1867" s="1" t="n">
        <v>45204</v>
      </c>
      <c r="D1867" t="inlineStr">
        <is>
          <t>VÄSTERBOTTENS LÄN</t>
        </is>
      </c>
      <c r="E1867" t="inlineStr">
        <is>
          <t>SKELLEFTEÅ</t>
        </is>
      </c>
      <c r="G1867" t="n">
        <v>8.1</v>
      </c>
      <c r="H1867" t="n">
        <v>0</v>
      </c>
      <c r="I1867" t="n">
        <v>0</v>
      </c>
      <c r="J1867" t="n">
        <v>0</v>
      </c>
      <c r="K1867" t="n">
        <v>0</v>
      </c>
      <c r="L1867" t="n">
        <v>0</v>
      </c>
      <c r="M1867" t="n">
        <v>0</v>
      </c>
      <c r="N1867" t="n">
        <v>0</v>
      </c>
      <c r="O1867" t="n">
        <v>0</v>
      </c>
      <c r="P1867" t="n">
        <v>0</v>
      </c>
      <c r="Q1867" t="n">
        <v>0</v>
      </c>
      <c r="R1867" s="2" t="inlineStr"/>
    </row>
    <row r="1868" ht="15" customHeight="1">
      <c r="A1868" t="inlineStr">
        <is>
          <t>A 28941-2019</t>
        </is>
      </c>
      <c r="B1868" s="1" t="n">
        <v>43619</v>
      </c>
      <c r="C1868" s="1" t="n">
        <v>45204</v>
      </c>
      <c r="D1868" t="inlineStr">
        <is>
          <t>VÄSTERBOTTENS LÄN</t>
        </is>
      </c>
      <c r="E1868" t="inlineStr">
        <is>
          <t>BJURHOLM</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28995-2019</t>
        </is>
      </c>
      <c r="B1869" s="1" t="n">
        <v>43620</v>
      </c>
      <c r="C1869" s="1" t="n">
        <v>45204</v>
      </c>
      <c r="D1869" t="inlineStr">
        <is>
          <t>VÄSTERBOTTENS LÄN</t>
        </is>
      </c>
      <c r="E1869" t="inlineStr">
        <is>
          <t>UMEÅ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28979-2019</t>
        </is>
      </c>
      <c r="B1870" s="1" t="n">
        <v>43620</v>
      </c>
      <c r="C1870" s="1" t="n">
        <v>45204</v>
      </c>
      <c r="D1870" t="inlineStr">
        <is>
          <t>VÄSTERBOTTENS LÄN</t>
        </is>
      </c>
      <c r="E1870" t="inlineStr">
        <is>
          <t>SKELLEFTEÅ</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28983-2019</t>
        </is>
      </c>
      <c r="B1871" s="1" t="n">
        <v>43620</v>
      </c>
      <c r="C1871" s="1" t="n">
        <v>45204</v>
      </c>
      <c r="D1871" t="inlineStr">
        <is>
          <t>VÄSTERBOTTENS LÄN</t>
        </is>
      </c>
      <c r="E1871" t="inlineStr">
        <is>
          <t>SKELLEFTEÅ</t>
        </is>
      </c>
      <c r="G1871" t="n">
        <v>5.2</v>
      </c>
      <c r="H1871" t="n">
        <v>0</v>
      </c>
      <c r="I1871" t="n">
        <v>0</v>
      </c>
      <c r="J1871" t="n">
        <v>0</v>
      </c>
      <c r="K1871" t="n">
        <v>0</v>
      </c>
      <c r="L1871" t="n">
        <v>0</v>
      </c>
      <c r="M1871" t="n">
        <v>0</v>
      </c>
      <c r="N1871" t="n">
        <v>0</v>
      </c>
      <c r="O1871" t="n">
        <v>0</v>
      </c>
      <c r="P1871" t="n">
        <v>0</v>
      </c>
      <c r="Q1871" t="n">
        <v>0</v>
      </c>
      <c r="R1871" s="2" t="inlineStr"/>
    </row>
    <row r="1872" ht="15" customHeight="1">
      <c r="A1872" t="inlineStr">
        <is>
          <t>A 29034-2019</t>
        </is>
      </c>
      <c r="B1872" s="1" t="n">
        <v>43620</v>
      </c>
      <c r="C1872" s="1" t="n">
        <v>45204</v>
      </c>
      <c r="D1872" t="inlineStr">
        <is>
          <t>VÄSTERBOTTENS LÄN</t>
        </is>
      </c>
      <c r="E1872" t="inlineStr">
        <is>
          <t>SKELLEFTEÅ</t>
        </is>
      </c>
      <c r="G1872" t="n">
        <v>5.9</v>
      </c>
      <c r="H1872" t="n">
        <v>0</v>
      </c>
      <c r="I1872" t="n">
        <v>0</v>
      </c>
      <c r="J1872" t="n">
        <v>0</v>
      </c>
      <c r="K1872" t="n">
        <v>0</v>
      </c>
      <c r="L1872" t="n">
        <v>0</v>
      </c>
      <c r="M1872" t="n">
        <v>0</v>
      </c>
      <c r="N1872" t="n">
        <v>0</v>
      </c>
      <c r="O1872" t="n">
        <v>0</v>
      </c>
      <c r="P1872" t="n">
        <v>0</v>
      </c>
      <c r="Q1872" t="n">
        <v>0</v>
      </c>
      <c r="R1872" s="2" t="inlineStr"/>
    </row>
    <row r="1873" ht="15" customHeight="1">
      <c r="A1873" t="inlineStr">
        <is>
          <t>A 29060-2019</t>
        </is>
      </c>
      <c r="B1873" s="1" t="n">
        <v>43621</v>
      </c>
      <c r="C1873" s="1" t="n">
        <v>45204</v>
      </c>
      <c r="D1873" t="inlineStr">
        <is>
          <t>VÄSTERBOTTENS LÄN</t>
        </is>
      </c>
      <c r="E1873" t="inlineStr">
        <is>
          <t>NORDMALING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28219-2019</t>
        </is>
      </c>
      <c r="B1874" s="1" t="n">
        <v>43621</v>
      </c>
      <c r="C1874" s="1" t="n">
        <v>45204</v>
      </c>
      <c r="D1874" t="inlineStr">
        <is>
          <t>VÄSTERBOTTENS LÄN</t>
        </is>
      </c>
      <c r="E1874" t="inlineStr">
        <is>
          <t>DOROTEA</t>
        </is>
      </c>
      <c r="F1874" t="inlineStr">
        <is>
          <t>SCA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29088-2019</t>
        </is>
      </c>
      <c r="B1875" s="1" t="n">
        <v>43621</v>
      </c>
      <c r="C1875" s="1" t="n">
        <v>45204</v>
      </c>
      <c r="D1875" t="inlineStr">
        <is>
          <t>VÄSTERBOTTENS LÄN</t>
        </is>
      </c>
      <c r="E1875" t="inlineStr">
        <is>
          <t>LYCKSELE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28061-2019</t>
        </is>
      </c>
      <c r="B1876" s="1" t="n">
        <v>43621</v>
      </c>
      <c r="C1876" s="1" t="n">
        <v>45204</v>
      </c>
      <c r="D1876" t="inlineStr">
        <is>
          <t>VÄSTERBOTTENS LÄN</t>
        </is>
      </c>
      <c r="E1876" t="inlineStr">
        <is>
          <t>VINDELN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28129-2019</t>
        </is>
      </c>
      <c r="B1877" s="1" t="n">
        <v>43621</v>
      </c>
      <c r="C1877" s="1" t="n">
        <v>45204</v>
      </c>
      <c r="D1877" t="inlineStr">
        <is>
          <t>VÄSTERBOTTENS LÄN</t>
        </is>
      </c>
      <c r="E1877" t="inlineStr">
        <is>
          <t>SORSELE</t>
        </is>
      </c>
      <c r="F1877" t="inlineStr">
        <is>
          <t>Sveaskog</t>
        </is>
      </c>
      <c r="G1877" t="n">
        <v>51.4</v>
      </c>
      <c r="H1877" t="n">
        <v>0</v>
      </c>
      <c r="I1877" t="n">
        <v>0</v>
      </c>
      <c r="J1877" t="n">
        <v>0</v>
      </c>
      <c r="K1877" t="n">
        <v>0</v>
      </c>
      <c r="L1877" t="n">
        <v>0</v>
      </c>
      <c r="M1877" t="n">
        <v>0</v>
      </c>
      <c r="N1877" t="n">
        <v>0</v>
      </c>
      <c r="O1877" t="n">
        <v>0</v>
      </c>
      <c r="P1877" t="n">
        <v>0</v>
      </c>
      <c r="Q1877" t="n">
        <v>0</v>
      </c>
      <c r="R1877" s="2" t="inlineStr"/>
    </row>
    <row r="1878" ht="15" customHeight="1">
      <c r="A1878" t="inlineStr">
        <is>
          <t>A 28211-2019</t>
        </is>
      </c>
      <c r="B1878" s="1" t="n">
        <v>43621</v>
      </c>
      <c r="C1878" s="1" t="n">
        <v>45204</v>
      </c>
      <c r="D1878" t="inlineStr">
        <is>
          <t>VÄSTERBOTTENS LÄN</t>
        </is>
      </c>
      <c r="E1878" t="inlineStr">
        <is>
          <t>SKELLEFTEÅ</t>
        </is>
      </c>
      <c r="F1878" t="inlineStr">
        <is>
          <t>SCA</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29281-2019</t>
        </is>
      </c>
      <c r="B1879" s="1" t="n">
        <v>43623</v>
      </c>
      <c r="C1879" s="1" t="n">
        <v>45204</v>
      </c>
      <c r="D1879" t="inlineStr">
        <is>
          <t>VÄSTERBOTTENS LÄN</t>
        </is>
      </c>
      <c r="E1879" t="inlineStr">
        <is>
          <t>UMEÅ</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28270-2019</t>
        </is>
      </c>
      <c r="B1880" s="1" t="n">
        <v>43623</v>
      </c>
      <c r="C1880" s="1" t="n">
        <v>45204</v>
      </c>
      <c r="D1880" t="inlineStr">
        <is>
          <t>VÄSTERBOTTENS LÄN</t>
        </is>
      </c>
      <c r="E1880" t="inlineStr">
        <is>
          <t>SORSELE</t>
        </is>
      </c>
      <c r="F1880" t="inlineStr">
        <is>
          <t>Sveaskog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28300-2019</t>
        </is>
      </c>
      <c r="B1881" s="1" t="n">
        <v>43623</v>
      </c>
      <c r="C1881" s="1" t="n">
        <v>45204</v>
      </c>
      <c r="D1881" t="inlineStr">
        <is>
          <t>VÄSTERBOTTENS LÄN</t>
        </is>
      </c>
      <c r="E1881" t="inlineStr">
        <is>
          <t>NORSJÖ</t>
        </is>
      </c>
      <c r="F1881" t="inlineStr">
        <is>
          <t>Holmen skog AB</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28571-2019</t>
        </is>
      </c>
      <c r="B1882" s="1" t="n">
        <v>43626</v>
      </c>
      <c r="C1882" s="1" t="n">
        <v>45204</v>
      </c>
      <c r="D1882" t="inlineStr">
        <is>
          <t>VÄSTERBOTTENS LÄN</t>
        </is>
      </c>
      <c r="E1882" t="inlineStr">
        <is>
          <t>NORSJÖ</t>
        </is>
      </c>
      <c r="G1882" t="n">
        <v>16.6</v>
      </c>
      <c r="H1882" t="n">
        <v>0</v>
      </c>
      <c r="I1882" t="n">
        <v>0</v>
      </c>
      <c r="J1882" t="n">
        <v>0</v>
      </c>
      <c r="K1882" t="n">
        <v>0</v>
      </c>
      <c r="L1882" t="n">
        <v>0</v>
      </c>
      <c r="M1882" t="n">
        <v>0</v>
      </c>
      <c r="N1882" t="n">
        <v>0</v>
      </c>
      <c r="O1882" t="n">
        <v>0</v>
      </c>
      <c r="P1882" t="n">
        <v>0</v>
      </c>
      <c r="Q1882" t="n">
        <v>0</v>
      </c>
      <c r="R1882" s="2" t="inlineStr"/>
    </row>
    <row r="1883" ht="15" customHeight="1">
      <c r="A1883" t="inlineStr">
        <is>
          <t>A 28612-2019</t>
        </is>
      </c>
      <c r="B1883" s="1" t="n">
        <v>43626</v>
      </c>
      <c r="C1883" s="1" t="n">
        <v>45204</v>
      </c>
      <c r="D1883" t="inlineStr">
        <is>
          <t>VÄSTERBOTTENS LÄN</t>
        </is>
      </c>
      <c r="E1883" t="inlineStr">
        <is>
          <t>SKELLEFTEÅ</t>
        </is>
      </c>
      <c r="G1883" t="n">
        <v>6.7</v>
      </c>
      <c r="H1883" t="n">
        <v>0</v>
      </c>
      <c r="I1883" t="n">
        <v>0</v>
      </c>
      <c r="J1883" t="n">
        <v>0</v>
      </c>
      <c r="K1883" t="n">
        <v>0</v>
      </c>
      <c r="L1883" t="n">
        <v>0</v>
      </c>
      <c r="M1883" t="n">
        <v>0</v>
      </c>
      <c r="N1883" t="n">
        <v>0</v>
      </c>
      <c r="O1883" t="n">
        <v>0</v>
      </c>
      <c r="P1883" t="n">
        <v>0</v>
      </c>
      <c r="Q1883" t="n">
        <v>0</v>
      </c>
      <c r="R1883" s="2" t="inlineStr"/>
    </row>
    <row r="1884" ht="15" customHeight="1">
      <c r="A1884" t="inlineStr">
        <is>
          <t>A 28569-2019</t>
        </is>
      </c>
      <c r="B1884" s="1" t="n">
        <v>43626</v>
      </c>
      <c r="C1884" s="1" t="n">
        <v>45204</v>
      </c>
      <c r="D1884" t="inlineStr">
        <is>
          <t>VÄSTERBOTTENS LÄN</t>
        </is>
      </c>
      <c r="E1884" t="inlineStr">
        <is>
          <t>LYCKSELE</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29348-2019</t>
        </is>
      </c>
      <c r="B1885" s="1" t="n">
        <v>43626</v>
      </c>
      <c r="C1885" s="1" t="n">
        <v>45204</v>
      </c>
      <c r="D1885" t="inlineStr">
        <is>
          <t>VÄSTERBOTTENS LÄN</t>
        </is>
      </c>
      <c r="E1885" t="inlineStr">
        <is>
          <t>BJURHOLM</t>
        </is>
      </c>
      <c r="G1885" t="n">
        <v>0.1</v>
      </c>
      <c r="H1885" t="n">
        <v>0</v>
      </c>
      <c r="I1885" t="n">
        <v>0</v>
      </c>
      <c r="J1885" t="n">
        <v>0</v>
      </c>
      <c r="K1885" t="n">
        <v>0</v>
      </c>
      <c r="L1885" t="n">
        <v>0</v>
      </c>
      <c r="M1885" t="n">
        <v>0</v>
      </c>
      <c r="N1885" t="n">
        <v>0</v>
      </c>
      <c r="O1885" t="n">
        <v>0</v>
      </c>
      <c r="P1885" t="n">
        <v>0</v>
      </c>
      <c r="Q1885" t="n">
        <v>0</v>
      </c>
      <c r="R1885" s="2" t="inlineStr"/>
    </row>
    <row r="1886" ht="15" customHeight="1">
      <c r="A1886" t="inlineStr">
        <is>
          <t>A 28573-2019</t>
        </is>
      </c>
      <c r="B1886" s="1" t="n">
        <v>43626</v>
      </c>
      <c r="C1886" s="1" t="n">
        <v>45204</v>
      </c>
      <c r="D1886" t="inlineStr">
        <is>
          <t>VÄSTERBOTTENS LÄN</t>
        </is>
      </c>
      <c r="E1886" t="inlineStr">
        <is>
          <t>NORSJÖ</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29397-2019</t>
        </is>
      </c>
      <c r="B1887" s="1" t="n">
        <v>43627</v>
      </c>
      <c r="C1887" s="1" t="n">
        <v>45204</v>
      </c>
      <c r="D1887" t="inlineStr">
        <is>
          <t>VÄSTERBOTTENS LÄN</t>
        </is>
      </c>
      <c r="E1887" t="inlineStr">
        <is>
          <t>LYCKSELE</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28777-2019</t>
        </is>
      </c>
      <c r="B1888" s="1" t="n">
        <v>43627</v>
      </c>
      <c r="C1888" s="1" t="n">
        <v>45204</v>
      </c>
      <c r="D1888" t="inlineStr">
        <is>
          <t>VÄSTERBOTTENS LÄN</t>
        </is>
      </c>
      <c r="E1888" t="inlineStr">
        <is>
          <t>SKELLEFTEÅ</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29394-2019</t>
        </is>
      </c>
      <c r="B1889" s="1" t="n">
        <v>43627</v>
      </c>
      <c r="C1889" s="1" t="n">
        <v>45204</v>
      </c>
      <c r="D1889" t="inlineStr">
        <is>
          <t>VÄSTERBOTTENS LÄN</t>
        </is>
      </c>
      <c r="E1889" t="inlineStr">
        <is>
          <t>LYCKSELE</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29126-2019</t>
        </is>
      </c>
      <c r="B1890" s="1" t="n">
        <v>43628</v>
      </c>
      <c r="C1890" s="1" t="n">
        <v>45204</v>
      </c>
      <c r="D1890" t="inlineStr">
        <is>
          <t>VÄSTERBOTTENS LÄN</t>
        </is>
      </c>
      <c r="E1890" t="inlineStr">
        <is>
          <t>UMEÅ</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29657-2019</t>
        </is>
      </c>
      <c r="B1891" s="1" t="n">
        <v>43628</v>
      </c>
      <c r="C1891" s="1" t="n">
        <v>45204</v>
      </c>
      <c r="D1891" t="inlineStr">
        <is>
          <t>VÄSTERBOTTENS LÄN</t>
        </is>
      </c>
      <c r="E1891" t="inlineStr">
        <is>
          <t>BJURHOLM</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29053-2019</t>
        </is>
      </c>
      <c r="B1892" s="1" t="n">
        <v>43628</v>
      </c>
      <c r="C1892" s="1" t="n">
        <v>45204</v>
      </c>
      <c r="D1892" t="inlineStr">
        <is>
          <t>VÄSTERBOTTENS LÄN</t>
        </is>
      </c>
      <c r="E1892" t="inlineStr">
        <is>
          <t>SKELLEFTEÅ</t>
        </is>
      </c>
      <c r="G1892" t="n">
        <v>8.6</v>
      </c>
      <c r="H1892" t="n">
        <v>0</v>
      </c>
      <c r="I1892" t="n">
        <v>0</v>
      </c>
      <c r="J1892" t="n">
        <v>0</v>
      </c>
      <c r="K1892" t="n">
        <v>0</v>
      </c>
      <c r="L1892" t="n">
        <v>0</v>
      </c>
      <c r="M1892" t="n">
        <v>0</v>
      </c>
      <c r="N1892" t="n">
        <v>0</v>
      </c>
      <c r="O1892" t="n">
        <v>0</v>
      </c>
      <c r="P1892" t="n">
        <v>0</v>
      </c>
      <c r="Q1892" t="n">
        <v>0</v>
      </c>
      <c r="R1892" s="2" t="inlineStr"/>
    </row>
    <row r="1893" ht="15" customHeight="1">
      <c r="A1893" t="inlineStr">
        <is>
          <t>A 29128-2019</t>
        </is>
      </c>
      <c r="B1893" s="1" t="n">
        <v>43628</v>
      </c>
      <c r="C1893" s="1" t="n">
        <v>45204</v>
      </c>
      <c r="D1893" t="inlineStr">
        <is>
          <t>VÄSTERBOTTENS LÄN</t>
        </is>
      </c>
      <c r="E1893" t="inlineStr">
        <is>
          <t>UMEÅ</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29321-2019</t>
        </is>
      </c>
      <c r="B1894" s="1" t="n">
        <v>43629</v>
      </c>
      <c r="C1894" s="1" t="n">
        <v>45204</v>
      </c>
      <c r="D1894" t="inlineStr">
        <is>
          <t>VÄSTERBOTTENS LÄN</t>
        </is>
      </c>
      <c r="E1894" t="inlineStr">
        <is>
          <t>SKELLEFTEÅ</t>
        </is>
      </c>
      <c r="F1894" t="inlineStr">
        <is>
          <t>Holmen skog AB</t>
        </is>
      </c>
      <c r="G1894" t="n">
        <v>12.6</v>
      </c>
      <c r="H1894" t="n">
        <v>0</v>
      </c>
      <c r="I1894" t="n">
        <v>0</v>
      </c>
      <c r="J1894" t="n">
        <v>0</v>
      </c>
      <c r="K1894" t="n">
        <v>0</v>
      </c>
      <c r="L1894" t="n">
        <v>0</v>
      </c>
      <c r="M1894" t="n">
        <v>0</v>
      </c>
      <c r="N1894" t="n">
        <v>0</v>
      </c>
      <c r="O1894" t="n">
        <v>0</v>
      </c>
      <c r="P1894" t="n">
        <v>0</v>
      </c>
      <c r="Q1894" t="n">
        <v>0</v>
      </c>
      <c r="R1894" s="2" t="inlineStr"/>
    </row>
    <row r="1895" ht="15" customHeight="1">
      <c r="A1895" t="inlineStr">
        <is>
          <t>A 29383-2019</t>
        </is>
      </c>
      <c r="B1895" s="1" t="n">
        <v>43629</v>
      </c>
      <c r="C1895" s="1" t="n">
        <v>45204</v>
      </c>
      <c r="D1895" t="inlineStr">
        <is>
          <t>VÄSTERBOTTENS LÄN</t>
        </is>
      </c>
      <c r="E1895" t="inlineStr">
        <is>
          <t>SKELLEFTEÅ</t>
        </is>
      </c>
      <c r="F1895" t="inlineStr">
        <is>
          <t>Holmen skog AB</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29908-2019</t>
        </is>
      </c>
      <c r="B1896" s="1" t="n">
        <v>43629</v>
      </c>
      <c r="C1896" s="1" t="n">
        <v>45204</v>
      </c>
      <c r="D1896" t="inlineStr">
        <is>
          <t>VÄSTERBOTTENS LÄN</t>
        </is>
      </c>
      <c r="E1896" t="inlineStr">
        <is>
          <t>STORUMAN</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29236-2019</t>
        </is>
      </c>
      <c r="B1897" s="1" t="n">
        <v>43629</v>
      </c>
      <c r="C1897" s="1" t="n">
        <v>45204</v>
      </c>
      <c r="D1897" t="inlineStr">
        <is>
          <t>VÄSTERBOTTENS LÄN</t>
        </is>
      </c>
      <c r="E1897" t="inlineStr">
        <is>
          <t>ROBERTSFORS</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29650-2019</t>
        </is>
      </c>
      <c r="B1898" s="1" t="n">
        <v>43630</v>
      </c>
      <c r="C1898" s="1" t="n">
        <v>45204</v>
      </c>
      <c r="D1898" t="inlineStr">
        <is>
          <t>VÄSTERBOTTENS LÄN</t>
        </is>
      </c>
      <c r="E1898" t="inlineStr">
        <is>
          <t>VINDELN</t>
        </is>
      </c>
      <c r="F1898" t="inlineStr">
        <is>
          <t>Holmen skog AB</t>
        </is>
      </c>
      <c r="G1898" t="n">
        <v>12.6</v>
      </c>
      <c r="H1898" t="n">
        <v>0</v>
      </c>
      <c r="I1898" t="n">
        <v>0</v>
      </c>
      <c r="J1898" t="n">
        <v>0</v>
      </c>
      <c r="K1898" t="n">
        <v>0</v>
      </c>
      <c r="L1898" t="n">
        <v>0</v>
      </c>
      <c r="M1898" t="n">
        <v>0</v>
      </c>
      <c r="N1898" t="n">
        <v>0</v>
      </c>
      <c r="O1898" t="n">
        <v>0</v>
      </c>
      <c r="P1898" t="n">
        <v>0</v>
      </c>
      <c r="Q1898" t="n">
        <v>0</v>
      </c>
      <c r="R1898" s="2" t="inlineStr"/>
    </row>
    <row r="1899" ht="15" customHeight="1">
      <c r="A1899" t="inlineStr">
        <is>
          <t>A 30082-2019</t>
        </is>
      </c>
      <c r="B1899" s="1" t="n">
        <v>43633</v>
      </c>
      <c r="C1899" s="1" t="n">
        <v>45204</v>
      </c>
      <c r="D1899" t="inlineStr">
        <is>
          <t>VÄSTERBOTTENS LÄN</t>
        </is>
      </c>
      <c r="E1899" t="inlineStr">
        <is>
          <t>LYCKSELE</t>
        </is>
      </c>
      <c r="F1899" t="inlineStr">
        <is>
          <t>SCA</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30300-2019</t>
        </is>
      </c>
      <c r="B1900" s="1" t="n">
        <v>43633</v>
      </c>
      <c r="C1900" s="1" t="n">
        <v>45204</v>
      </c>
      <c r="D1900" t="inlineStr">
        <is>
          <t>VÄSTERBOTTENS LÄN</t>
        </is>
      </c>
      <c r="E1900" t="inlineStr">
        <is>
          <t>DOROTEA</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30420-2019</t>
        </is>
      </c>
      <c r="B1901" s="1" t="n">
        <v>43633</v>
      </c>
      <c r="C1901" s="1" t="n">
        <v>45204</v>
      </c>
      <c r="D1901" t="inlineStr">
        <is>
          <t>VÄSTERBOTTENS LÄN</t>
        </is>
      </c>
      <c r="E1901" t="inlineStr">
        <is>
          <t>LYCKSELE</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30440-2019</t>
        </is>
      </c>
      <c r="B1902" s="1" t="n">
        <v>43633</v>
      </c>
      <c r="C1902" s="1" t="n">
        <v>45204</v>
      </c>
      <c r="D1902" t="inlineStr">
        <is>
          <t>VÄSTERBOTTENS LÄN</t>
        </is>
      </c>
      <c r="E1902" t="inlineStr">
        <is>
          <t>UMEÅ</t>
        </is>
      </c>
      <c r="G1902" t="n">
        <v>3.3</v>
      </c>
      <c r="H1902" t="n">
        <v>0</v>
      </c>
      <c r="I1902" t="n">
        <v>0</v>
      </c>
      <c r="J1902" t="n">
        <v>0</v>
      </c>
      <c r="K1902" t="n">
        <v>0</v>
      </c>
      <c r="L1902" t="n">
        <v>0</v>
      </c>
      <c r="M1902" t="n">
        <v>0</v>
      </c>
      <c r="N1902" t="n">
        <v>0</v>
      </c>
      <c r="O1902" t="n">
        <v>0</v>
      </c>
      <c r="P1902" t="n">
        <v>0</v>
      </c>
      <c r="Q1902" t="n">
        <v>0</v>
      </c>
      <c r="R1902" s="2" t="inlineStr"/>
    </row>
    <row r="1903" ht="15" customHeight="1">
      <c r="A1903" t="inlineStr">
        <is>
          <t>A 30335-2019</t>
        </is>
      </c>
      <c r="B1903" s="1" t="n">
        <v>43634</v>
      </c>
      <c r="C1903" s="1" t="n">
        <v>45204</v>
      </c>
      <c r="D1903" t="inlineStr">
        <is>
          <t>VÄSTERBOTTENS LÄN</t>
        </is>
      </c>
      <c r="E1903" t="inlineStr">
        <is>
          <t>LYCKSELE</t>
        </is>
      </c>
      <c r="F1903" t="inlineStr">
        <is>
          <t>Sveaskog</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30354-2019</t>
        </is>
      </c>
      <c r="B1904" s="1" t="n">
        <v>43634</v>
      </c>
      <c r="C1904" s="1" t="n">
        <v>45204</v>
      </c>
      <c r="D1904" t="inlineStr">
        <is>
          <t>VÄSTERBOTTENS LÄN</t>
        </is>
      </c>
      <c r="E1904" t="inlineStr">
        <is>
          <t>BJURHOLM</t>
        </is>
      </c>
      <c r="G1904" t="n">
        <v>6.6</v>
      </c>
      <c r="H1904" t="n">
        <v>0</v>
      </c>
      <c r="I1904" t="n">
        <v>0</v>
      </c>
      <c r="J1904" t="n">
        <v>0</v>
      </c>
      <c r="K1904" t="n">
        <v>0</v>
      </c>
      <c r="L1904" t="n">
        <v>0</v>
      </c>
      <c r="M1904" t="n">
        <v>0</v>
      </c>
      <c r="N1904" t="n">
        <v>0</v>
      </c>
      <c r="O1904" t="n">
        <v>0</v>
      </c>
      <c r="P1904" t="n">
        <v>0</v>
      </c>
      <c r="Q1904" t="n">
        <v>0</v>
      </c>
      <c r="R1904" s="2" t="inlineStr"/>
    </row>
    <row r="1905" ht="15" customHeight="1">
      <c r="A1905" t="inlineStr">
        <is>
          <t>A 30187-2019</t>
        </is>
      </c>
      <c r="B1905" s="1" t="n">
        <v>43634</v>
      </c>
      <c r="C1905" s="1" t="n">
        <v>45204</v>
      </c>
      <c r="D1905" t="inlineStr">
        <is>
          <t>VÄSTERBOTTENS LÄN</t>
        </is>
      </c>
      <c r="E1905" t="inlineStr">
        <is>
          <t>UMEÅ</t>
        </is>
      </c>
      <c r="F1905" t="inlineStr">
        <is>
          <t>Holmen skog AB</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30333-2019</t>
        </is>
      </c>
      <c r="B1906" s="1" t="n">
        <v>43634</v>
      </c>
      <c r="C1906" s="1" t="n">
        <v>45204</v>
      </c>
      <c r="D1906" t="inlineStr">
        <is>
          <t>VÄSTERBOTTENS LÄN</t>
        </is>
      </c>
      <c r="E1906" t="inlineStr">
        <is>
          <t>LYCKSELE</t>
        </is>
      </c>
      <c r="F1906" t="inlineStr">
        <is>
          <t>Sveaskog</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30559-2019</t>
        </is>
      </c>
      <c r="B1907" s="1" t="n">
        <v>43634</v>
      </c>
      <c r="C1907" s="1" t="n">
        <v>45204</v>
      </c>
      <c r="D1907" t="inlineStr">
        <is>
          <t>VÄSTERBOTTENS LÄN</t>
        </is>
      </c>
      <c r="E1907" t="inlineStr">
        <is>
          <t>SKELLEFTEÅ</t>
        </is>
      </c>
      <c r="G1907" t="n">
        <v>4.6</v>
      </c>
      <c r="H1907" t="n">
        <v>0</v>
      </c>
      <c r="I1907" t="n">
        <v>0</v>
      </c>
      <c r="J1907" t="n">
        <v>0</v>
      </c>
      <c r="K1907" t="n">
        <v>0</v>
      </c>
      <c r="L1907" t="n">
        <v>0</v>
      </c>
      <c r="M1907" t="n">
        <v>0</v>
      </c>
      <c r="N1907" t="n">
        <v>0</v>
      </c>
      <c r="O1907" t="n">
        <v>0</v>
      </c>
      <c r="P1907" t="n">
        <v>0</v>
      </c>
      <c r="Q1907" t="n">
        <v>0</v>
      </c>
      <c r="R1907" s="2" t="inlineStr"/>
    </row>
    <row r="1908" ht="15" customHeight="1">
      <c r="A1908" t="inlineStr">
        <is>
          <t>A 30505-2019</t>
        </is>
      </c>
      <c r="B1908" s="1" t="n">
        <v>43634</v>
      </c>
      <c r="C1908" s="1" t="n">
        <v>45204</v>
      </c>
      <c r="D1908" t="inlineStr">
        <is>
          <t>VÄSTERBOTTENS LÄN</t>
        </is>
      </c>
      <c r="E1908" t="inlineStr">
        <is>
          <t>ROBERTSFORS</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30452-2019</t>
        </is>
      </c>
      <c r="B1909" s="1" t="n">
        <v>43635</v>
      </c>
      <c r="C1909" s="1" t="n">
        <v>45204</v>
      </c>
      <c r="D1909" t="inlineStr">
        <is>
          <t>VÄSTERBOTTENS LÄN</t>
        </is>
      </c>
      <c r="E1909" t="inlineStr">
        <is>
          <t>SKELLEFTEÅ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31184-2019</t>
        </is>
      </c>
      <c r="B1910" s="1" t="n">
        <v>43635</v>
      </c>
      <c r="C1910" s="1" t="n">
        <v>45204</v>
      </c>
      <c r="D1910" t="inlineStr">
        <is>
          <t>VÄSTERBOTTENS LÄN</t>
        </is>
      </c>
      <c r="E1910" t="inlineStr">
        <is>
          <t>MALÅ</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30754-2019</t>
        </is>
      </c>
      <c r="B1911" s="1" t="n">
        <v>43636</v>
      </c>
      <c r="C1911" s="1" t="n">
        <v>45204</v>
      </c>
      <c r="D1911" t="inlineStr">
        <is>
          <t>VÄSTERBOTTENS LÄN</t>
        </is>
      </c>
      <c r="E1911" t="inlineStr">
        <is>
          <t>SKELLEFTEÅ</t>
        </is>
      </c>
      <c r="F1911" t="inlineStr">
        <is>
          <t>Holmen skog AB</t>
        </is>
      </c>
      <c r="G1911" t="n">
        <v>9.4</v>
      </c>
      <c r="H1911" t="n">
        <v>0</v>
      </c>
      <c r="I1911" t="n">
        <v>0</v>
      </c>
      <c r="J1911" t="n">
        <v>0</v>
      </c>
      <c r="K1911" t="n">
        <v>0</v>
      </c>
      <c r="L1911" t="n">
        <v>0</v>
      </c>
      <c r="M1911" t="n">
        <v>0</v>
      </c>
      <c r="N1911" t="n">
        <v>0</v>
      </c>
      <c r="O1911" t="n">
        <v>0</v>
      </c>
      <c r="P1911" t="n">
        <v>0</v>
      </c>
      <c r="Q1911" t="n">
        <v>0</v>
      </c>
      <c r="R1911" s="2" t="inlineStr"/>
    </row>
    <row r="1912" ht="15" customHeight="1">
      <c r="A1912" t="inlineStr">
        <is>
          <t>A 30882-2019</t>
        </is>
      </c>
      <c r="B1912" s="1" t="n">
        <v>43636</v>
      </c>
      <c r="C1912" s="1" t="n">
        <v>45204</v>
      </c>
      <c r="D1912" t="inlineStr">
        <is>
          <t>VÄSTERBOTTENS LÄN</t>
        </is>
      </c>
      <c r="E1912" t="inlineStr">
        <is>
          <t>BJURHOLM</t>
        </is>
      </c>
      <c r="F1912" t="inlineStr">
        <is>
          <t>Sveaskog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30804-2019</t>
        </is>
      </c>
      <c r="B1913" s="1" t="n">
        <v>43636</v>
      </c>
      <c r="C1913" s="1" t="n">
        <v>45204</v>
      </c>
      <c r="D1913" t="inlineStr">
        <is>
          <t>VÄSTERBOTTENS LÄN</t>
        </is>
      </c>
      <c r="E1913" t="inlineStr">
        <is>
          <t>SKELLEFTEÅ</t>
        </is>
      </c>
      <c r="F1913" t="inlineStr">
        <is>
          <t>Holmen skog AB</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32374-2019</t>
        </is>
      </c>
      <c r="B1914" s="1" t="n">
        <v>43636</v>
      </c>
      <c r="C1914" s="1" t="n">
        <v>45204</v>
      </c>
      <c r="D1914" t="inlineStr">
        <is>
          <t>VÄSTERBOTTENS LÄN</t>
        </is>
      </c>
      <c r="E1914" t="inlineStr">
        <is>
          <t>DOROTEA</t>
        </is>
      </c>
      <c r="F1914" t="inlineStr">
        <is>
          <t>SCA</t>
        </is>
      </c>
      <c r="G1914" t="n">
        <v>9.9</v>
      </c>
      <c r="H1914" t="n">
        <v>0</v>
      </c>
      <c r="I1914" t="n">
        <v>0</v>
      </c>
      <c r="J1914" t="n">
        <v>0</v>
      </c>
      <c r="K1914" t="n">
        <v>0</v>
      </c>
      <c r="L1914" t="n">
        <v>0</v>
      </c>
      <c r="M1914" t="n">
        <v>0</v>
      </c>
      <c r="N1914" t="n">
        <v>0</v>
      </c>
      <c r="O1914" t="n">
        <v>0</v>
      </c>
      <c r="P1914" t="n">
        <v>0</v>
      </c>
      <c r="Q1914" t="n">
        <v>0</v>
      </c>
      <c r="R1914" s="2" t="inlineStr"/>
    </row>
    <row r="1915" ht="15" customHeight="1">
      <c r="A1915" t="inlineStr">
        <is>
          <t>A 30965-2019</t>
        </is>
      </c>
      <c r="B1915" s="1" t="n">
        <v>43639</v>
      </c>
      <c r="C1915" s="1" t="n">
        <v>45204</v>
      </c>
      <c r="D1915" t="inlineStr">
        <is>
          <t>VÄSTERBOTTENS LÄN</t>
        </is>
      </c>
      <c r="E1915" t="inlineStr">
        <is>
          <t>UMEÅ</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30966-2019</t>
        </is>
      </c>
      <c r="B1916" s="1" t="n">
        <v>43639</v>
      </c>
      <c r="C1916" s="1" t="n">
        <v>45204</v>
      </c>
      <c r="D1916" t="inlineStr">
        <is>
          <t>VÄSTERBOTTENS LÄN</t>
        </is>
      </c>
      <c r="E1916" t="inlineStr">
        <is>
          <t>UMEÅ</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30964-2019</t>
        </is>
      </c>
      <c r="B1917" s="1" t="n">
        <v>43639</v>
      </c>
      <c r="C1917" s="1" t="n">
        <v>45204</v>
      </c>
      <c r="D1917" t="inlineStr">
        <is>
          <t>VÄSTERBOTTENS LÄN</t>
        </is>
      </c>
      <c r="E1917" t="inlineStr">
        <is>
          <t>UMEÅ</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31612-2019</t>
        </is>
      </c>
      <c r="B1918" s="1" t="n">
        <v>43640</v>
      </c>
      <c r="C1918" s="1" t="n">
        <v>45204</v>
      </c>
      <c r="D1918" t="inlineStr">
        <is>
          <t>VÄSTERBOTTENS LÄN</t>
        </is>
      </c>
      <c r="E1918" t="inlineStr">
        <is>
          <t>VILHELMINA</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31610-2019</t>
        </is>
      </c>
      <c r="B1919" s="1" t="n">
        <v>43640</v>
      </c>
      <c r="C1919" s="1" t="n">
        <v>45204</v>
      </c>
      <c r="D1919" t="inlineStr">
        <is>
          <t>VÄSTERBOTTENS LÄN</t>
        </is>
      </c>
      <c r="E1919" t="inlineStr">
        <is>
          <t>VILHELMINA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31012-2019</t>
        </is>
      </c>
      <c r="B1920" s="1" t="n">
        <v>43640</v>
      </c>
      <c r="C1920" s="1" t="n">
        <v>45204</v>
      </c>
      <c r="D1920" t="inlineStr">
        <is>
          <t>VÄSTERBOTTENS LÄN</t>
        </is>
      </c>
      <c r="E1920" t="inlineStr">
        <is>
          <t>SKELLEFTEÅ</t>
        </is>
      </c>
      <c r="F1920" t="inlineStr">
        <is>
          <t>Holmen skog AB</t>
        </is>
      </c>
      <c r="G1920" t="n">
        <v>6.3</v>
      </c>
      <c r="H1920" t="n">
        <v>0</v>
      </c>
      <c r="I1920" t="n">
        <v>0</v>
      </c>
      <c r="J1920" t="n">
        <v>0</v>
      </c>
      <c r="K1920" t="n">
        <v>0</v>
      </c>
      <c r="L1920" t="n">
        <v>0</v>
      </c>
      <c r="M1920" t="n">
        <v>0</v>
      </c>
      <c r="N1920" t="n">
        <v>0</v>
      </c>
      <c r="O1920" t="n">
        <v>0</v>
      </c>
      <c r="P1920" t="n">
        <v>0</v>
      </c>
      <c r="Q1920" t="n">
        <v>0</v>
      </c>
      <c r="R1920" s="2" t="inlineStr"/>
      <c r="U1920">
        <f>HYPERLINK("https://klasma.github.io/Logging_SKELLEFTEA/knärot/A 31012-2019.png", "A 31012-2019")</f>
        <v/>
      </c>
      <c r="V1920">
        <f>HYPERLINK("https://klasma.github.io/Logging_SKELLEFTEA/klagomål/A 31012-2019.docx", "A 31012-2019")</f>
        <v/>
      </c>
      <c r="W1920">
        <f>HYPERLINK("https://klasma.github.io/Logging_SKELLEFTEA/klagomålsmail/A 31012-2019.docx", "A 31012-2019")</f>
        <v/>
      </c>
      <c r="X1920">
        <f>HYPERLINK("https://klasma.github.io/Logging_SKELLEFTEA/tillsyn/A 31012-2019.docx", "A 31012-2019")</f>
        <v/>
      </c>
      <c r="Y1920">
        <f>HYPERLINK("https://klasma.github.io/Logging_SKELLEFTEA/tillsynsmail/A 31012-2019.docx", "A 31012-2019")</f>
        <v/>
      </c>
    </row>
    <row r="1921" ht="15" customHeight="1">
      <c r="A1921" t="inlineStr">
        <is>
          <t>A 31265-2019</t>
        </is>
      </c>
      <c r="B1921" s="1" t="n">
        <v>43640</v>
      </c>
      <c r="C1921" s="1" t="n">
        <v>45204</v>
      </c>
      <c r="D1921" t="inlineStr">
        <is>
          <t>VÄSTERBOTTENS LÄN</t>
        </is>
      </c>
      <c r="E1921" t="inlineStr">
        <is>
          <t>UMEÅ</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31471-2019</t>
        </is>
      </c>
      <c r="B1922" s="1" t="n">
        <v>43640</v>
      </c>
      <c r="C1922" s="1" t="n">
        <v>45204</v>
      </c>
      <c r="D1922" t="inlineStr">
        <is>
          <t>VÄSTERBOTTENS LÄN</t>
        </is>
      </c>
      <c r="E1922" t="inlineStr">
        <is>
          <t>VÄNNÄS</t>
        </is>
      </c>
      <c r="G1922" t="n">
        <v>8.199999999999999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31615-2019</t>
        </is>
      </c>
      <c r="B1923" s="1" t="n">
        <v>43640</v>
      </c>
      <c r="C1923" s="1" t="n">
        <v>45204</v>
      </c>
      <c r="D1923" t="inlineStr">
        <is>
          <t>VÄSTERBOTTENS LÄN</t>
        </is>
      </c>
      <c r="E1923" t="inlineStr">
        <is>
          <t>VILHELMINA</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31845-2019</t>
        </is>
      </c>
      <c r="B1924" s="1" t="n">
        <v>43640</v>
      </c>
      <c r="C1924" s="1" t="n">
        <v>45204</v>
      </c>
      <c r="D1924" t="inlineStr">
        <is>
          <t>VÄSTERBOTTENS LÄN</t>
        </is>
      </c>
      <c r="E1924" t="inlineStr">
        <is>
          <t>VILHELMINA</t>
        </is>
      </c>
      <c r="G1924" t="n">
        <v>10.9</v>
      </c>
      <c r="H1924" t="n">
        <v>0</v>
      </c>
      <c r="I1924" t="n">
        <v>0</v>
      </c>
      <c r="J1924" t="n">
        <v>0</v>
      </c>
      <c r="K1924" t="n">
        <v>0</v>
      </c>
      <c r="L1924" t="n">
        <v>0</v>
      </c>
      <c r="M1924" t="n">
        <v>0</v>
      </c>
      <c r="N1924" t="n">
        <v>0</v>
      </c>
      <c r="O1924" t="n">
        <v>0</v>
      </c>
      <c r="P1924" t="n">
        <v>0</v>
      </c>
      <c r="Q1924" t="n">
        <v>0</v>
      </c>
      <c r="R1924" s="2" t="inlineStr"/>
    </row>
    <row r="1925" ht="15" customHeight="1">
      <c r="A1925" t="inlineStr">
        <is>
          <t>A 31607-2019</t>
        </is>
      </c>
      <c r="B1925" s="1" t="n">
        <v>43640</v>
      </c>
      <c r="C1925" s="1" t="n">
        <v>45204</v>
      </c>
      <c r="D1925" t="inlineStr">
        <is>
          <t>VÄSTERBOTTENS LÄN</t>
        </is>
      </c>
      <c r="E1925" t="inlineStr">
        <is>
          <t>VILHELMINA</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31322-2019</t>
        </is>
      </c>
      <c r="B1926" s="1" t="n">
        <v>43641</v>
      </c>
      <c r="C1926" s="1" t="n">
        <v>45204</v>
      </c>
      <c r="D1926" t="inlineStr">
        <is>
          <t>VÄSTERBOTTENS LÄN</t>
        </is>
      </c>
      <c r="E1926" t="inlineStr">
        <is>
          <t>SKELLEFTEÅ</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31919-2019</t>
        </is>
      </c>
      <c r="B1927" s="1" t="n">
        <v>43641</v>
      </c>
      <c r="C1927" s="1" t="n">
        <v>45204</v>
      </c>
      <c r="D1927" t="inlineStr">
        <is>
          <t>VÄSTERBOTTENS LÄN</t>
        </is>
      </c>
      <c r="E1927" t="inlineStr">
        <is>
          <t>UMEÅ</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31511-2019</t>
        </is>
      </c>
      <c r="B1928" s="1" t="n">
        <v>43641</v>
      </c>
      <c r="C1928" s="1" t="n">
        <v>45204</v>
      </c>
      <c r="D1928" t="inlineStr">
        <is>
          <t>VÄSTERBOTTENS LÄN</t>
        </is>
      </c>
      <c r="E1928" t="inlineStr">
        <is>
          <t>VILHELMINA</t>
        </is>
      </c>
      <c r="G1928" t="n">
        <v>21.8</v>
      </c>
      <c r="H1928" t="n">
        <v>0</v>
      </c>
      <c r="I1928" t="n">
        <v>0</v>
      </c>
      <c r="J1928" t="n">
        <v>0</v>
      </c>
      <c r="K1928" t="n">
        <v>0</v>
      </c>
      <c r="L1928" t="n">
        <v>0</v>
      </c>
      <c r="M1928" t="n">
        <v>0</v>
      </c>
      <c r="N1928" t="n">
        <v>0</v>
      </c>
      <c r="O1928" t="n">
        <v>0</v>
      </c>
      <c r="P1928" t="n">
        <v>0</v>
      </c>
      <c r="Q1928" t="n">
        <v>0</v>
      </c>
      <c r="R1928" s="2" t="inlineStr"/>
    </row>
    <row r="1929" ht="15" customHeight="1">
      <c r="A1929" t="inlineStr">
        <is>
          <t>A 31816-2019</t>
        </is>
      </c>
      <c r="B1929" s="1" t="n">
        <v>43641</v>
      </c>
      <c r="C1929" s="1" t="n">
        <v>45204</v>
      </c>
      <c r="D1929" t="inlineStr">
        <is>
          <t>VÄSTERBOTTENS LÄN</t>
        </is>
      </c>
      <c r="E1929" t="inlineStr">
        <is>
          <t>VINDELN</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31500-2019</t>
        </is>
      </c>
      <c r="B1930" s="1" t="n">
        <v>43641</v>
      </c>
      <c r="C1930" s="1" t="n">
        <v>45204</v>
      </c>
      <c r="D1930" t="inlineStr">
        <is>
          <t>VÄSTERBOTTENS LÄN</t>
        </is>
      </c>
      <c r="E1930" t="inlineStr">
        <is>
          <t>SKELLEFTEÅ</t>
        </is>
      </c>
      <c r="F1930" t="inlineStr">
        <is>
          <t>Holmen skog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31917-2019</t>
        </is>
      </c>
      <c r="B1931" s="1" t="n">
        <v>43641</v>
      </c>
      <c r="C1931" s="1" t="n">
        <v>45204</v>
      </c>
      <c r="D1931" t="inlineStr">
        <is>
          <t>VÄSTERBOTTENS LÄN</t>
        </is>
      </c>
      <c r="E1931" t="inlineStr">
        <is>
          <t>LYCKSELE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31745-2019</t>
        </is>
      </c>
      <c r="B1932" s="1" t="n">
        <v>43642</v>
      </c>
      <c r="C1932" s="1" t="n">
        <v>45204</v>
      </c>
      <c r="D1932" t="inlineStr">
        <is>
          <t>VÄSTERBOTTENS LÄN</t>
        </is>
      </c>
      <c r="E1932" t="inlineStr">
        <is>
          <t>MALÅ</t>
        </is>
      </c>
      <c r="F1932" t="inlineStr">
        <is>
          <t>Sveaskog</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32074-2019</t>
        </is>
      </c>
      <c r="B1933" s="1" t="n">
        <v>43642</v>
      </c>
      <c r="C1933" s="1" t="n">
        <v>45204</v>
      </c>
      <c r="D1933" t="inlineStr">
        <is>
          <t>VÄSTERBOTTENS LÄN</t>
        </is>
      </c>
      <c r="E1933" t="inlineStr">
        <is>
          <t>LYCKSELE</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31876-2019</t>
        </is>
      </c>
      <c r="B1934" s="1" t="n">
        <v>43642</v>
      </c>
      <c r="C1934" s="1" t="n">
        <v>45204</v>
      </c>
      <c r="D1934" t="inlineStr">
        <is>
          <t>VÄSTERBOTTENS LÄN</t>
        </is>
      </c>
      <c r="E1934" t="inlineStr">
        <is>
          <t>LYCKSELE</t>
        </is>
      </c>
      <c r="F1934" t="inlineStr">
        <is>
          <t>Holmen skog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31886-2019</t>
        </is>
      </c>
      <c r="B1935" s="1" t="n">
        <v>43642</v>
      </c>
      <c r="C1935" s="1" t="n">
        <v>45204</v>
      </c>
      <c r="D1935" t="inlineStr">
        <is>
          <t>VÄSTERBOTTENS LÄN</t>
        </is>
      </c>
      <c r="E1935" t="inlineStr">
        <is>
          <t>LYCKSELE</t>
        </is>
      </c>
      <c r="F1935" t="inlineStr">
        <is>
          <t>Holmen skog AB</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31883-2019</t>
        </is>
      </c>
      <c r="B1936" s="1" t="n">
        <v>43642</v>
      </c>
      <c r="C1936" s="1" t="n">
        <v>45204</v>
      </c>
      <c r="D1936" t="inlineStr">
        <is>
          <t>VÄSTERBOTTENS LÄN</t>
        </is>
      </c>
      <c r="E1936" t="inlineStr">
        <is>
          <t>LYCKSELE</t>
        </is>
      </c>
      <c r="F1936" t="inlineStr">
        <is>
          <t>Holmen skog AB</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31933-2019</t>
        </is>
      </c>
      <c r="B1937" s="1" t="n">
        <v>43642</v>
      </c>
      <c r="C1937" s="1" t="n">
        <v>45204</v>
      </c>
      <c r="D1937" t="inlineStr">
        <is>
          <t>VÄSTERBOTTENS LÄN</t>
        </is>
      </c>
      <c r="E1937" t="inlineStr">
        <is>
          <t>ROBERTSFORS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32079-2019</t>
        </is>
      </c>
      <c r="B1938" s="1" t="n">
        <v>43642</v>
      </c>
      <c r="C1938" s="1" t="n">
        <v>45204</v>
      </c>
      <c r="D1938" t="inlineStr">
        <is>
          <t>VÄSTERBOTTENS LÄN</t>
        </is>
      </c>
      <c r="E1938" t="inlineStr">
        <is>
          <t>UMEÅ</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31629-2019</t>
        </is>
      </c>
      <c r="B1939" s="1" t="n">
        <v>43642</v>
      </c>
      <c r="C1939" s="1" t="n">
        <v>45204</v>
      </c>
      <c r="D1939" t="inlineStr">
        <is>
          <t>VÄSTERBOTTENS LÄN</t>
        </is>
      </c>
      <c r="E1939" t="inlineStr">
        <is>
          <t>SKELLEFTEÅ</t>
        </is>
      </c>
      <c r="F1939" t="inlineStr">
        <is>
          <t>Holmen skog AB</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32083-2019</t>
        </is>
      </c>
      <c r="B1940" s="1" t="n">
        <v>43642</v>
      </c>
      <c r="C1940" s="1" t="n">
        <v>45204</v>
      </c>
      <c r="D1940" t="inlineStr">
        <is>
          <t>VÄSTERBOTTENS LÄN</t>
        </is>
      </c>
      <c r="E1940" t="inlineStr">
        <is>
          <t>LYCKSELE</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31938-2019</t>
        </is>
      </c>
      <c r="B1941" s="1" t="n">
        <v>43643</v>
      </c>
      <c r="C1941" s="1" t="n">
        <v>45204</v>
      </c>
      <c r="D1941" t="inlineStr">
        <is>
          <t>VÄSTERBOTTENS LÄN</t>
        </is>
      </c>
      <c r="E1941" t="inlineStr">
        <is>
          <t>UMEÅ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32477-2019</t>
        </is>
      </c>
      <c r="B1942" s="1" t="n">
        <v>43644</v>
      </c>
      <c r="C1942" s="1" t="n">
        <v>45204</v>
      </c>
      <c r="D1942" t="inlineStr">
        <is>
          <t>VÄSTERBOTTENS LÄN</t>
        </is>
      </c>
      <c r="E1942" t="inlineStr">
        <is>
          <t>VINDELN</t>
        </is>
      </c>
      <c r="F1942" t="inlineStr">
        <is>
          <t>SCA</t>
        </is>
      </c>
      <c r="G1942" t="n">
        <v>11.1</v>
      </c>
      <c r="H1942" t="n">
        <v>0</v>
      </c>
      <c r="I1942" t="n">
        <v>0</v>
      </c>
      <c r="J1942" t="n">
        <v>0</v>
      </c>
      <c r="K1942" t="n">
        <v>0</v>
      </c>
      <c r="L1942" t="n">
        <v>0</v>
      </c>
      <c r="M1942" t="n">
        <v>0</v>
      </c>
      <c r="N1942" t="n">
        <v>0</v>
      </c>
      <c r="O1942" t="n">
        <v>0</v>
      </c>
      <c r="P1942" t="n">
        <v>0</v>
      </c>
      <c r="Q1942" t="n">
        <v>0</v>
      </c>
      <c r="R1942" s="2" t="inlineStr"/>
    </row>
    <row r="1943" ht="15" customHeight="1">
      <c r="A1943" t="inlineStr">
        <is>
          <t>A 33372-2019</t>
        </is>
      </c>
      <c r="B1943" s="1" t="n">
        <v>43644</v>
      </c>
      <c r="C1943" s="1" t="n">
        <v>45204</v>
      </c>
      <c r="D1943" t="inlineStr">
        <is>
          <t>VÄSTERBOTTENS LÄN</t>
        </is>
      </c>
      <c r="E1943" t="inlineStr">
        <is>
          <t>NORSJÖ</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33337-2019</t>
        </is>
      </c>
      <c r="B1944" s="1" t="n">
        <v>43644</v>
      </c>
      <c r="C1944" s="1" t="n">
        <v>45204</v>
      </c>
      <c r="D1944" t="inlineStr">
        <is>
          <t>VÄSTERBOTTENS LÄN</t>
        </is>
      </c>
      <c r="E1944" t="inlineStr">
        <is>
          <t>ROBERTSFORS</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33504-2019</t>
        </is>
      </c>
      <c r="B1945" s="1" t="n">
        <v>43644</v>
      </c>
      <c r="C1945" s="1" t="n">
        <v>45204</v>
      </c>
      <c r="D1945" t="inlineStr">
        <is>
          <t>VÄSTERBOTTENS LÄN</t>
        </is>
      </c>
      <c r="E1945" t="inlineStr">
        <is>
          <t>STORUMAN</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32239-2019</t>
        </is>
      </c>
      <c r="B1946" s="1" t="n">
        <v>43644</v>
      </c>
      <c r="C1946" s="1" t="n">
        <v>45204</v>
      </c>
      <c r="D1946" t="inlineStr">
        <is>
          <t>VÄSTERBOTTENS LÄN</t>
        </is>
      </c>
      <c r="E1946" t="inlineStr">
        <is>
          <t>SKELLEFTEÅ</t>
        </is>
      </c>
      <c r="F1946" t="inlineStr">
        <is>
          <t>Kyrkan</t>
        </is>
      </c>
      <c r="G1946" t="n">
        <v>5.2</v>
      </c>
      <c r="H1946" t="n">
        <v>0</v>
      </c>
      <c r="I1946" t="n">
        <v>0</v>
      </c>
      <c r="J1946" t="n">
        <v>0</v>
      </c>
      <c r="K1946" t="n">
        <v>0</v>
      </c>
      <c r="L1946" t="n">
        <v>0</v>
      </c>
      <c r="M1946" t="n">
        <v>0</v>
      </c>
      <c r="N1946" t="n">
        <v>0</v>
      </c>
      <c r="O1946" t="n">
        <v>0</v>
      </c>
      <c r="P1946" t="n">
        <v>0</v>
      </c>
      <c r="Q1946" t="n">
        <v>0</v>
      </c>
      <c r="R1946" s="2" t="inlineStr"/>
    </row>
    <row r="1947" ht="15" customHeight="1">
      <c r="A1947" t="inlineStr">
        <is>
          <t>A 32496-2019</t>
        </is>
      </c>
      <c r="B1947" s="1" t="n">
        <v>43644</v>
      </c>
      <c r="C1947" s="1" t="n">
        <v>45204</v>
      </c>
      <c r="D1947" t="inlineStr">
        <is>
          <t>VÄSTERBOTTENS LÄN</t>
        </is>
      </c>
      <c r="E1947" t="inlineStr">
        <is>
          <t>DOROTEA</t>
        </is>
      </c>
      <c r="F1947" t="inlineStr">
        <is>
          <t>SCA</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32343-2019</t>
        </is>
      </c>
      <c r="B1948" s="1" t="n">
        <v>43644</v>
      </c>
      <c r="C1948" s="1" t="n">
        <v>45204</v>
      </c>
      <c r="D1948" t="inlineStr">
        <is>
          <t>VÄSTERBOTTENS LÄN</t>
        </is>
      </c>
      <c r="E1948" t="inlineStr">
        <is>
          <t>SKELLEFTEÅ</t>
        </is>
      </c>
      <c r="F1948" t="inlineStr">
        <is>
          <t>Holmen skog AB</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32433-2019</t>
        </is>
      </c>
      <c r="B1949" s="1" t="n">
        <v>43644</v>
      </c>
      <c r="C1949" s="1" t="n">
        <v>45204</v>
      </c>
      <c r="D1949" t="inlineStr">
        <is>
          <t>VÄSTERBOTTENS LÄN</t>
        </is>
      </c>
      <c r="E1949" t="inlineStr">
        <is>
          <t>NORSJÖ</t>
        </is>
      </c>
      <c r="F1949" t="inlineStr">
        <is>
          <t>Holmen skog AB</t>
        </is>
      </c>
      <c r="G1949" t="n">
        <v>8</v>
      </c>
      <c r="H1949" t="n">
        <v>0</v>
      </c>
      <c r="I1949" t="n">
        <v>0</v>
      </c>
      <c r="J1949" t="n">
        <v>0</v>
      </c>
      <c r="K1949" t="n">
        <v>0</v>
      </c>
      <c r="L1949" t="n">
        <v>0</v>
      </c>
      <c r="M1949" t="n">
        <v>0</v>
      </c>
      <c r="N1949" t="n">
        <v>0</v>
      </c>
      <c r="O1949" t="n">
        <v>0</v>
      </c>
      <c r="P1949" t="n">
        <v>0</v>
      </c>
      <c r="Q1949" t="n">
        <v>0</v>
      </c>
      <c r="R1949" s="2" t="inlineStr"/>
    </row>
    <row r="1950" ht="15" customHeight="1">
      <c r="A1950" t="inlineStr">
        <is>
          <t>A 32439-2019</t>
        </is>
      </c>
      <c r="B1950" s="1" t="n">
        <v>43644</v>
      </c>
      <c r="C1950" s="1" t="n">
        <v>45204</v>
      </c>
      <c r="D1950" t="inlineStr">
        <is>
          <t>VÄSTERBOTTENS LÄN</t>
        </is>
      </c>
      <c r="E1950" t="inlineStr">
        <is>
          <t>VÄNNÄS</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33356-2019</t>
        </is>
      </c>
      <c r="B1951" s="1" t="n">
        <v>43644</v>
      </c>
      <c r="C1951" s="1" t="n">
        <v>45204</v>
      </c>
      <c r="D1951" t="inlineStr">
        <is>
          <t>VÄSTERBOTTENS LÄN</t>
        </is>
      </c>
      <c r="E1951" t="inlineStr">
        <is>
          <t>ROBERTSFORS</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33524-2019</t>
        </is>
      </c>
      <c r="B1952" s="1" t="n">
        <v>43644</v>
      </c>
      <c r="C1952" s="1" t="n">
        <v>45204</v>
      </c>
      <c r="D1952" t="inlineStr">
        <is>
          <t>VÄSTERBOTTENS LÄN</t>
        </is>
      </c>
      <c r="E1952" t="inlineStr">
        <is>
          <t>STORUMAN</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32645-2019</t>
        </is>
      </c>
      <c r="B1953" s="1" t="n">
        <v>43647</v>
      </c>
      <c r="C1953" s="1" t="n">
        <v>45204</v>
      </c>
      <c r="D1953" t="inlineStr">
        <is>
          <t>VÄSTERBOTTENS LÄN</t>
        </is>
      </c>
      <c r="E1953" t="inlineStr">
        <is>
          <t>VINDELN</t>
        </is>
      </c>
      <c r="F1953" t="inlineStr">
        <is>
          <t>Sveaskog</t>
        </is>
      </c>
      <c r="G1953" t="n">
        <v>5.6</v>
      </c>
      <c r="H1953" t="n">
        <v>0</v>
      </c>
      <c r="I1953" t="n">
        <v>0</v>
      </c>
      <c r="J1953" t="n">
        <v>0</v>
      </c>
      <c r="K1953" t="n">
        <v>0</v>
      </c>
      <c r="L1953" t="n">
        <v>0</v>
      </c>
      <c r="M1953" t="n">
        <v>0</v>
      </c>
      <c r="N1953" t="n">
        <v>0</v>
      </c>
      <c r="O1953" t="n">
        <v>0</v>
      </c>
      <c r="P1953" t="n">
        <v>0</v>
      </c>
      <c r="Q1953" t="n">
        <v>0</v>
      </c>
      <c r="R1953" s="2" t="inlineStr"/>
    </row>
    <row r="1954" ht="15" customHeight="1">
      <c r="A1954" t="inlineStr">
        <is>
          <t>A 32717-2019</t>
        </is>
      </c>
      <c r="B1954" s="1" t="n">
        <v>43647</v>
      </c>
      <c r="C1954" s="1" t="n">
        <v>45204</v>
      </c>
      <c r="D1954" t="inlineStr">
        <is>
          <t>VÄSTERBOTTENS LÄN</t>
        </is>
      </c>
      <c r="E1954" t="inlineStr">
        <is>
          <t>STORUMAN</t>
        </is>
      </c>
      <c r="F1954" t="inlineStr">
        <is>
          <t>Kyrkan</t>
        </is>
      </c>
      <c r="G1954" t="n">
        <v>10.4</v>
      </c>
      <c r="H1954" t="n">
        <v>0</v>
      </c>
      <c r="I1954" t="n">
        <v>0</v>
      </c>
      <c r="J1954" t="n">
        <v>0</v>
      </c>
      <c r="K1954" t="n">
        <v>0</v>
      </c>
      <c r="L1954" t="n">
        <v>0</v>
      </c>
      <c r="M1954" t="n">
        <v>0</v>
      </c>
      <c r="N1954" t="n">
        <v>0</v>
      </c>
      <c r="O1954" t="n">
        <v>0</v>
      </c>
      <c r="P1954" t="n">
        <v>0</v>
      </c>
      <c r="Q1954" t="n">
        <v>0</v>
      </c>
      <c r="R1954" s="2" t="inlineStr"/>
    </row>
    <row r="1955" ht="15" customHeight="1">
      <c r="A1955" t="inlineStr">
        <is>
          <t>A 34575-2019</t>
        </is>
      </c>
      <c r="B1955" s="1" t="n">
        <v>43647</v>
      </c>
      <c r="C1955" s="1" t="n">
        <v>45204</v>
      </c>
      <c r="D1955" t="inlineStr">
        <is>
          <t>VÄSTERBOTTENS LÄN</t>
        </is>
      </c>
      <c r="E1955" t="inlineStr">
        <is>
          <t>SKELLEFTEÅ</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34645-2019</t>
        </is>
      </c>
      <c r="B1956" s="1" t="n">
        <v>43647</v>
      </c>
      <c r="C1956" s="1" t="n">
        <v>45204</v>
      </c>
      <c r="D1956" t="inlineStr">
        <is>
          <t>VÄSTERBOTTENS LÄN</t>
        </is>
      </c>
      <c r="E1956" t="inlineStr">
        <is>
          <t>SKELLEFTEÅ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32609-2019</t>
        </is>
      </c>
      <c r="B1957" s="1" t="n">
        <v>43647</v>
      </c>
      <c r="C1957" s="1" t="n">
        <v>45204</v>
      </c>
      <c r="D1957" t="inlineStr">
        <is>
          <t>VÄSTERBOTTENS LÄN</t>
        </is>
      </c>
      <c r="E1957" t="inlineStr">
        <is>
          <t>VINDELN</t>
        </is>
      </c>
      <c r="F1957" t="inlineStr">
        <is>
          <t>Sveaskog</t>
        </is>
      </c>
      <c r="G1957" t="n">
        <v>4</v>
      </c>
      <c r="H1957" t="n">
        <v>0</v>
      </c>
      <c r="I1957" t="n">
        <v>0</v>
      </c>
      <c r="J1957" t="n">
        <v>0</v>
      </c>
      <c r="K1957" t="n">
        <v>0</v>
      </c>
      <c r="L1957" t="n">
        <v>0</v>
      </c>
      <c r="M1957" t="n">
        <v>0</v>
      </c>
      <c r="N1957" t="n">
        <v>0</v>
      </c>
      <c r="O1957" t="n">
        <v>0</v>
      </c>
      <c r="P1957" t="n">
        <v>0</v>
      </c>
      <c r="Q1957" t="n">
        <v>0</v>
      </c>
      <c r="R1957" s="2" t="inlineStr"/>
    </row>
    <row r="1958" ht="15" customHeight="1">
      <c r="A1958" t="inlineStr">
        <is>
          <t>A 32724-2019</t>
        </is>
      </c>
      <c r="B1958" s="1" t="n">
        <v>43647</v>
      </c>
      <c r="C1958" s="1" t="n">
        <v>45204</v>
      </c>
      <c r="D1958" t="inlineStr">
        <is>
          <t>VÄSTERBOTTENS LÄN</t>
        </is>
      </c>
      <c r="E1958" t="inlineStr">
        <is>
          <t>VINDELN</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34568-2019</t>
        </is>
      </c>
      <c r="B1959" s="1" t="n">
        <v>43647</v>
      </c>
      <c r="C1959" s="1" t="n">
        <v>45204</v>
      </c>
      <c r="D1959" t="inlineStr">
        <is>
          <t>VÄSTERBOTTENS LÄN</t>
        </is>
      </c>
      <c r="E1959" t="inlineStr">
        <is>
          <t>ROBERTSFORS</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32606-2019</t>
        </is>
      </c>
      <c r="B1960" s="1" t="n">
        <v>43647</v>
      </c>
      <c r="C1960" s="1" t="n">
        <v>45204</v>
      </c>
      <c r="D1960" t="inlineStr">
        <is>
          <t>VÄSTERBOTTENS LÄN</t>
        </is>
      </c>
      <c r="E1960" t="inlineStr">
        <is>
          <t>SKELLEFTEÅ</t>
        </is>
      </c>
      <c r="F1960" t="inlineStr">
        <is>
          <t>Holmen skog AB</t>
        </is>
      </c>
      <c r="G1960" t="n">
        <v>7.3</v>
      </c>
      <c r="H1960" t="n">
        <v>0</v>
      </c>
      <c r="I1960" t="n">
        <v>0</v>
      </c>
      <c r="J1960" t="n">
        <v>0</v>
      </c>
      <c r="K1960" t="n">
        <v>0</v>
      </c>
      <c r="L1960" t="n">
        <v>0</v>
      </c>
      <c r="M1960" t="n">
        <v>0</v>
      </c>
      <c r="N1960" t="n">
        <v>0</v>
      </c>
      <c r="O1960" t="n">
        <v>0</v>
      </c>
      <c r="P1960" t="n">
        <v>0</v>
      </c>
      <c r="Q1960" t="n">
        <v>0</v>
      </c>
      <c r="R1960" s="2" t="inlineStr"/>
    </row>
    <row r="1961" ht="15" customHeight="1">
      <c r="A1961" t="inlineStr">
        <is>
          <t>A 32723-2019</t>
        </is>
      </c>
      <c r="B1961" s="1" t="n">
        <v>43647</v>
      </c>
      <c r="C1961" s="1" t="n">
        <v>45204</v>
      </c>
      <c r="D1961" t="inlineStr">
        <is>
          <t>VÄSTERBOTTENS LÄN</t>
        </is>
      </c>
      <c r="E1961" t="inlineStr">
        <is>
          <t>VINDELN</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34627-2019</t>
        </is>
      </c>
      <c r="B1962" s="1" t="n">
        <v>43647</v>
      </c>
      <c r="C1962" s="1" t="n">
        <v>45204</v>
      </c>
      <c r="D1962" t="inlineStr">
        <is>
          <t>VÄSTERBOTTENS LÄN</t>
        </is>
      </c>
      <c r="E1962" t="inlineStr">
        <is>
          <t>SKELLEFTEÅ</t>
        </is>
      </c>
      <c r="G1962" t="n">
        <v>11.6</v>
      </c>
      <c r="H1962" t="n">
        <v>0</v>
      </c>
      <c r="I1962" t="n">
        <v>0</v>
      </c>
      <c r="J1962" t="n">
        <v>0</v>
      </c>
      <c r="K1962" t="n">
        <v>0</v>
      </c>
      <c r="L1962" t="n">
        <v>0</v>
      </c>
      <c r="M1962" t="n">
        <v>0</v>
      </c>
      <c r="N1962" t="n">
        <v>0</v>
      </c>
      <c r="O1962" t="n">
        <v>0</v>
      </c>
      <c r="P1962" t="n">
        <v>0</v>
      </c>
      <c r="Q1962" t="n">
        <v>0</v>
      </c>
      <c r="R1962" s="2" t="inlineStr"/>
    </row>
    <row r="1963" ht="15" customHeight="1">
      <c r="A1963" t="inlineStr">
        <is>
          <t>A 32866-2019</t>
        </is>
      </c>
      <c r="B1963" s="1" t="n">
        <v>43648</v>
      </c>
      <c r="C1963" s="1" t="n">
        <v>45204</v>
      </c>
      <c r="D1963" t="inlineStr">
        <is>
          <t>VÄSTERBOTTENS LÄN</t>
        </is>
      </c>
      <c r="E1963" t="inlineStr">
        <is>
          <t>SKELLEFTEÅ</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34724-2019</t>
        </is>
      </c>
      <c r="B1964" s="1" t="n">
        <v>43648</v>
      </c>
      <c r="C1964" s="1" t="n">
        <v>45204</v>
      </c>
      <c r="D1964" t="inlineStr">
        <is>
          <t>VÄSTERBOTTENS LÄN</t>
        </is>
      </c>
      <c r="E1964" t="inlineStr">
        <is>
          <t>NORSJÖ</t>
        </is>
      </c>
      <c r="G1964" t="n">
        <v>2.8</v>
      </c>
      <c r="H1964" t="n">
        <v>0</v>
      </c>
      <c r="I1964" t="n">
        <v>0</v>
      </c>
      <c r="J1964" t="n">
        <v>0</v>
      </c>
      <c r="K1964" t="n">
        <v>0</v>
      </c>
      <c r="L1964" t="n">
        <v>0</v>
      </c>
      <c r="M1964" t="n">
        <v>0</v>
      </c>
      <c r="N1964" t="n">
        <v>0</v>
      </c>
      <c r="O1964" t="n">
        <v>0</v>
      </c>
      <c r="P1964" t="n">
        <v>0</v>
      </c>
      <c r="Q1964" t="n">
        <v>0</v>
      </c>
      <c r="R1964" s="2" t="inlineStr"/>
    </row>
    <row r="1965" ht="15" customHeight="1">
      <c r="A1965" t="inlineStr">
        <is>
          <t>A 34685-2019</t>
        </is>
      </c>
      <c r="B1965" s="1" t="n">
        <v>43648</v>
      </c>
      <c r="C1965" s="1" t="n">
        <v>45204</v>
      </c>
      <c r="D1965" t="inlineStr">
        <is>
          <t>VÄSTERBOTTENS LÄN</t>
        </is>
      </c>
      <c r="E1965" t="inlineStr">
        <is>
          <t>SKELLEFTEÅ</t>
        </is>
      </c>
      <c r="G1965" t="n">
        <v>8.699999999999999</v>
      </c>
      <c r="H1965" t="n">
        <v>0</v>
      </c>
      <c r="I1965" t="n">
        <v>0</v>
      </c>
      <c r="J1965" t="n">
        <v>0</v>
      </c>
      <c r="K1965" t="n">
        <v>0</v>
      </c>
      <c r="L1965" t="n">
        <v>0</v>
      </c>
      <c r="M1965" t="n">
        <v>0</v>
      </c>
      <c r="N1965" t="n">
        <v>0</v>
      </c>
      <c r="O1965" t="n">
        <v>0</v>
      </c>
      <c r="P1965" t="n">
        <v>0</v>
      </c>
      <c r="Q1965" t="n">
        <v>0</v>
      </c>
      <c r="R1965" s="2" t="inlineStr"/>
    </row>
    <row r="1966" ht="15" customHeight="1">
      <c r="A1966" t="inlineStr">
        <is>
          <t>A 32977-2019</t>
        </is>
      </c>
      <c r="B1966" s="1" t="n">
        <v>43648</v>
      </c>
      <c r="C1966" s="1" t="n">
        <v>45204</v>
      </c>
      <c r="D1966" t="inlineStr">
        <is>
          <t>VÄSTERBOTTENS LÄN</t>
        </is>
      </c>
      <c r="E1966" t="inlineStr">
        <is>
          <t>NORSJÖ</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32787-2019</t>
        </is>
      </c>
      <c r="B1967" s="1" t="n">
        <v>43648</v>
      </c>
      <c r="C1967" s="1" t="n">
        <v>45204</v>
      </c>
      <c r="D1967" t="inlineStr">
        <is>
          <t>VÄSTERBOTTENS LÄN</t>
        </is>
      </c>
      <c r="E1967" t="inlineStr">
        <is>
          <t>VILHELMINA</t>
        </is>
      </c>
      <c r="G1967" t="n">
        <v>9.4</v>
      </c>
      <c r="H1967" t="n">
        <v>0</v>
      </c>
      <c r="I1967" t="n">
        <v>0</v>
      </c>
      <c r="J1967" t="n">
        <v>0</v>
      </c>
      <c r="K1967" t="n">
        <v>0</v>
      </c>
      <c r="L1967" t="n">
        <v>0</v>
      </c>
      <c r="M1967" t="n">
        <v>0</v>
      </c>
      <c r="N1967" t="n">
        <v>0</v>
      </c>
      <c r="O1967" t="n">
        <v>0</v>
      </c>
      <c r="P1967" t="n">
        <v>0</v>
      </c>
      <c r="Q1967" t="n">
        <v>0</v>
      </c>
      <c r="R1967" s="2" t="inlineStr"/>
    </row>
    <row r="1968" ht="15" customHeight="1">
      <c r="A1968" t="inlineStr">
        <is>
          <t>A 33009-2019</t>
        </is>
      </c>
      <c r="B1968" s="1" t="n">
        <v>43649</v>
      </c>
      <c r="C1968" s="1" t="n">
        <v>45204</v>
      </c>
      <c r="D1968" t="inlineStr">
        <is>
          <t>VÄSTERBOTTENS LÄN</t>
        </is>
      </c>
      <c r="E1968" t="inlineStr">
        <is>
          <t>NORSJÖ</t>
        </is>
      </c>
      <c r="F1968" t="inlineStr">
        <is>
          <t>Holmen skog AB</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33033-2019</t>
        </is>
      </c>
      <c r="B1969" s="1" t="n">
        <v>43649</v>
      </c>
      <c r="C1969" s="1" t="n">
        <v>45204</v>
      </c>
      <c r="D1969" t="inlineStr">
        <is>
          <t>VÄSTERBOTTENS LÄN</t>
        </is>
      </c>
      <c r="E1969" t="inlineStr">
        <is>
          <t>UMEÅ</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34894-2019</t>
        </is>
      </c>
      <c r="B1970" s="1" t="n">
        <v>43649</v>
      </c>
      <c r="C1970" s="1" t="n">
        <v>45204</v>
      </c>
      <c r="D1970" t="inlineStr">
        <is>
          <t>VÄSTERBOTTENS LÄN</t>
        </is>
      </c>
      <c r="E1970" t="inlineStr">
        <is>
          <t>SKELLEFTEÅ</t>
        </is>
      </c>
      <c r="G1970" t="n">
        <v>20.4</v>
      </c>
      <c r="H1970" t="n">
        <v>0</v>
      </c>
      <c r="I1970" t="n">
        <v>0</v>
      </c>
      <c r="J1970" t="n">
        <v>0</v>
      </c>
      <c r="K1970" t="n">
        <v>0</v>
      </c>
      <c r="L1970" t="n">
        <v>0</v>
      </c>
      <c r="M1970" t="n">
        <v>0</v>
      </c>
      <c r="N1970" t="n">
        <v>0</v>
      </c>
      <c r="O1970" t="n">
        <v>0</v>
      </c>
      <c r="P1970" t="n">
        <v>0</v>
      </c>
      <c r="Q1970" t="n">
        <v>0</v>
      </c>
      <c r="R1970" s="2" t="inlineStr"/>
    </row>
    <row r="1971" ht="15" customHeight="1">
      <c r="A1971" t="inlineStr">
        <is>
          <t>A 33193-2019</t>
        </is>
      </c>
      <c r="B1971" s="1" t="n">
        <v>43649</v>
      </c>
      <c r="C1971" s="1" t="n">
        <v>45204</v>
      </c>
      <c r="D1971" t="inlineStr">
        <is>
          <t>VÄSTERBOTTENS LÄN</t>
        </is>
      </c>
      <c r="E1971" t="inlineStr">
        <is>
          <t>SKELLEFTEÅ</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33203-2019</t>
        </is>
      </c>
      <c r="B1972" s="1" t="n">
        <v>43649</v>
      </c>
      <c r="C1972" s="1" t="n">
        <v>45204</v>
      </c>
      <c r="D1972" t="inlineStr">
        <is>
          <t>VÄSTERBOTTENS LÄN</t>
        </is>
      </c>
      <c r="E1972" t="inlineStr">
        <is>
          <t>LYCKSELE</t>
        </is>
      </c>
      <c r="F1972" t="inlineStr">
        <is>
          <t>Holmen skog AB</t>
        </is>
      </c>
      <c r="G1972" t="n">
        <v>20.2</v>
      </c>
      <c r="H1972" t="n">
        <v>0</v>
      </c>
      <c r="I1972" t="n">
        <v>0</v>
      </c>
      <c r="J1972" t="n">
        <v>0</v>
      </c>
      <c r="K1972" t="n">
        <v>0</v>
      </c>
      <c r="L1972" t="n">
        <v>0</v>
      </c>
      <c r="M1972" t="n">
        <v>0</v>
      </c>
      <c r="N1972" t="n">
        <v>0</v>
      </c>
      <c r="O1972" t="n">
        <v>0</v>
      </c>
      <c r="P1972" t="n">
        <v>0</v>
      </c>
      <c r="Q1972" t="n">
        <v>0</v>
      </c>
      <c r="R1972" s="2" t="inlineStr"/>
    </row>
    <row r="1973" ht="15" customHeight="1">
      <c r="A1973" t="inlineStr">
        <is>
          <t>A 34906-2019</t>
        </is>
      </c>
      <c r="B1973" s="1" t="n">
        <v>43649</v>
      </c>
      <c r="C1973" s="1" t="n">
        <v>45204</v>
      </c>
      <c r="D1973" t="inlineStr">
        <is>
          <t>VÄSTERBOTTENS LÄN</t>
        </is>
      </c>
      <c r="E1973" t="inlineStr">
        <is>
          <t>SKELLEFTEÅ</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33029-2019</t>
        </is>
      </c>
      <c r="B1974" s="1" t="n">
        <v>43649</v>
      </c>
      <c r="C1974" s="1" t="n">
        <v>45204</v>
      </c>
      <c r="D1974" t="inlineStr">
        <is>
          <t>VÄSTERBOTTENS LÄN</t>
        </is>
      </c>
      <c r="E1974" t="inlineStr">
        <is>
          <t>UMEÅ</t>
        </is>
      </c>
      <c r="G1974" t="n">
        <v>4.3</v>
      </c>
      <c r="H1974" t="n">
        <v>0</v>
      </c>
      <c r="I1974" t="n">
        <v>0</v>
      </c>
      <c r="J1974" t="n">
        <v>0</v>
      </c>
      <c r="K1974" t="n">
        <v>0</v>
      </c>
      <c r="L1974" t="n">
        <v>0</v>
      </c>
      <c r="M1974" t="n">
        <v>0</v>
      </c>
      <c r="N1974" t="n">
        <v>0</v>
      </c>
      <c r="O1974" t="n">
        <v>0</v>
      </c>
      <c r="P1974" t="n">
        <v>0</v>
      </c>
      <c r="Q1974" t="n">
        <v>0</v>
      </c>
      <c r="R1974" s="2" t="inlineStr"/>
    </row>
    <row r="1975" ht="15" customHeight="1">
      <c r="A1975" t="inlineStr">
        <is>
          <t>A 33063-2019</t>
        </is>
      </c>
      <c r="B1975" s="1" t="n">
        <v>43649</v>
      </c>
      <c r="C1975" s="1" t="n">
        <v>45204</v>
      </c>
      <c r="D1975" t="inlineStr">
        <is>
          <t>VÄSTERBOTTENS LÄN</t>
        </is>
      </c>
      <c r="E1975" t="inlineStr">
        <is>
          <t>SKELLEFTEÅ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34852-2019</t>
        </is>
      </c>
      <c r="B1976" s="1" t="n">
        <v>43649</v>
      </c>
      <c r="C1976" s="1" t="n">
        <v>45204</v>
      </c>
      <c r="D1976" t="inlineStr">
        <is>
          <t>VÄSTERBOTTENS LÄN</t>
        </is>
      </c>
      <c r="E1976" t="inlineStr">
        <is>
          <t>LYCKSELE</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33416-2019</t>
        </is>
      </c>
      <c r="B1977" s="1" t="n">
        <v>43650</v>
      </c>
      <c r="C1977" s="1" t="n">
        <v>45204</v>
      </c>
      <c r="D1977" t="inlineStr">
        <is>
          <t>VÄSTERBOTTENS LÄN</t>
        </is>
      </c>
      <c r="E1977" t="inlineStr">
        <is>
          <t>STORUMAN</t>
        </is>
      </c>
      <c r="F1977" t="inlineStr">
        <is>
          <t>Sveaskog</t>
        </is>
      </c>
      <c r="G1977" t="n">
        <v>3.4</v>
      </c>
      <c r="H1977" t="n">
        <v>0</v>
      </c>
      <c r="I1977" t="n">
        <v>0</v>
      </c>
      <c r="J1977" t="n">
        <v>0</v>
      </c>
      <c r="K1977" t="n">
        <v>0</v>
      </c>
      <c r="L1977" t="n">
        <v>0</v>
      </c>
      <c r="M1977" t="n">
        <v>0</v>
      </c>
      <c r="N1977" t="n">
        <v>0</v>
      </c>
      <c r="O1977" t="n">
        <v>0</v>
      </c>
      <c r="P1977" t="n">
        <v>0</v>
      </c>
      <c r="Q1977" t="n">
        <v>0</v>
      </c>
      <c r="R1977" s="2" t="inlineStr"/>
    </row>
    <row r="1978" ht="15" customHeight="1">
      <c r="A1978" t="inlineStr">
        <is>
          <t>A 33466-2019</t>
        </is>
      </c>
      <c r="B1978" s="1" t="n">
        <v>43650</v>
      </c>
      <c r="C1978" s="1" t="n">
        <v>45204</v>
      </c>
      <c r="D1978" t="inlineStr">
        <is>
          <t>VÄSTERBOTTENS LÄN</t>
        </is>
      </c>
      <c r="E1978" t="inlineStr">
        <is>
          <t>ROBERTSFORS</t>
        </is>
      </c>
      <c r="G1978" t="n">
        <v>5.8</v>
      </c>
      <c r="H1978" t="n">
        <v>0</v>
      </c>
      <c r="I1978" t="n">
        <v>0</v>
      </c>
      <c r="J1978" t="n">
        <v>0</v>
      </c>
      <c r="K1978" t="n">
        <v>0</v>
      </c>
      <c r="L1978" t="n">
        <v>0</v>
      </c>
      <c r="M1978" t="n">
        <v>0</v>
      </c>
      <c r="N1978" t="n">
        <v>0</v>
      </c>
      <c r="O1978" t="n">
        <v>0</v>
      </c>
      <c r="P1978" t="n">
        <v>0</v>
      </c>
      <c r="Q1978" t="n">
        <v>0</v>
      </c>
      <c r="R1978" s="2" t="inlineStr"/>
    </row>
    <row r="1979" ht="15" customHeight="1">
      <c r="A1979" t="inlineStr">
        <is>
          <t>A 33034-2019</t>
        </is>
      </c>
      <c r="B1979" s="1" t="n">
        <v>43650</v>
      </c>
      <c r="C1979" s="1" t="n">
        <v>45204</v>
      </c>
      <c r="D1979" t="inlineStr">
        <is>
          <t>VÄSTERBOTTENS LÄN</t>
        </is>
      </c>
      <c r="E1979" t="inlineStr">
        <is>
          <t>UMEÅ</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33467-2019</t>
        </is>
      </c>
      <c r="B1980" s="1" t="n">
        <v>43650</v>
      </c>
      <c r="C1980" s="1" t="n">
        <v>45204</v>
      </c>
      <c r="D1980" t="inlineStr">
        <is>
          <t>VÄSTERBOTTENS LÄN</t>
        </is>
      </c>
      <c r="E1980" t="inlineStr">
        <is>
          <t>VÄNNÄS</t>
        </is>
      </c>
      <c r="G1980" t="n">
        <v>10.4</v>
      </c>
      <c r="H1980" t="n">
        <v>0</v>
      </c>
      <c r="I1980" t="n">
        <v>0</v>
      </c>
      <c r="J1980" t="n">
        <v>0</v>
      </c>
      <c r="K1980" t="n">
        <v>0</v>
      </c>
      <c r="L1980" t="n">
        <v>0</v>
      </c>
      <c r="M1980" t="n">
        <v>0</v>
      </c>
      <c r="N1980" t="n">
        <v>0</v>
      </c>
      <c r="O1980" t="n">
        <v>0</v>
      </c>
      <c r="P1980" t="n">
        <v>0</v>
      </c>
      <c r="Q1980" t="n">
        <v>0</v>
      </c>
      <c r="R1980" s="2" t="inlineStr"/>
    </row>
    <row r="1981" ht="15" customHeight="1">
      <c r="A1981" t="inlineStr">
        <is>
          <t>A 33414-2019</t>
        </is>
      </c>
      <c r="B1981" s="1" t="n">
        <v>43650</v>
      </c>
      <c r="C1981" s="1" t="n">
        <v>45204</v>
      </c>
      <c r="D1981" t="inlineStr">
        <is>
          <t>VÄSTERBOTTENS LÄN</t>
        </is>
      </c>
      <c r="E1981" t="inlineStr">
        <is>
          <t>LYCKSELE</t>
        </is>
      </c>
      <c r="F1981" t="inlineStr">
        <is>
          <t>Holmen skog AB</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33484-2019</t>
        </is>
      </c>
      <c r="B1982" s="1" t="n">
        <v>43650</v>
      </c>
      <c r="C1982" s="1" t="n">
        <v>45204</v>
      </c>
      <c r="D1982" t="inlineStr">
        <is>
          <t>VÄSTERBOTTENS LÄN</t>
        </is>
      </c>
      <c r="E1982" t="inlineStr">
        <is>
          <t>NORSJÖ</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33261-2019</t>
        </is>
      </c>
      <c r="B1983" s="1" t="n">
        <v>43650</v>
      </c>
      <c r="C1983" s="1" t="n">
        <v>45204</v>
      </c>
      <c r="D1983" t="inlineStr">
        <is>
          <t>VÄSTERBOTTENS LÄN</t>
        </is>
      </c>
      <c r="E1983" t="inlineStr">
        <is>
          <t>NORDMALING</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33482-2019</t>
        </is>
      </c>
      <c r="B1984" s="1" t="n">
        <v>43650</v>
      </c>
      <c r="C1984" s="1" t="n">
        <v>45204</v>
      </c>
      <c r="D1984" t="inlineStr">
        <is>
          <t>VÄSTERBOTTENS LÄN</t>
        </is>
      </c>
      <c r="E1984" t="inlineStr">
        <is>
          <t>NORSJÖ</t>
        </is>
      </c>
      <c r="G1984" t="n">
        <v>6.1</v>
      </c>
      <c r="H1984" t="n">
        <v>0</v>
      </c>
      <c r="I1984" t="n">
        <v>0</v>
      </c>
      <c r="J1984" t="n">
        <v>0</v>
      </c>
      <c r="K1984" t="n">
        <v>0</v>
      </c>
      <c r="L1984" t="n">
        <v>0</v>
      </c>
      <c r="M1984" t="n">
        <v>0</v>
      </c>
      <c r="N1984" t="n">
        <v>0</v>
      </c>
      <c r="O1984" t="n">
        <v>0</v>
      </c>
      <c r="P1984" t="n">
        <v>0</v>
      </c>
      <c r="Q1984" t="n">
        <v>0</v>
      </c>
      <c r="R1984" s="2" t="inlineStr"/>
    </row>
    <row r="1985" ht="15" customHeight="1">
      <c r="A1985" t="inlineStr">
        <is>
          <t>A 35229-2019</t>
        </is>
      </c>
      <c r="B1985" s="1" t="n">
        <v>43650</v>
      </c>
      <c r="C1985" s="1" t="n">
        <v>45204</v>
      </c>
      <c r="D1985" t="inlineStr">
        <is>
          <t>VÄSTERBOTTENS LÄN</t>
        </is>
      </c>
      <c r="E1985" t="inlineStr">
        <is>
          <t>SKELLEFTEÅ</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35451-2019</t>
        </is>
      </c>
      <c r="B1986" s="1" t="n">
        <v>43651</v>
      </c>
      <c r="C1986" s="1" t="n">
        <v>45204</v>
      </c>
      <c r="D1986" t="inlineStr">
        <is>
          <t>VÄSTERBOTTENS LÄN</t>
        </is>
      </c>
      <c r="E1986" t="inlineStr">
        <is>
          <t>UMEÅ</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33491-2019</t>
        </is>
      </c>
      <c r="B1987" s="1" t="n">
        <v>43651</v>
      </c>
      <c r="C1987" s="1" t="n">
        <v>45204</v>
      </c>
      <c r="D1987" t="inlineStr">
        <is>
          <t>VÄSTERBOTTENS LÄN</t>
        </is>
      </c>
      <c r="E1987" t="inlineStr">
        <is>
          <t>MALÅ</t>
        </is>
      </c>
      <c r="F1987" t="inlineStr">
        <is>
          <t>Sveaskog</t>
        </is>
      </c>
      <c r="G1987" t="n">
        <v>5.4</v>
      </c>
      <c r="H1987" t="n">
        <v>0</v>
      </c>
      <c r="I1987" t="n">
        <v>0</v>
      </c>
      <c r="J1987" t="n">
        <v>0</v>
      </c>
      <c r="K1987" t="n">
        <v>0</v>
      </c>
      <c r="L1987" t="n">
        <v>0</v>
      </c>
      <c r="M1987" t="n">
        <v>0</v>
      </c>
      <c r="N1987" t="n">
        <v>0</v>
      </c>
      <c r="O1987" t="n">
        <v>0</v>
      </c>
      <c r="P1987" t="n">
        <v>0</v>
      </c>
      <c r="Q1987" t="n">
        <v>0</v>
      </c>
      <c r="R1987" s="2" t="inlineStr"/>
    </row>
    <row r="1988" ht="15" customHeight="1">
      <c r="A1988" t="inlineStr">
        <is>
          <t>A 33850-2019</t>
        </is>
      </c>
      <c r="B1988" s="1" t="n">
        <v>43651</v>
      </c>
      <c r="C1988" s="1" t="n">
        <v>45204</v>
      </c>
      <c r="D1988" t="inlineStr">
        <is>
          <t>VÄSTERBOTTENS LÄN</t>
        </is>
      </c>
      <c r="E1988" t="inlineStr">
        <is>
          <t>VINDELN</t>
        </is>
      </c>
      <c r="F1988" t="inlineStr">
        <is>
          <t>SCA</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35380-2019</t>
        </is>
      </c>
      <c r="B1989" s="1" t="n">
        <v>43651</v>
      </c>
      <c r="C1989" s="1" t="n">
        <v>45204</v>
      </c>
      <c r="D1989" t="inlineStr">
        <is>
          <t>VÄSTERBOTTENS LÄN</t>
        </is>
      </c>
      <c r="E1989" t="inlineStr">
        <is>
          <t>UMEÅ</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35445-2019</t>
        </is>
      </c>
      <c r="B1990" s="1" t="n">
        <v>43651</v>
      </c>
      <c r="C1990" s="1" t="n">
        <v>45204</v>
      </c>
      <c r="D1990" t="inlineStr">
        <is>
          <t>VÄSTERBOTTENS LÄN</t>
        </is>
      </c>
      <c r="E1990" t="inlineStr">
        <is>
          <t>SKELLEFTEÅ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35452-2019</t>
        </is>
      </c>
      <c r="B1991" s="1" t="n">
        <v>43651</v>
      </c>
      <c r="C1991" s="1" t="n">
        <v>45204</v>
      </c>
      <c r="D1991" t="inlineStr">
        <is>
          <t>VÄSTERBOTTENS LÄN</t>
        </is>
      </c>
      <c r="E1991" t="inlineStr">
        <is>
          <t>SKELLEFTEÅ</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33533-2019</t>
        </is>
      </c>
      <c r="B1992" s="1" t="n">
        <v>43651</v>
      </c>
      <c r="C1992" s="1" t="n">
        <v>45204</v>
      </c>
      <c r="D1992" t="inlineStr">
        <is>
          <t>VÄSTERBOTTENS LÄN</t>
        </is>
      </c>
      <c r="E1992" t="inlineStr">
        <is>
          <t>STORUMAN</t>
        </is>
      </c>
      <c r="F1992" t="inlineStr">
        <is>
          <t>Sveaskog</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33718-2019</t>
        </is>
      </c>
      <c r="B1993" s="1" t="n">
        <v>43651</v>
      </c>
      <c r="C1993" s="1" t="n">
        <v>45204</v>
      </c>
      <c r="D1993" t="inlineStr">
        <is>
          <t>VÄSTERBOTTENS LÄN</t>
        </is>
      </c>
      <c r="E1993" t="inlineStr">
        <is>
          <t>STORUMAN</t>
        </is>
      </c>
      <c r="F1993" t="inlineStr">
        <is>
          <t>Sveaskog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33810-2019</t>
        </is>
      </c>
      <c r="B1994" s="1" t="n">
        <v>43651</v>
      </c>
      <c r="C1994" s="1" t="n">
        <v>45204</v>
      </c>
      <c r="D1994" t="inlineStr">
        <is>
          <t>VÄSTERBOTTENS LÄN</t>
        </is>
      </c>
      <c r="E1994" t="inlineStr">
        <is>
          <t>LYCKSELE</t>
        </is>
      </c>
      <c r="F1994" t="inlineStr">
        <is>
          <t>Sveaskog</t>
        </is>
      </c>
      <c r="G1994" t="n">
        <v>18.9</v>
      </c>
      <c r="H1994" t="n">
        <v>0</v>
      </c>
      <c r="I1994" t="n">
        <v>0</v>
      </c>
      <c r="J1994" t="n">
        <v>0</v>
      </c>
      <c r="K1994" t="n">
        <v>0</v>
      </c>
      <c r="L1994" t="n">
        <v>0</v>
      </c>
      <c r="M1994" t="n">
        <v>0</v>
      </c>
      <c r="N1994" t="n">
        <v>0</v>
      </c>
      <c r="O1994" t="n">
        <v>0</v>
      </c>
      <c r="P1994" t="n">
        <v>0</v>
      </c>
      <c r="Q1994" t="n">
        <v>0</v>
      </c>
      <c r="R1994" s="2" t="inlineStr"/>
    </row>
    <row r="1995" ht="15" customHeight="1">
      <c r="A1995" t="inlineStr">
        <is>
          <t>A 35308-2019</t>
        </is>
      </c>
      <c r="B1995" s="1" t="n">
        <v>43651</v>
      </c>
      <c r="C1995" s="1" t="n">
        <v>45204</v>
      </c>
      <c r="D1995" t="inlineStr">
        <is>
          <t>VÄSTERBOTTENS LÄN</t>
        </is>
      </c>
      <c r="E1995" t="inlineStr">
        <is>
          <t>ROBERTSFORS</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35450-2019</t>
        </is>
      </c>
      <c r="B1996" s="1" t="n">
        <v>43651</v>
      </c>
      <c r="C1996" s="1" t="n">
        <v>45204</v>
      </c>
      <c r="D1996" t="inlineStr">
        <is>
          <t>VÄSTERBOTTENS LÄN</t>
        </is>
      </c>
      <c r="E1996" t="inlineStr">
        <is>
          <t>UMEÅ</t>
        </is>
      </c>
      <c r="G1996" t="n">
        <v>4.9</v>
      </c>
      <c r="H1996" t="n">
        <v>0</v>
      </c>
      <c r="I1996" t="n">
        <v>0</v>
      </c>
      <c r="J1996" t="n">
        <v>0</v>
      </c>
      <c r="K1996" t="n">
        <v>0</v>
      </c>
      <c r="L1996" t="n">
        <v>0</v>
      </c>
      <c r="M1996" t="n">
        <v>0</v>
      </c>
      <c r="N1996" t="n">
        <v>0</v>
      </c>
      <c r="O1996" t="n">
        <v>0</v>
      </c>
      <c r="P1996" t="n">
        <v>0</v>
      </c>
      <c r="Q1996" t="n">
        <v>0</v>
      </c>
      <c r="R1996" s="2" t="inlineStr"/>
    </row>
    <row r="1997" ht="15" customHeight="1">
      <c r="A1997" t="inlineStr">
        <is>
          <t>A 33888-2019</t>
        </is>
      </c>
      <c r="B1997" s="1" t="n">
        <v>43653</v>
      </c>
      <c r="C1997" s="1" t="n">
        <v>45204</v>
      </c>
      <c r="D1997" t="inlineStr">
        <is>
          <t>VÄSTERBOTTENS LÄN</t>
        </is>
      </c>
      <c r="E1997" t="inlineStr">
        <is>
          <t>SKELLEFTEÅ</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34089-2019</t>
        </is>
      </c>
      <c r="B1998" s="1" t="n">
        <v>43654</v>
      </c>
      <c r="C1998" s="1" t="n">
        <v>45204</v>
      </c>
      <c r="D1998" t="inlineStr">
        <is>
          <t>VÄSTERBOTTENS LÄN</t>
        </is>
      </c>
      <c r="E1998" t="inlineStr">
        <is>
          <t>SKELLEFTEÅ</t>
        </is>
      </c>
      <c r="F1998" t="inlineStr">
        <is>
          <t>Holmen skog AB</t>
        </is>
      </c>
      <c r="G1998" t="n">
        <v>20.9</v>
      </c>
      <c r="H1998" t="n">
        <v>0</v>
      </c>
      <c r="I1998" t="n">
        <v>0</v>
      </c>
      <c r="J1998" t="n">
        <v>0</v>
      </c>
      <c r="K1998" t="n">
        <v>0</v>
      </c>
      <c r="L1998" t="n">
        <v>0</v>
      </c>
      <c r="M1998" t="n">
        <v>0</v>
      </c>
      <c r="N1998" t="n">
        <v>0</v>
      </c>
      <c r="O1998" t="n">
        <v>0</v>
      </c>
      <c r="P1998" t="n">
        <v>0</v>
      </c>
      <c r="Q1998" t="n">
        <v>0</v>
      </c>
      <c r="R1998" s="2" t="inlineStr"/>
    </row>
    <row r="1999" ht="15" customHeight="1">
      <c r="A1999" t="inlineStr">
        <is>
          <t>A 35587-2019</t>
        </is>
      </c>
      <c r="B1999" s="1" t="n">
        <v>43654</v>
      </c>
      <c r="C1999" s="1" t="n">
        <v>45204</v>
      </c>
      <c r="D1999" t="inlineStr">
        <is>
          <t>VÄSTERBOTTENS LÄN</t>
        </is>
      </c>
      <c r="E1999" t="inlineStr">
        <is>
          <t>VINDELN</t>
        </is>
      </c>
      <c r="G1999" t="n">
        <v>8</v>
      </c>
      <c r="H1999" t="n">
        <v>0</v>
      </c>
      <c r="I1999" t="n">
        <v>0</v>
      </c>
      <c r="J1999" t="n">
        <v>0</v>
      </c>
      <c r="K1999" t="n">
        <v>0</v>
      </c>
      <c r="L1999" t="n">
        <v>0</v>
      </c>
      <c r="M1999" t="n">
        <v>0</v>
      </c>
      <c r="N1999" t="n">
        <v>0</v>
      </c>
      <c r="O1999" t="n">
        <v>0</v>
      </c>
      <c r="P1999" t="n">
        <v>0</v>
      </c>
      <c r="Q1999" t="n">
        <v>0</v>
      </c>
      <c r="R1999" s="2" t="inlineStr"/>
    </row>
    <row r="2000" ht="15" customHeight="1">
      <c r="A2000" t="inlineStr">
        <is>
          <t>A 34129-2019</t>
        </is>
      </c>
      <c r="B2000" s="1" t="n">
        <v>43654</v>
      </c>
      <c r="C2000" s="1" t="n">
        <v>45204</v>
      </c>
      <c r="D2000" t="inlineStr">
        <is>
          <t>VÄSTERBOTTENS LÄN</t>
        </is>
      </c>
      <c r="E2000" t="inlineStr">
        <is>
          <t>VINDELN</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34548-2019</t>
        </is>
      </c>
      <c r="B2001" s="1" t="n">
        <v>43654</v>
      </c>
      <c r="C2001" s="1" t="n">
        <v>45204</v>
      </c>
      <c r="D2001" t="inlineStr">
        <is>
          <t>VÄSTERBOTTENS LÄN</t>
        </is>
      </c>
      <c r="E2001" t="inlineStr">
        <is>
          <t>STORUMAN</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35580-2019</t>
        </is>
      </c>
      <c r="B2002" s="1" t="n">
        <v>43654</v>
      </c>
      <c r="C2002" s="1" t="n">
        <v>45204</v>
      </c>
      <c r="D2002" t="inlineStr">
        <is>
          <t>VÄSTERBOTTENS LÄN</t>
        </is>
      </c>
      <c r="E2002" t="inlineStr">
        <is>
          <t>VINDELN</t>
        </is>
      </c>
      <c r="G2002" t="n">
        <v>25.4</v>
      </c>
      <c r="H2002" t="n">
        <v>0</v>
      </c>
      <c r="I2002" t="n">
        <v>0</v>
      </c>
      <c r="J2002" t="n">
        <v>0</v>
      </c>
      <c r="K2002" t="n">
        <v>0</v>
      </c>
      <c r="L2002" t="n">
        <v>0</v>
      </c>
      <c r="M2002" t="n">
        <v>0</v>
      </c>
      <c r="N2002" t="n">
        <v>0</v>
      </c>
      <c r="O2002" t="n">
        <v>0</v>
      </c>
      <c r="P2002" t="n">
        <v>0</v>
      </c>
      <c r="Q2002" t="n">
        <v>0</v>
      </c>
      <c r="R2002" s="2" t="inlineStr"/>
    </row>
    <row r="2003" ht="15" customHeight="1">
      <c r="A2003" t="inlineStr">
        <is>
          <t>A 34253-2019</t>
        </is>
      </c>
      <c r="B2003" s="1" t="n">
        <v>43655</v>
      </c>
      <c r="C2003" s="1" t="n">
        <v>45204</v>
      </c>
      <c r="D2003" t="inlineStr">
        <is>
          <t>VÄSTERBOTTENS LÄN</t>
        </is>
      </c>
      <c r="E2003" t="inlineStr">
        <is>
          <t>SKELLEFTEÅ</t>
        </is>
      </c>
      <c r="F2003" t="inlineStr">
        <is>
          <t>Holmen skog AB</t>
        </is>
      </c>
      <c r="G2003" t="n">
        <v>18.9</v>
      </c>
      <c r="H2003" t="n">
        <v>0</v>
      </c>
      <c r="I2003" t="n">
        <v>0</v>
      </c>
      <c r="J2003" t="n">
        <v>0</v>
      </c>
      <c r="K2003" t="n">
        <v>0</v>
      </c>
      <c r="L2003" t="n">
        <v>0</v>
      </c>
      <c r="M2003" t="n">
        <v>0</v>
      </c>
      <c r="N2003" t="n">
        <v>0</v>
      </c>
      <c r="O2003" t="n">
        <v>0</v>
      </c>
      <c r="P2003" t="n">
        <v>0</v>
      </c>
      <c r="Q2003" t="n">
        <v>0</v>
      </c>
      <c r="R2003" s="2" t="inlineStr"/>
    </row>
    <row r="2004" ht="15" customHeight="1">
      <c r="A2004" t="inlineStr">
        <is>
          <t>A 34249-2019</t>
        </is>
      </c>
      <c r="B2004" s="1" t="n">
        <v>43655</v>
      </c>
      <c r="C2004" s="1" t="n">
        <v>45204</v>
      </c>
      <c r="D2004" t="inlineStr">
        <is>
          <t>VÄSTERBOTTENS LÄN</t>
        </is>
      </c>
      <c r="E2004" t="inlineStr">
        <is>
          <t>LYCKSELE</t>
        </is>
      </c>
      <c r="G2004" t="n">
        <v>13.4</v>
      </c>
      <c r="H2004" t="n">
        <v>0</v>
      </c>
      <c r="I2004" t="n">
        <v>0</v>
      </c>
      <c r="J2004" t="n">
        <v>0</v>
      </c>
      <c r="K2004" t="n">
        <v>0</v>
      </c>
      <c r="L2004" t="n">
        <v>0</v>
      </c>
      <c r="M2004" t="n">
        <v>0</v>
      </c>
      <c r="N2004" t="n">
        <v>0</v>
      </c>
      <c r="O2004" t="n">
        <v>0</v>
      </c>
      <c r="P2004" t="n">
        <v>0</v>
      </c>
      <c r="Q2004" t="n">
        <v>0</v>
      </c>
      <c r="R2004" s="2" t="inlineStr"/>
    </row>
    <row r="2005" ht="15" customHeight="1">
      <c r="A2005" t="inlineStr">
        <is>
          <t>A 34370-2019</t>
        </is>
      </c>
      <c r="B2005" s="1" t="n">
        <v>43656</v>
      </c>
      <c r="C2005" s="1" t="n">
        <v>45204</v>
      </c>
      <c r="D2005" t="inlineStr">
        <is>
          <t>VÄSTERBOTTENS LÄN</t>
        </is>
      </c>
      <c r="E2005" t="inlineStr">
        <is>
          <t>VILHELMINA</t>
        </is>
      </c>
      <c r="G2005" t="n">
        <v>20.7</v>
      </c>
      <c r="H2005" t="n">
        <v>0</v>
      </c>
      <c r="I2005" t="n">
        <v>0</v>
      </c>
      <c r="J2005" t="n">
        <v>0</v>
      </c>
      <c r="K2005" t="n">
        <v>0</v>
      </c>
      <c r="L2005" t="n">
        <v>0</v>
      </c>
      <c r="M2005" t="n">
        <v>0</v>
      </c>
      <c r="N2005" t="n">
        <v>0</v>
      </c>
      <c r="O2005" t="n">
        <v>0</v>
      </c>
      <c r="P2005" t="n">
        <v>0</v>
      </c>
      <c r="Q2005" t="n">
        <v>0</v>
      </c>
      <c r="R2005" s="2" t="inlineStr"/>
    </row>
    <row r="2006" ht="15" customHeight="1">
      <c r="A2006" t="inlineStr">
        <is>
          <t>A 34666-2019</t>
        </is>
      </c>
      <c r="B2006" s="1" t="n">
        <v>43657</v>
      </c>
      <c r="C2006" s="1" t="n">
        <v>45204</v>
      </c>
      <c r="D2006" t="inlineStr">
        <is>
          <t>VÄSTERBOTTENS LÄN</t>
        </is>
      </c>
      <c r="E2006" t="inlineStr">
        <is>
          <t>VÄNNÄS</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36154-2019</t>
        </is>
      </c>
      <c r="B2007" s="1" t="n">
        <v>43658</v>
      </c>
      <c r="C2007" s="1" t="n">
        <v>45204</v>
      </c>
      <c r="D2007" t="inlineStr">
        <is>
          <t>VÄSTERBOTTENS LÄN</t>
        </is>
      </c>
      <c r="E2007" t="inlineStr">
        <is>
          <t>LYCKSELE</t>
        </is>
      </c>
      <c r="G2007" t="n">
        <v>6.3</v>
      </c>
      <c r="H2007" t="n">
        <v>0</v>
      </c>
      <c r="I2007" t="n">
        <v>0</v>
      </c>
      <c r="J2007" t="n">
        <v>0</v>
      </c>
      <c r="K2007" t="n">
        <v>0</v>
      </c>
      <c r="L2007" t="n">
        <v>0</v>
      </c>
      <c r="M2007" t="n">
        <v>0</v>
      </c>
      <c r="N2007" t="n">
        <v>0</v>
      </c>
      <c r="O2007" t="n">
        <v>0</v>
      </c>
      <c r="P2007" t="n">
        <v>0</v>
      </c>
      <c r="Q2007" t="n">
        <v>0</v>
      </c>
      <c r="R2007" s="2" t="inlineStr"/>
    </row>
    <row r="2008" ht="15" customHeight="1">
      <c r="A2008" t="inlineStr">
        <is>
          <t>A 34939-2019</t>
        </is>
      </c>
      <c r="B2008" s="1" t="n">
        <v>43658</v>
      </c>
      <c r="C2008" s="1" t="n">
        <v>45204</v>
      </c>
      <c r="D2008" t="inlineStr">
        <is>
          <t>VÄSTERBOTTENS LÄN</t>
        </is>
      </c>
      <c r="E2008" t="inlineStr">
        <is>
          <t>SKELLEFTEÅ</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34997-2019</t>
        </is>
      </c>
      <c r="B2009" s="1" t="n">
        <v>43660</v>
      </c>
      <c r="C2009" s="1" t="n">
        <v>45204</v>
      </c>
      <c r="D2009" t="inlineStr">
        <is>
          <t>VÄSTERBOTTENS LÄN</t>
        </is>
      </c>
      <c r="E2009" t="inlineStr">
        <is>
          <t>SKELLEFTEÅ</t>
        </is>
      </c>
      <c r="F2009" t="inlineStr">
        <is>
          <t>Sveaskog</t>
        </is>
      </c>
      <c r="G2009" t="n">
        <v>11.1</v>
      </c>
      <c r="H2009" t="n">
        <v>0</v>
      </c>
      <c r="I2009" t="n">
        <v>0</v>
      </c>
      <c r="J2009" t="n">
        <v>0</v>
      </c>
      <c r="K2009" t="n">
        <v>0</v>
      </c>
      <c r="L2009" t="n">
        <v>0</v>
      </c>
      <c r="M2009" t="n">
        <v>0</v>
      </c>
      <c r="N2009" t="n">
        <v>0</v>
      </c>
      <c r="O2009" t="n">
        <v>0</v>
      </c>
      <c r="P2009" t="n">
        <v>0</v>
      </c>
      <c r="Q2009" t="n">
        <v>0</v>
      </c>
      <c r="R2009" s="2" t="inlineStr"/>
    </row>
    <row r="2010" ht="15" customHeight="1">
      <c r="A2010" t="inlineStr">
        <is>
          <t>A 35006-2019</t>
        </is>
      </c>
      <c r="B2010" s="1" t="n">
        <v>43661</v>
      </c>
      <c r="C2010" s="1" t="n">
        <v>45204</v>
      </c>
      <c r="D2010" t="inlineStr">
        <is>
          <t>VÄSTERBOTTENS LÄN</t>
        </is>
      </c>
      <c r="E2010" t="inlineStr">
        <is>
          <t>STORUMAN</t>
        </is>
      </c>
      <c r="F2010" t="inlineStr">
        <is>
          <t>Sveaskog</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35054-2019</t>
        </is>
      </c>
      <c r="B2011" s="1" t="n">
        <v>43661</v>
      </c>
      <c r="C2011" s="1" t="n">
        <v>45204</v>
      </c>
      <c r="D2011" t="inlineStr">
        <is>
          <t>VÄSTERBOTTENS LÄN</t>
        </is>
      </c>
      <c r="E2011" t="inlineStr">
        <is>
          <t>VILHELMINA</t>
        </is>
      </c>
      <c r="F2011" t="inlineStr">
        <is>
          <t>Sveaskog</t>
        </is>
      </c>
      <c r="G2011" t="n">
        <v>18.8</v>
      </c>
      <c r="H2011" t="n">
        <v>0</v>
      </c>
      <c r="I2011" t="n">
        <v>0</v>
      </c>
      <c r="J2011" t="n">
        <v>0</v>
      </c>
      <c r="K2011" t="n">
        <v>0</v>
      </c>
      <c r="L2011" t="n">
        <v>0</v>
      </c>
      <c r="M2011" t="n">
        <v>0</v>
      </c>
      <c r="N2011" t="n">
        <v>0</v>
      </c>
      <c r="O2011" t="n">
        <v>0</v>
      </c>
      <c r="P2011" t="n">
        <v>0</v>
      </c>
      <c r="Q2011" t="n">
        <v>0</v>
      </c>
      <c r="R2011" s="2" t="inlineStr"/>
    </row>
    <row r="2012" ht="15" customHeight="1">
      <c r="A2012" t="inlineStr">
        <is>
          <t>A 35084-2019</t>
        </is>
      </c>
      <c r="B2012" s="1" t="n">
        <v>43661</v>
      </c>
      <c r="C2012" s="1" t="n">
        <v>45204</v>
      </c>
      <c r="D2012" t="inlineStr">
        <is>
          <t>VÄSTERBOTTENS LÄN</t>
        </is>
      </c>
      <c r="E2012" t="inlineStr">
        <is>
          <t>SKELLEFTEÅ</t>
        </is>
      </c>
      <c r="F2012" t="inlineStr">
        <is>
          <t>Sveaskog</t>
        </is>
      </c>
      <c r="G2012" t="n">
        <v>8.4</v>
      </c>
      <c r="H2012" t="n">
        <v>0</v>
      </c>
      <c r="I2012" t="n">
        <v>0</v>
      </c>
      <c r="J2012" t="n">
        <v>0</v>
      </c>
      <c r="K2012" t="n">
        <v>0</v>
      </c>
      <c r="L2012" t="n">
        <v>0</v>
      </c>
      <c r="M2012" t="n">
        <v>0</v>
      </c>
      <c r="N2012" t="n">
        <v>0</v>
      </c>
      <c r="O2012" t="n">
        <v>0</v>
      </c>
      <c r="P2012" t="n">
        <v>0</v>
      </c>
      <c r="Q2012" t="n">
        <v>0</v>
      </c>
      <c r="R2012" s="2" t="inlineStr"/>
    </row>
    <row r="2013" ht="15" customHeight="1">
      <c r="A2013" t="inlineStr">
        <is>
          <t>A 35092-2019</t>
        </is>
      </c>
      <c r="B2013" s="1" t="n">
        <v>43661</v>
      </c>
      <c r="C2013" s="1" t="n">
        <v>45204</v>
      </c>
      <c r="D2013" t="inlineStr">
        <is>
          <t>VÄSTERBOTTENS LÄN</t>
        </is>
      </c>
      <c r="E2013" t="inlineStr">
        <is>
          <t>LYCKSELE</t>
        </is>
      </c>
      <c r="F2013" t="inlineStr">
        <is>
          <t>Sveaskog</t>
        </is>
      </c>
      <c r="G2013" t="n">
        <v>5.6</v>
      </c>
      <c r="H2013" t="n">
        <v>0</v>
      </c>
      <c r="I2013" t="n">
        <v>0</v>
      </c>
      <c r="J2013" t="n">
        <v>0</v>
      </c>
      <c r="K2013" t="n">
        <v>0</v>
      </c>
      <c r="L2013" t="n">
        <v>0</v>
      </c>
      <c r="M2013" t="n">
        <v>0</v>
      </c>
      <c r="N2013" t="n">
        <v>0</v>
      </c>
      <c r="O2013" t="n">
        <v>0</v>
      </c>
      <c r="P2013" t="n">
        <v>0</v>
      </c>
      <c r="Q2013" t="n">
        <v>0</v>
      </c>
      <c r="R2013" s="2" t="inlineStr"/>
    </row>
    <row r="2014" ht="15" customHeight="1">
      <c r="A2014" t="inlineStr">
        <is>
          <t>A 35024-2019</t>
        </is>
      </c>
      <c r="B2014" s="1" t="n">
        <v>43661</v>
      </c>
      <c r="C2014" s="1" t="n">
        <v>45204</v>
      </c>
      <c r="D2014" t="inlineStr">
        <is>
          <t>VÄSTERBOTTENS LÄN</t>
        </is>
      </c>
      <c r="E2014" t="inlineStr">
        <is>
          <t>SKELLEFTEÅ</t>
        </is>
      </c>
      <c r="G2014" t="n">
        <v>5.3</v>
      </c>
      <c r="H2014" t="n">
        <v>0</v>
      </c>
      <c r="I2014" t="n">
        <v>0</v>
      </c>
      <c r="J2014" t="n">
        <v>0</v>
      </c>
      <c r="K2014" t="n">
        <v>0</v>
      </c>
      <c r="L2014" t="n">
        <v>0</v>
      </c>
      <c r="M2014" t="n">
        <v>0</v>
      </c>
      <c r="N2014" t="n">
        <v>0</v>
      </c>
      <c r="O2014" t="n">
        <v>0</v>
      </c>
      <c r="P2014" t="n">
        <v>0</v>
      </c>
      <c r="Q2014" t="n">
        <v>0</v>
      </c>
      <c r="R2014" s="2" t="inlineStr"/>
    </row>
    <row r="2015" ht="15" customHeight="1">
      <c r="A2015" t="inlineStr">
        <is>
          <t>A 35075-2019</t>
        </is>
      </c>
      <c r="B2015" s="1" t="n">
        <v>43661</v>
      </c>
      <c r="C2015" s="1" t="n">
        <v>45204</v>
      </c>
      <c r="D2015" t="inlineStr">
        <is>
          <t>VÄSTERBOTTENS LÄN</t>
        </is>
      </c>
      <c r="E2015" t="inlineStr">
        <is>
          <t>SKELLEFTEÅ</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35104-2019</t>
        </is>
      </c>
      <c r="B2016" s="1" t="n">
        <v>43661</v>
      </c>
      <c r="C2016" s="1" t="n">
        <v>45204</v>
      </c>
      <c r="D2016" t="inlineStr">
        <is>
          <t>VÄSTERBOTTENS LÄN</t>
        </is>
      </c>
      <c r="E2016" t="inlineStr">
        <is>
          <t>SKELLEFTEÅ</t>
        </is>
      </c>
      <c r="F2016" t="inlineStr">
        <is>
          <t>Sveaskog</t>
        </is>
      </c>
      <c r="G2016" t="n">
        <v>3.7</v>
      </c>
      <c r="H2016" t="n">
        <v>0</v>
      </c>
      <c r="I2016" t="n">
        <v>0</v>
      </c>
      <c r="J2016" t="n">
        <v>0</v>
      </c>
      <c r="K2016" t="n">
        <v>0</v>
      </c>
      <c r="L2016" t="n">
        <v>0</v>
      </c>
      <c r="M2016" t="n">
        <v>0</v>
      </c>
      <c r="N2016" t="n">
        <v>0</v>
      </c>
      <c r="O2016" t="n">
        <v>0</v>
      </c>
      <c r="P2016" t="n">
        <v>0</v>
      </c>
      <c r="Q2016" t="n">
        <v>0</v>
      </c>
      <c r="R2016" s="2" t="inlineStr"/>
    </row>
    <row r="2017" ht="15" customHeight="1">
      <c r="A2017" t="inlineStr">
        <is>
          <t>A 35120-2019</t>
        </is>
      </c>
      <c r="B2017" s="1" t="n">
        <v>43661</v>
      </c>
      <c r="C2017" s="1" t="n">
        <v>45204</v>
      </c>
      <c r="D2017" t="inlineStr">
        <is>
          <t>VÄSTERBOTTENS LÄN</t>
        </is>
      </c>
      <c r="E2017" t="inlineStr">
        <is>
          <t>SKELLEFTEÅ</t>
        </is>
      </c>
      <c r="F2017" t="inlineStr">
        <is>
          <t>Sveaskog</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35027-2019</t>
        </is>
      </c>
      <c r="B2018" s="1" t="n">
        <v>43661</v>
      </c>
      <c r="C2018" s="1" t="n">
        <v>45204</v>
      </c>
      <c r="D2018" t="inlineStr">
        <is>
          <t>VÄSTERBOTTENS LÄN</t>
        </is>
      </c>
      <c r="E2018" t="inlineStr">
        <is>
          <t>STORUMAN</t>
        </is>
      </c>
      <c r="F2018" t="inlineStr">
        <is>
          <t>Sveaskog</t>
        </is>
      </c>
      <c r="G2018" t="n">
        <v>6.8</v>
      </c>
      <c r="H2018" t="n">
        <v>0</v>
      </c>
      <c r="I2018" t="n">
        <v>0</v>
      </c>
      <c r="J2018" t="n">
        <v>0</v>
      </c>
      <c r="K2018" t="n">
        <v>0</v>
      </c>
      <c r="L2018" t="n">
        <v>0</v>
      </c>
      <c r="M2018" t="n">
        <v>0</v>
      </c>
      <c r="N2018" t="n">
        <v>0</v>
      </c>
      <c r="O2018" t="n">
        <v>0</v>
      </c>
      <c r="P2018" t="n">
        <v>0</v>
      </c>
      <c r="Q2018" t="n">
        <v>0</v>
      </c>
      <c r="R2018" s="2" t="inlineStr"/>
    </row>
    <row r="2019" ht="15" customHeight="1">
      <c r="A2019" t="inlineStr">
        <is>
          <t>A 35051-2019</t>
        </is>
      </c>
      <c r="B2019" s="1" t="n">
        <v>43661</v>
      </c>
      <c r="C2019" s="1" t="n">
        <v>45204</v>
      </c>
      <c r="D2019" t="inlineStr">
        <is>
          <t>VÄSTERBOTTENS LÄN</t>
        </is>
      </c>
      <c r="E2019" t="inlineStr">
        <is>
          <t>VILHELMINA</t>
        </is>
      </c>
      <c r="F2019" t="inlineStr">
        <is>
          <t>Sveaskog</t>
        </is>
      </c>
      <c r="G2019" t="n">
        <v>6.6</v>
      </c>
      <c r="H2019" t="n">
        <v>0</v>
      </c>
      <c r="I2019" t="n">
        <v>0</v>
      </c>
      <c r="J2019" t="n">
        <v>0</v>
      </c>
      <c r="K2019" t="n">
        <v>0</v>
      </c>
      <c r="L2019" t="n">
        <v>0</v>
      </c>
      <c r="M2019" t="n">
        <v>0</v>
      </c>
      <c r="N2019" t="n">
        <v>0</v>
      </c>
      <c r="O2019" t="n">
        <v>0</v>
      </c>
      <c r="P2019" t="n">
        <v>0</v>
      </c>
      <c r="Q2019" t="n">
        <v>0</v>
      </c>
      <c r="R2019" s="2" t="inlineStr"/>
    </row>
    <row r="2020" ht="15" customHeight="1">
      <c r="A2020" t="inlineStr">
        <is>
          <t>A 35121-2019</t>
        </is>
      </c>
      <c r="B2020" s="1" t="n">
        <v>43661</v>
      </c>
      <c r="C2020" s="1" t="n">
        <v>45204</v>
      </c>
      <c r="D2020" t="inlineStr">
        <is>
          <t>VÄSTERBOTTENS LÄN</t>
        </is>
      </c>
      <c r="E2020" t="inlineStr">
        <is>
          <t>SKELLEFTEÅ</t>
        </is>
      </c>
      <c r="F2020" t="inlineStr">
        <is>
          <t>Sveaskog</t>
        </is>
      </c>
      <c r="G2020" t="n">
        <v>2.4</v>
      </c>
      <c r="H2020" t="n">
        <v>0</v>
      </c>
      <c r="I2020" t="n">
        <v>0</v>
      </c>
      <c r="J2020" t="n">
        <v>0</v>
      </c>
      <c r="K2020" t="n">
        <v>0</v>
      </c>
      <c r="L2020" t="n">
        <v>0</v>
      </c>
      <c r="M2020" t="n">
        <v>0</v>
      </c>
      <c r="N2020" t="n">
        <v>0</v>
      </c>
      <c r="O2020" t="n">
        <v>0</v>
      </c>
      <c r="P2020" t="n">
        <v>0</v>
      </c>
      <c r="Q2020" t="n">
        <v>0</v>
      </c>
      <c r="R2020" s="2" t="inlineStr"/>
    </row>
    <row r="2021" ht="15" customHeight="1">
      <c r="A2021" t="inlineStr">
        <is>
          <t>A 35073-2019</t>
        </is>
      </c>
      <c r="B2021" s="1" t="n">
        <v>43661</v>
      </c>
      <c r="C2021" s="1" t="n">
        <v>45204</v>
      </c>
      <c r="D2021" t="inlineStr">
        <is>
          <t>VÄSTERBOTTENS LÄN</t>
        </is>
      </c>
      <c r="E2021" t="inlineStr">
        <is>
          <t>SKELLEFTEÅ</t>
        </is>
      </c>
      <c r="F2021" t="inlineStr">
        <is>
          <t>Sveaskog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35080-2019</t>
        </is>
      </c>
      <c r="B2022" s="1" t="n">
        <v>43661</v>
      </c>
      <c r="C2022" s="1" t="n">
        <v>45204</v>
      </c>
      <c r="D2022" t="inlineStr">
        <is>
          <t>VÄSTERBOTTENS LÄN</t>
        </is>
      </c>
      <c r="E2022" t="inlineStr">
        <is>
          <t>SKELLEFTEÅ</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35091-2019</t>
        </is>
      </c>
      <c r="B2023" s="1" t="n">
        <v>43661</v>
      </c>
      <c r="C2023" s="1" t="n">
        <v>45204</v>
      </c>
      <c r="D2023" t="inlineStr">
        <is>
          <t>VÄSTERBOTTENS LÄN</t>
        </is>
      </c>
      <c r="E2023" t="inlineStr">
        <is>
          <t>LYCKSELE</t>
        </is>
      </c>
      <c r="F2023" t="inlineStr">
        <is>
          <t>Sveaskog</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35363-2019</t>
        </is>
      </c>
      <c r="B2024" s="1" t="n">
        <v>43663</v>
      </c>
      <c r="C2024" s="1" t="n">
        <v>45204</v>
      </c>
      <c r="D2024" t="inlineStr">
        <is>
          <t>VÄSTERBOTTENS LÄN</t>
        </is>
      </c>
      <c r="E2024" t="inlineStr">
        <is>
          <t>SKELLEFTEÅ</t>
        </is>
      </c>
      <c r="F2024" t="inlineStr">
        <is>
          <t>Sveaskog</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36402-2019</t>
        </is>
      </c>
      <c r="B2025" s="1" t="n">
        <v>43663</v>
      </c>
      <c r="C2025" s="1" t="n">
        <v>45204</v>
      </c>
      <c r="D2025" t="inlineStr">
        <is>
          <t>VÄSTERBOTTENS LÄN</t>
        </is>
      </c>
      <c r="E2025" t="inlineStr">
        <is>
          <t>ROBERTSFORS</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35562-2019</t>
        </is>
      </c>
      <c r="B2026" s="1" t="n">
        <v>43664</v>
      </c>
      <c r="C2026" s="1" t="n">
        <v>45204</v>
      </c>
      <c r="D2026" t="inlineStr">
        <is>
          <t>VÄSTERBOTTENS LÄN</t>
        </is>
      </c>
      <c r="E2026" t="inlineStr">
        <is>
          <t>ÅSELE</t>
        </is>
      </c>
      <c r="F2026" t="inlineStr">
        <is>
          <t>Sveaskog</t>
        </is>
      </c>
      <c r="G2026" t="n">
        <v>18.2</v>
      </c>
      <c r="H2026" t="n">
        <v>0</v>
      </c>
      <c r="I2026" t="n">
        <v>0</v>
      </c>
      <c r="J2026" t="n">
        <v>0</v>
      </c>
      <c r="K2026" t="n">
        <v>0</v>
      </c>
      <c r="L2026" t="n">
        <v>0</v>
      </c>
      <c r="M2026" t="n">
        <v>0</v>
      </c>
      <c r="N2026" t="n">
        <v>0</v>
      </c>
      <c r="O2026" t="n">
        <v>0</v>
      </c>
      <c r="P2026" t="n">
        <v>0</v>
      </c>
      <c r="Q2026" t="n">
        <v>0</v>
      </c>
      <c r="R2026" s="2" t="inlineStr"/>
    </row>
    <row r="2027" ht="15" customHeight="1">
      <c r="A2027" t="inlineStr">
        <is>
          <t>A 35571-2019</t>
        </is>
      </c>
      <c r="B2027" s="1" t="n">
        <v>43664</v>
      </c>
      <c r="C2027" s="1" t="n">
        <v>45204</v>
      </c>
      <c r="D2027" t="inlineStr">
        <is>
          <t>VÄSTERBOTTENS LÄN</t>
        </is>
      </c>
      <c r="E2027" t="inlineStr">
        <is>
          <t>DOROTEA</t>
        </is>
      </c>
      <c r="F2027" t="inlineStr">
        <is>
          <t>Sveaskog</t>
        </is>
      </c>
      <c r="G2027" t="n">
        <v>30.2</v>
      </c>
      <c r="H2027" t="n">
        <v>0</v>
      </c>
      <c r="I2027" t="n">
        <v>0</v>
      </c>
      <c r="J2027" t="n">
        <v>0</v>
      </c>
      <c r="K2027" t="n">
        <v>0</v>
      </c>
      <c r="L2027" t="n">
        <v>0</v>
      </c>
      <c r="M2027" t="n">
        <v>0</v>
      </c>
      <c r="N2027" t="n">
        <v>0</v>
      </c>
      <c r="O2027" t="n">
        <v>0</v>
      </c>
      <c r="P2027" t="n">
        <v>0</v>
      </c>
      <c r="Q2027" t="n">
        <v>0</v>
      </c>
      <c r="R2027" s="2" t="inlineStr"/>
    </row>
    <row r="2028" ht="15" customHeight="1">
      <c r="A2028" t="inlineStr">
        <is>
          <t>A 35723-2019</t>
        </is>
      </c>
      <c r="B2028" s="1" t="n">
        <v>43664</v>
      </c>
      <c r="C2028" s="1" t="n">
        <v>45204</v>
      </c>
      <c r="D2028" t="inlineStr">
        <is>
          <t>VÄSTERBOTTENS LÄN</t>
        </is>
      </c>
      <c r="E2028" t="inlineStr">
        <is>
          <t>VILHELMINA</t>
        </is>
      </c>
      <c r="G2028" t="n">
        <v>16.8</v>
      </c>
      <c r="H2028" t="n">
        <v>0</v>
      </c>
      <c r="I2028" t="n">
        <v>0</v>
      </c>
      <c r="J2028" t="n">
        <v>0</v>
      </c>
      <c r="K2028" t="n">
        <v>0</v>
      </c>
      <c r="L2028" t="n">
        <v>0</v>
      </c>
      <c r="M2028" t="n">
        <v>0</v>
      </c>
      <c r="N2028" t="n">
        <v>0</v>
      </c>
      <c r="O2028" t="n">
        <v>0</v>
      </c>
      <c r="P2028" t="n">
        <v>0</v>
      </c>
      <c r="Q2028" t="n">
        <v>0</v>
      </c>
      <c r="R2028" s="2" t="inlineStr"/>
    </row>
    <row r="2029" ht="15" customHeight="1">
      <c r="A2029" t="inlineStr">
        <is>
          <t>A 35613-2019</t>
        </is>
      </c>
      <c r="B2029" s="1" t="n">
        <v>43664</v>
      </c>
      <c r="C2029" s="1" t="n">
        <v>45204</v>
      </c>
      <c r="D2029" t="inlineStr">
        <is>
          <t>VÄSTERBOTTENS LÄN</t>
        </is>
      </c>
      <c r="E2029" t="inlineStr">
        <is>
          <t>ÅSELE</t>
        </is>
      </c>
      <c r="F2029" t="inlineStr">
        <is>
          <t>Sveaskog</t>
        </is>
      </c>
      <c r="G2029" t="n">
        <v>4.9</v>
      </c>
      <c r="H2029" t="n">
        <v>0</v>
      </c>
      <c r="I2029" t="n">
        <v>0</v>
      </c>
      <c r="J2029" t="n">
        <v>0</v>
      </c>
      <c r="K2029" t="n">
        <v>0</v>
      </c>
      <c r="L2029" t="n">
        <v>0</v>
      </c>
      <c r="M2029" t="n">
        <v>0</v>
      </c>
      <c r="N2029" t="n">
        <v>0</v>
      </c>
      <c r="O2029" t="n">
        <v>0</v>
      </c>
      <c r="P2029" t="n">
        <v>0</v>
      </c>
      <c r="Q2029" t="n">
        <v>0</v>
      </c>
      <c r="R2029" s="2" t="inlineStr"/>
    </row>
    <row r="2030" ht="15" customHeight="1">
      <c r="A2030" t="inlineStr">
        <is>
          <t>A 35726-2019</t>
        </is>
      </c>
      <c r="B2030" s="1" t="n">
        <v>43664</v>
      </c>
      <c r="C2030" s="1" t="n">
        <v>45204</v>
      </c>
      <c r="D2030" t="inlineStr">
        <is>
          <t>VÄSTERBOTTENS LÄN</t>
        </is>
      </c>
      <c r="E2030" t="inlineStr">
        <is>
          <t>VILHELMINA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35737-2019</t>
        </is>
      </c>
      <c r="B2031" s="1" t="n">
        <v>43664</v>
      </c>
      <c r="C2031" s="1" t="n">
        <v>45204</v>
      </c>
      <c r="D2031" t="inlineStr">
        <is>
          <t>VÄSTERBOTTENS LÄN</t>
        </is>
      </c>
      <c r="E2031" t="inlineStr">
        <is>
          <t>VILHELMINA</t>
        </is>
      </c>
      <c r="G2031" t="n">
        <v>22.4</v>
      </c>
      <c r="H2031" t="n">
        <v>0</v>
      </c>
      <c r="I2031" t="n">
        <v>0</v>
      </c>
      <c r="J2031" t="n">
        <v>0</v>
      </c>
      <c r="K2031" t="n">
        <v>0</v>
      </c>
      <c r="L2031" t="n">
        <v>0</v>
      </c>
      <c r="M2031" t="n">
        <v>0</v>
      </c>
      <c r="N2031" t="n">
        <v>0</v>
      </c>
      <c r="O2031" t="n">
        <v>0</v>
      </c>
      <c r="P2031" t="n">
        <v>0</v>
      </c>
      <c r="Q2031" t="n">
        <v>0</v>
      </c>
      <c r="R2031" s="2" t="inlineStr"/>
    </row>
    <row r="2032" ht="15" customHeight="1">
      <c r="A2032" t="inlineStr">
        <is>
          <t>A 35564-2019</t>
        </is>
      </c>
      <c r="B2032" s="1" t="n">
        <v>43664</v>
      </c>
      <c r="C2032" s="1" t="n">
        <v>45204</v>
      </c>
      <c r="D2032" t="inlineStr">
        <is>
          <t>VÄSTERBOTTENS LÄN</t>
        </is>
      </c>
      <c r="E2032" t="inlineStr">
        <is>
          <t>ÅSELE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35732-2019</t>
        </is>
      </c>
      <c r="B2033" s="1" t="n">
        <v>43664</v>
      </c>
      <c r="C2033" s="1" t="n">
        <v>45204</v>
      </c>
      <c r="D2033" t="inlineStr">
        <is>
          <t>VÄSTERBOTTENS LÄN</t>
        </is>
      </c>
      <c r="E2033" t="inlineStr">
        <is>
          <t>DOROTEA</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35786-2019</t>
        </is>
      </c>
      <c r="B2034" s="1" t="n">
        <v>43665</v>
      </c>
      <c r="C2034" s="1" t="n">
        <v>45204</v>
      </c>
      <c r="D2034" t="inlineStr">
        <is>
          <t>VÄSTERBOTTENS LÄN</t>
        </is>
      </c>
      <c r="E2034" t="inlineStr">
        <is>
          <t>SKELLEFTEÅ</t>
        </is>
      </c>
      <c r="F2034" t="inlineStr">
        <is>
          <t>Holmen skog AB</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36155-2019</t>
        </is>
      </c>
      <c r="B2035" s="1" t="n">
        <v>43668</v>
      </c>
      <c r="C2035" s="1" t="n">
        <v>45204</v>
      </c>
      <c r="D2035" t="inlineStr">
        <is>
          <t>VÄSTERBOTTENS LÄN</t>
        </is>
      </c>
      <c r="E2035" t="inlineStr">
        <is>
          <t>LYCKSELE</t>
        </is>
      </c>
      <c r="F2035" t="inlineStr">
        <is>
          <t>Sveaskog</t>
        </is>
      </c>
      <c r="G2035" t="n">
        <v>18.2</v>
      </c>
      <c r="H2035" t="n">
        <v>0</v>
      </c>
      <c r="I2035" t="n">
        <v>0</v>
      </c>
      <c r="J2035" t="n">
        <v>0</v>
      </c>
      <c r="K2035" t="n">
        <v>0</v>
      </c>
      <c r="L2035" t="n">
        <v>0</v>
      </c>
      <c r="M2035" t="n">
        <v>0</v>
      </c>
      <c r="N2035" t="n">
        <v>0</v>
      </c>
      <c r="O2035" t="n">
        <v>0</v>
      </c>
      <c r="P2035" t="n">
        <v>0</v>
      </c>
      <c r="Q2035" t="n">
        <v>0</v>
      </c>
      <c r="R2035" s="2" t="inlineStr"/>
    </row>
    <row r="2036" ht="15" customHeight="1">
      <c r="A2036" t="inlineStr">
        <is>
          <t>A 36862-2019</t>
        </is>
      </c>
      <c r="B2036" s="1" t="n">
        <v>43675</v>
      </c>
      <c r="C2036" s="1" t="n">
        <v>45204</v>
      </c>
      <c r="D2036" t="inlineStr">
        <is>
          <t>VÄSTERBOTTENS LÄN</t>
        </is>
      </c>
      <c r="E2036" t="inlineStr">
        <is>
          <t>SORSELE</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37185-2019</t>
        </is>
      </c>
      <c r="B2037" s="1" t="n">
        <v>43676</v>
      </c>
      <c r="C2037" s="1" t="n">
        <v>45204</v>
      </c>
      <c r="D2037" t="inlineStr">
        <is>
          <t>VÄSTERBOTTENS LÄN</t>
        </is>
      </c>
      <c r="E2037" t="inlineStr">
        <is>
          <t>NORDMALING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36996-2019</t>
        </is>
      </c>
      <c r="B2038" s="1" t="n">
        <v>43676</v>
      </c>
      <c r="C2038" s="1" t="n">
        <v>45204</v>
      </c>
      <c r="D2038" t="inlineStr">
        <is>
          <t>VÄSTERBOTTENS LÄN</t>
        </is>
      </c>
      <c r="E2038" t="inlineStr">
        <is>
          <t>SKELLEFTEÅ</t>
        </is>
      </c>
      <c r="F2038" t="inlineStr">
        <is>
          <t>Holmen skog AB</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37192-2019</t>
        </is>
      </c>
      <c r="B2039" s="1" t="n">
        <v>43676</v>
      </c>
      <c r="C2039" s="1" t="n">
        <v>45204</v>
      </c>
      <c r="D2039" t="inlineStr">
        <is>
          <t>VÄSTERBOTTENS LÄN</t>
        </is>
      </c>
      <c r="E2039" t="inlineStr">
        <is>
          <t>MALÅ</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37128-2019</t>
        </is>
      </c>
      <c r="B2040" s="1" t="n">
        <v>43676</v>
      </c>
      <c r="C2040" s="1" t="n">
        <v>45204</v>
      </c>
      <c r="D2040" t="inlineStr">
        <is>
          <t>VÄSTERBOTTENS LÄN</t>
        </is>
      </c>
      <c r="E2040" t="inlineStr">
        <is>
          <t>VINDELN</t>
        </is>
      </c>
      <c r="F2040" t="inlineStr">
        <is>
          <t>SCA</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37198-2019</t>
        </is>
      </c>
      <c r="B2041" s="1" t="n">
        <v>43677</v>
      </c>
      <c r="C2041" s="1" t="n">
        <v>45204</v>
      </c>
      <c r="D2041" t="inlineStr">
        <is>
          <t>VÄSTERBOTTENS LÄN</t>
        </is>
      </c>
      <c r="E2041" t="inlineStr">
        <is>
          <t>ROBERTSFORS</t>
        </is>
      </c>
      <c r="F2041" t="inlineStr">
        <is>
          <t>Holmen skog AB</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37340-2019</t>
        </is>
      </c>
      <c r="B2042" s="1" t="n">
        <v>43677</v>
      </c>
      <c r="C2042" s="1" t="n">
        <v>45204</v>
      </c>
      <c r="D2042" t="inlineStr">
        <is>
          <t>VÄSTERBOTTENS LÄN</t>
        </is>
      </c>
      <c r="E2042" t="inlineStr">
        <is>
          <t>NORDMALING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37162-2019</t>
        </is>
      </c>
      <c r="B2043" s="1" t="n">
        <v>43677</v>
      </c>
      <c r="C2043" s="1" t="n">
        <v>45204</v>
      </c>
      <c r="D2043" t="inlineStr">
        <is>
          <t>VÄSTERBOTTENS LÄN</t>
        </is>
      </c>
      <c r="E2043" t="inlineStr">
        <is>
          <t>LYCKSELE</t>
        </is>
      </c>
      <c r="F2043" t="inlineStr">
        <is>
          <t>Sveaskog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37429-2019</t>
        </is>
      </c>
      <c r="B2044" s="1" t="n">
        <v>43678</v>
      </c>
      <c r="C2044" s="1" t="n">
        <v>45204</v>
      </c>
      <c r="D2044" t="inlineStr">
        <is>
          <t>VÄSTERBOTTENS LÄN</t>
        </is>
      </c>
      <c r="E2044" t="inlineStr">
        <is>
          <t>SORSELE</t>
        </is>
      </c>
      <c r="F2044" t="inlineStr">
        <is>
          <t>SCA</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37544-2019</t>
        </is>
      </c>
      <c r="B2045" s="1" t="n">
        <v>43678</v>
      </c>
      <c r="C2045" s="1" t="n">
        <v>45204</v>
      </c>
      <c r="D2045" t="inlineStr">
        <is>
          <t>VÄSTERBOTTENS LÄN</t>
        </is>
      </c>
      <c r="E2045" t="inlineStr">
        <is>
          <t>NORSJÖ</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37559-2019</t>
        </is>
      </c>
      <c r="B2046" s="1" t="n">
        <v>43678</v>
      </c>
      <c r="C2046" s="1" t="n">
        <v>45204</v>
      </c>
      <c r="D2046" t="inlineStr">
        <is>
          <t>VÄSTERBOTTENS LÄN</t>
        </is>
      </c>
      <c r="E2046" t="inlineStr">
        <is>
          <t>NORDMALING</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37576-2019</t>
        </is>
      </c>
      <c r="B2047" s="1" t="n">
        <v>43679</v>
      </c>
      <c r="C2047" s="1" t="n">
        <v>45204</v>
      </c>
      <c r="D2047" t="inlineStr">
        <is>
          <t>VÄSTERBOTTENS LÄN</t>
        </is>
      </c>
      <c r="E2047" t="inlineStr">
        <is>
          <t>SORSELE</t>
        </is>
      </c>
      <c r="F2047" t="inlineStr">
        <is>
          <t>SCA</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37844-2019</t>
        </is>
      </c>
      <c r="B2048" s="1" t="n">
        <v>43682</v>
      </c>
      <c r="C2048" s="1" t="n">
        <v>45204</v>
      </c>
      <c r="D2048" t="inlineStr">
        <is>
          <t>VÄSTERBOTTENS LÄN</t>
        </is>
      </c>
      <c r="E2048" t="inlineStr">
        <is>
          <t>DOROTEA</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37824-2019</t>
        </is>
      </c>
      <c r="B2049" s="1" t="n">
        <v>43682</v>
      </c>
      <c r="C2049" s="1" t="n">
        <v>45204</v>
      </c>
      <c r="D2049" t="inlineStr">
        <is>
          <t>VÄSTERBOTTENS LÄN</t>
        </is>
      </c>
      <c r="E2049" t="inlineStr">
        <is>
          <t>VILHELMINA</t>
        </is>
      </c>
      <c r="G2049" t="n">
        <v>14.2</v>
      </c>
      <c r="H2049" t="n">
        <v>0</v>
      </c>
      <c r="I2049" t="n">
        <v>0</v>
      </c>
      <c r="J2049" t="n">
        <v>0</v>
      </c>
      <c r="K2049" t="n">
        <v>0</v>
      </c>
      <c r="L2049" t="n">
        <v>0</v>
      </c>
      <c r="M2049" t="n">
        <v>0</v>
      </c>
      <c r="N2049" t="n">
        <v>0</v>
      </c>
      <c r="O2049" t="n">
        <v>0</v>
      </c>
      <c r="P2049" t="n">
        <v>0</v>
      </c>
      <c r="Q2049" t="n">
        <v>0</v>
      </c>
      <c r="R2049" s="2" t="inlineStr"/>
    </row>
    <row r="2050" ht="15" customHeight="1">
      <c r="A2050" t="inlineStr">
        <is>
          <t>A 38011-2019</t>
        </is>
      </c>
      <c r="B2050" s="1" t="n">
        <v>43683</v>
      </c>
      <c r="C2050" s="1" t="n">
        <v>45204</v>
      </c>
      <c r="D2050" t="inlineStr">
        <is>
          <t>VÄSTERBOTTENS LÄN</t>
        </is>
      </c>
      <c r="E2050" t="inlineStr">
        <is>
          <t>BJURHOLM</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38018-2019</t>
        </is>
      </c>
      <c r="B2051" s="1" t="n">
        <v>43683</v>
      </c>
      <c r="C2051" s="1" t="n">
        <v>45204</v>
      </c>
      <c r="D2051" t="inlineStr">
        <is>
          <t>VÄSTERBOTTENS LÄN</t>
        </is>
      </c>
      <c r="E2051" t="inlineStr">
        <is>
          <t>BJURHOLM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38007-2019</t>
        </is>
      </c>
      <c r="B2052" s="1" t="n">
        <v>43683</v>
      </c>
      <c r="C2052" s="1" t="n">
        <v>45204</v>
      </c>
      <c r="D2052" t="inlineStr">
        <is>
          <t>VÄSTERBOTTENS LÄN</t>
        </is>
      </c>
      <c r="E2052" t="inlineStr">
        <is>
          <t>BJURHOLM</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38022-2019</t>
        </is>
      </c>
      <c r="B2053" s="1" t="n">
        <v>43683</v>
      </c>
      <c r="C2053" s="1" t="n">
        <v>45204</v>
      </c>
      <c r="D2053" t="inlineStr">
        <is>
          <t>VÄSTERBOTTENS LÄN</t>
        </is>
      </c>
      <c r="E2053" t="inlineStr">
        <is>
          <t>BJURHOLM</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38033-2019</t>
        </is>
      </c>
      <c r="B2054" s="1" t="n">
        <v>43683</v>
      </c>
      <c r="C2054" s="1" t="n">
        <v>45204</v>
      </c>
      <c r="D2054" t="inlineStr">
        <is>
          <t>VÄSTERBOTTENS LÄN</t>
        </is>
      </c>
      <c r="E2054" t="inlineStr">
        <is>
          <t>NORDMALING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38414-2019</t>
        </is>
      </c>
      <c r="B2055" s="1" t="n">
        <v>43683</v>
      </c>
      <c r="C2055" s="1" t="n">
        <v>45204</v>
      </c>
      <c r="D2055" t="inlineStr">
        <is>
          <t>VÄSTERBOTTENS LÄN</t>
        </is>
      </c>
      <c r="E2055" t="inlineStr">
        <is>
          <t>ROBERTSFORS</t>
        </is>
      </c>
      <c r="G2055" t="n">
        <v>7</v>
      </c>
      <c r="H2055" t="n">
        <v>0</v>
      </c>
      <c r="I2055" t="n">
        <v>0</v>
      </c>
      <c r="J2055" t="n">
        <v>0</v>
      </c>
      <c r="K2055" t="n">
        <v>0</v>
      </c>
      <c r="L2055" t="n">
        <v>0</v>
      </c>
      <c r="M2055" t="n">
        <v>0</v>
      </c>
      <c r="N2055" t="n">
        <v>0</v>
      </c>
      <c r="O2055" t="n">
        <v>0</v>
      </c>
      <c r="P2055" t="n">
        <v>0</v>
      </c>
      <c r="Q2055" t="n">
        <v>0</v>
      </c>
      <c r="R2055" s="2" t="inlineStr"/>
    </row>
    <row r="2056" ht="15" customHeight="1">
      <c r="A2056" t="inlineStr">
        <is>
          <t>A 38133-2019</t>
        </is>
      </c>
      <c r="B2056" s="1" t="n">
        <v>43684</v>
      </c>
      <c r="C2056" s="1" t="n">
        <v>45204</v>
      </c>
      <c r="D2056" t="inlineStr">
        <is>
          <t>VÄSTERBOTTENS LÄN</t>
        </is>
      </c>
      <c r="E2056" t="inlineStr">
        <is>
          <t>LYCKSELE</t>
        </is>
      </c>
      <c r="F2056" t="inlineStr">
        <is>
          <t>Sveaskog</t>
        </is>
      </c>
      <c r="G2056" t="n">
        <v>9.199999999999999</v>
      </c>
      <c r="H2056" t="n">
        <v>0</v>
      </c>
      <c r="I2056" t="n">
        <v>0</v>
      </c>
      <c r="J2056" t="n">
        <v>0</v>
      </c>
      <c r="K2056" t="n">
        <v>0</v>
      </c>
      <c r="L2056" t="n">
        <v>0</v>
      </c>
      <c r="M2056" t="n">
        <v>0</v>
      </c>
      <c r="N2056" t="n">
        <v>0</v>
      </c>
      <c r="O2056" t="n">
        <v>0</v>
      </c>
      <c r="P2056" t="n">
        <v>0</v>
      </c>
      <c r="Q2056" t="n">
        <v>0</v>
      </c>
      <c r="R2056" s="2" t="inlineStr"/>
    </row>
    <row r="2057" ht="15" customHeight="1">
      <c r="A2057" t="inlineStr">
        <is>
          <t>A 38674-2019</t>
        </is>
      </c>
      <c r="B2057" s="1" t="n">
        <v>43684</v>
      </c>
      <c r="C2057" s="1" t="n">
        <v>45204</v>
      </c>
      <c r="D2057" t="inlineStr">
        <is>
          <t>VÄSTERBOTTENS LÄN</t>
        </is>
      </c>
      <c r="E2057" t="inlineStr">
        <is>
          <t>SKELLEFTEÅ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38551-2019</t>
        </is>
      </c>
      <c r="B2058" s="1" t="n">
        <v>43685</v>
      </c>
      <c r="C2058" s="1" t="n">
        <v>45204</v>
      </c>
      <c r="D2058" t="inlineStr">
        <is>
          <t>VÄSTERBOTTENS LÄN</t>
        </is>
      </c>
      <c r="E2058" t="inlineStr">
        <is>
          <t>LYCKSELE</t>
        </is>
      </c>
      <c r="F2058" t="inlineStr">
        <is>
          <t>Holmen skog AB</t>
        </is>
      </c>
      <c r="G2058" t="n">
        <v>16.2</v>
      </c>
      <c r="H2058" t="n">
        <v>0</v>
      </c>
      <c r="I2058" t="n">
        <v>0</v>
      </c>
      <c r="J2058" t="n">
        <v>0</v>
      </c>
      <c r="K2058" t="n">
        <v>0</v>
      </c>
      <c r="L2058" t="n">
        <v>0</v>
      </c>
      <c r="M2058" t="n">
        <v>0</v>
      </c>
      <c r="N2058" t="n">
        <v>0</v>
      </c>
      <c r="O2058" t="n">
        <v>0</v>
      </c>
      <c r="P2058" t="n">
        <v>0</v>
      </c>
      <c r="Q2058" t="n">
        <v>0</v>
      </c>
      <c r="R2058" s="2" t="inlineStr"/>
    </row>
    <row r="2059" ht="15" customHeight="1">
      <c r="A2059" t="inlineStr">
        <is>
          <t>A 38759-2019</t>
        </is>
      </c>
      <c r="B2059" s="1" t="n">
        <v>43686</v>
      </c>
      <c r="C2059" s="1" t="n">
        <v>45204</v>
      </c>
      <c r="D2059" t="inlineStr">
        <is>
          <t>VÄSTERBOTTENS LÄN</t>
        </is>
      </c>
      <c r="E2059" t="inlineStr">
        <is>
          <t>VINDELN</t>
        </is>
      </c>
      <c r="F2059" t="inlineStr">
        <is>
          <t>SCA</t>
        </is>
      </c>
      <c r="G2059" t="n">
        <v>8.300000000000001</v>
      </c>
      <c r="H2059" t="n">
        <v>0</v>
      </c>
      <c r="I2059" t="n">
        <v>0</v>
      </c>
      <c r="J2059" t="n">
        <v>0</v>
      </c>
      <c r="K2059" t="n">
        <v>0</v>
      </c>
      <c r="L2059" t="n">
        <v>0</v>
      </c>
      <c r="M2059" t="n">
        <v>0</v>
      </c>
      <c r="N2059" t="n">
        <v>0</v>
      </c>
      <c r="O2059" t="n">
        <v>0</v>
      </c>
      <c r="P2059" t="n">
        <v>0</v>
      </c>
      <c r="Q2059" t="n">
        <v>0</v>
      </c>
      <c r="R2059" s="2" t="inlineStr"/>
    </row>
    <row r="2060" ht="15" customHeight="1">
      <c r="A2060" t="inlineStr">
        <is>
          <t>A 38771-2019</t>
        </is>
      </c>
      <c r="B2060" s="1" t="n">
        <v>43686</v>
      </c>
      <c r="C2060" s="1" t="n">
        <v>45204</v>
      </c>
      <c r="D2060" t="inlineStr">
        <is>
          <t>VÄSTERBOTTENS LÄN</t>
        </is>
      </c>
      <c r="E2060" t="inlineStr">
        <is>
          <t>VINDELN</t>
        </is>
      </c>
      <c r="F2060" t="inlineStr">
        <is>
          <t>SCA</t>
        </is>
      </c>
      <c r="G2060" t="n">
        <v>4.1</v>
      </c>
      <c r="H2060" t="n">
        <v>0</v>
      </c>
      <c r="I2060" t="n">
        <v>0</v>
      </c>
      <c r="J2060" t="n">
        <v>0</v>
      </c>
      <c r="K2060" t="n">
        <v>0</v>
      </c>
      <c r="L2060" t="n">
        <v>0</v>
      </c>
      <c r="M2060" t="n">
        <v>0</v>
      </c>
      <c r="N2060" t="n">
        <v>0</v>
      </c>
      <c r="O2060" t="n">
        <v>0</v>
      </c>
      <c r="P2060" t="n">
        <v>0</v>
      </c>
      <c r="Q2060" t="n">
        <v>0</v>
      </c>
      <c r="R2060" s="2" t="inlineStr"/>
    </row>
    <row r="2061" ht="15" customHeight="1">
      <c r="A2061" t="inlineStr">
        <is>
          <t>A 38784-2019</t>
        </is>
      </c>
      <c r="B2061" s="1" t="n">
        <v>43686</v>
      </c>
      <c r="C2061" s="1" t="n">
        <v>45204</v>
      </c>
      <c r="D2061" t="inlineStr">
        <is>
          <t>VÄSTERBOTTENS LÄN</t>
        </is>
      </c>
      <c r="E2061" t="inlineStr">
        <is>
          <t>VINDELN</t>
        </is>
      </c>
      <c r="F2061" t="inlineStr">
        <is>
          <t>SCA</t>
        </is>
      </c>
      <c r="G2061" t="n">
        <v>3.9</v>
      </c>
      <c r="H2061" t="n">
        <v>0</v>
      </c>
      <c r="I2061" t="n">
        <v>0</v>
      </c>
      <c r="J2061" t="n">
        <v>0</v>
      </c>
      <c r="K2061" t="n">
        <v>0</v>
      </c>
      <c r="L2061" t="n">
        <v>0</v>
      </c>
      <c r="M2061" t="n">
        <v>0</v>
      </c>
      <c r="N2061" t="n">
        <v>0</v>
      </c>
      <c r="O2061" t="n">
        <v>0</v>
      </c>
      <c r="P2061" t="n">
        <v>0</v>
      </c>
      <c r="Q2061" t="n">
        <v>0</v>
      </c>
      <c r="R2061" s="2" t="inlineStr"/>
    </row>
    <row r="2062" ht="15" customHeight="1">
      <c r="A2062" t="inlineStr">
        <is>
          <t>A 39619-2019</t>
        </is>
      </c>
      <c r="B2062" s="1" t="n">
        <v>43686</v>
      </c>
      <c r="C2062" s="1" t="n">
        <v>45204</v>
      </c>
      <c r="D2062" t="inlineStr">
        <is>
          <t>VÄSTERBOTTENS LÄN</t>
        </is>
      </c>
      <c r="E2062" t="inlineStr">
        <is>
          <t>ROBERTSFORS</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38761-2019</t>
        </is>
      </c>
      <c r="B2063" s="1" t="n">
        <v>43686</v>
      </c>
      <c r="C2063" s="1" t="n">
        <v>45204</v>
      </c>
      <c r="D2063" t="inlineStr">
        <is>
          <t>VÄSTERBOTTENS LÄN</t>
        </is>
      </c>
      <c r="E2063" t="inlineStr">
        <is>
          <t>VINDELN</t>
        </is>
      </c>
      <c r="F2063" t="inlineStr">
        <is>
          <t>SCA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38772-2019</t>
        </is>
      </c>
      <c r="B2064" s="1" t="n">
        <v>43686</v>
      </c>
      <c r="C2064" s="1" t="n">
        <v>45204</v>
      </c>
      <c r="D2064" t="inlineStr">
        <is>
          <t>VÄSTERBOTTENS LÄN</t>
        </is>
      </c>
      <c r="E2064" t="inlineStr">
        <is>
          <t>ÅSELE</t>
        </is>
      </c>
      <c r="F2064" t="inlineStr">
        <is>
          <t>SCA</t>
        </is>
      </c>
      <c r="G2064" t="n">
        <v>11.6</v>
      </c>
      <c r="H2064" t="n">
        <v>0</v>
      </c>
      <c r="I2064" t="n">
        <v>0</v>
      </c>
      <c r="J2064" t="n">
        <v>0</v>
      </c>
      <c r="K2064" t="n">
        <v>0</v>
      </c>
      <c r="L2064" t="n">
        <v>0</v>
      </c>
      <c r="M2064" t="n">
        <v>0</v>
      </c>
      <c r="N2064" t="n">
        <v>0</v>
      </c>
      <c r="O2064" t="n">
        <v>0</v>
      </c>
      <c r="P2064" t="n">
        <v>0</v>
      </c>
      <c r="Q2064" t="n">
        <v>0</v>
      </c>
      <c r="R2064" s="2" t="inlineStr"/>
    </row>
    <row r="2065" ht="15" customHeight="1">
      <c r="A2065" t="inlineStr">
        <is>
          <t>A 38797-2019</t>
        </is>
      </c>
      <c r="B2065" s="1" t="n">
        <v>43688</v>
      </c>
      <c r="C2065" s="1" t="n">
        <v>45204</v>
      </c>
      <c r="D2065" t="inlineStr">
        <is>
          <t>VÄSTERBOTTENS LÄN</t>
        </is>
      </c>
      <c r="E2065" t="inlineStr">
        <is>
          <t>SKELLEFTEÅ</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38800-2019</t>
        </is>
      </c>
      <c r="B2066" s="1" t="n">
        <v>43688</v>
      </c>
      <c r="C2066" s="1" t="n">
        <v>45204</v>
      </c>
      <c r="D2066" t="inlineStr">
        <is>
          <t>VÄSTERBOTTENS LÄN</t>
        </is>
      </c>
      <c r="E2066" t="inlineStr">
        <is>
          <t>LYCKSELE</t>
        </is>
      </c>
      <c r="F2066" t="inlineStr">
        <is>
          <t>Holmen skog AB</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38973-2019</t>
        </is>
      </c>
      <c r="B2067" s="1" t="n">
        <v>43689</v>
      </c>
      <c r="C2067" s="1" t="n">
        <v>45204</v>
      </c>
      <c r="D2067" t="inlineStr">
        <is>
          <t>VÄSTERBOTTENS LÄN</t>
        </is>
      </c>
      <c r="E2067" t="inlineStr">
        <is>
          <t>SKELLEFTEÅ</t>
        </is>
      </c>
      <c r="F2067" t="inlineStr">
        <is>
          <t>Holmen skog AB</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39067-2019</t>
        </is>
      </c>
      <c r="B2068" s="1" t="n">
        <v>43689</v>
      </c>
      <c r="C2068" s="1" t="n">
        <v>45204</v>
      </c>
      <c r="D2068" t="inlineStr">
        <is>
          <t>VÄSTERBOTTENS LÄN</t>
        </is>
      </c>
      <c r="E2068" t="inlineStr">
        <is>
          <t>NORDMALING</t>
        </is>
      </c>
      <c r="G2068" t="n">
        <v>3.9</v>
      </c>
      <c r="H2068" t="n">
        <v>0</v>
      </c>
      <c r="I2068" t="n">
        <v>0</v>
      </c>
      <c r="J2068" t="n">
        <v>0</v>
      </c>
      <c r="K2068" t="n">
        <v>0</v>
      </c>
      <c r="L2068" t="n">
        <v>0</v>
      </c>
      <c r="M2068" t="n">
        <v>0</v>
      </c>
      <c r="N2068" t="n">
        <v>0</v>
      </c>
      <c r="O2068" t="n">
        <v>0</v>
      </c>
      <c r="P2068" t="n">
        <v>0</v>
      </c>
      <c r="Q2068" t="n">
        <v>0</v>
      </c>
      <c r="R2068" s="2" t="inlineStr"/>
    </row>
    <row r="2069" ht="15" customHeight="1">
      <c r="A2069" t="inlineStr">
        <is>
          <t>A 39106-2019</t>
        </is>
      </c>
      <c r="B2069" s="1" t="n">
        <v>43689</v>
      </c>
      <c r="C2069" s="1" t="n">
        <v>45204</v>
      </c>
      <c r="D2069" t="inlineStr">
        <is>
          <t>VÄSTERBOTTENS LÄN</t>
        </is>
      </c>
      <c r="E2069" t="inlineStr">
        <is>
          <t>SKELLEFTEÅ</t>
        </is>
      </c>
      <c r="F2069" t="inlineStr">
        <is>
          <t>Holmen skog AB</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39138-2019</t>
        </is>
      </c>
      <c r="B2070" s="1" t="n">
        <v>43689</v>
      </c>
      <c r="C2070" s="1" t="n">
        <v>45204</v>
      </c>
      <c r="D2070" t="inlineStr">
        <is>
          <t>VÄSTERBOTTENS LÄN</t>
        </is>
      </c>
      <c r="E2070" t="inlineStr">
        <is>
          <t>NORDMALING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39889-2019</t>
        </is>
      </c>
      <c r="B2071" s="1" t="n">
        <v>43689</v>
      </c>
      <c r="C2071" s="1" t="n">
        <v>45204</v>
      </c>
      <c r="D2071" t="inlineStr">
        <is>
          <t>VÄSTERBOTTENS LÄN</t>
        </is>
      </c>
      <c r="E2071" t="inlineStr">
        <is>
          <t>NORSJÖ</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40002-2019</t>
        </is>
      </c>
      <c r="B2072" s="1" t="n">
        <v>43689</v>
      </c>
      <c r="C2072" s="1" t="n">
        <v>45204</v>
      </c>
      <c r="D2072" t="inlineStr">
        <is>
          <t>VÄSTERBOTTENS LÄN</t>
        </is>
      </c>
      <c r="E2072" t="inlineStr">
        <is>
          <t>ROBERTSFORS</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39060-2019</t>
        </is>
      </c>
      <c r="B2073" s="1" t="n">
        <v>43689</v>
      </c>
      <c r="C2073" s="1" t="n">
        <v>45204</v>
      </c>
      <c r="D2073" t="inlineStr">
        <is>
          <t>VÄSTERBOTTENS LÄN</t>
        </is>
      </c>
      <c r="E2073" t="inlineStr">
        <is>
          <t>ROBERTSFORS</t>
        </is>
      </c>
      <c r="F2073" t="inlineStr">
        <is>
          <t>Holmen skog AB</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39719-2019</t>
        </is>
      </c>
      <c r="B2074" s="1" t="n">
        <v>43689</v>
      </c>
      <c r="C2074" s="1" t="n">
        <v>45204</v>
      </c>
      <c r="D2074" t="inlineStr">
        <is>
          <t>VÄSTERBOTTENS LÄN</t>
        </is>
      </c>
      <c r="E2074" t="inlineStr">
        <is>
          <t>VÄNNÄS</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40003-2019</t>
        </is>
      </c>
      <c r="B2075" s="1" t="n">
        <v>43689</v>
      </c>
      <c r="C2075" s="1" t="n">
        <v>45204</v>
      </c>
      <c r="D2075" t="inlineStr">
        <is>
          <t>VÄSTERBOTTENS LÄN</t>
        </is>
      </c>
      <c r="E2075" t="inlineStr">
        <is>
          <t>ROBERTSFORS</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39401-2019</t>
        </is>
      </c>
      <c r="B2076" s="1" t="n">
        <v>43690</v>
      </c>
      <c r="C2076" s="1" t="n">
        <v>45204</v>
      </c>
      <c r="D2076" t="inlineStr">
        <is>
          <t>VÄSTERBOTTENS LÄN</t>
        </is>
      </c>
      <c r="E2076" t="inlineStr">
        <is>
          <t>VINDELN</t>
        </is>
      </c>
      <c r="F2076" t="inlineStr">
        <is>
          <t>SCA</t>
        </is>
      </c>
      <c r="G2076" t="n">
        <v>4.1</v>
      </c>
      <c r="H2076" t="n">
        <v>0</v>
      </c>
      <c r="I2076" t="n">
        <v>0</v>
      </c>
      <c r="J2076" t="n">
        <v>0</v>
      </c>
      <c r="K2076" t="n">
        <v>0</v>
      </c>
      <c r="L2076" t="n">
        <v>0</v>
      </c>
      <c r="M2076" t="n">
        <v>0</v>
      </c>
      <c r="N2076" t="n">
        <v>0</v>
      </c>
      <c r="O2076" t="n">
        <v>0</v>
      </c>
      <c r="P2076" t="n">
        <v>0</v>
      </c>
      <c r="Q2076" t="n">
        <v>0</v>
      </c>
      <c r="R2076" s="2" t="inlineStr"/>
    </row>
    <row r="2077" ht="15" customHeight="1">
      <c r="A2077" t="inlineStr">
        <is>
          <t>A 39201-2019</t>
        </is>
      </c>
      <c r="B2077" s="1" t="n">
        <v>43690</v>
      </c>
      <c r="C2077" s="1" t="n">
        <v>45204</v>
      </c>
      <c r="D2077" t="inlineStr">
        <is>
          <t>VÄSTERBOTTENS LÄN</t>
        </is>
      </c>
      <c r="E2077" t="inlineStr">
        <is>
          <t>LYCKSELE</t>
        </is>
      </c>
      <c r="F2077" t="inlineStr">
        <is>
          <t>Sveaskog</t>
        </is>
      </c>
      <c r="G2077" t="n">
        <v>9.1</v>
      </c>
      <c r="H2077" t="n">
        <v>0</v>
      </c>
      <c r="I2077" t="n">
        <v>0</v>
      </c>
      <c r="J2077" t="n">
        <v>0</v>
      </c>
      <c r="K2077" t="n">
        <v>0</v>
      </c>
      <c r="L2077" t="n">
        <v>0</v>
      </c>
      <c r="M2077" t="n">
        <v>0</v>
      </c>
      <c r="N2077" t="n">
        <v>0</v>
      </c>
      <c r="O2077" t="n">
        <v>0</v>
      </c>
      <c r="P2077" t="n">
        <v>0</v>
      </c>
      <c r="Q2077" t="n">
        <v>0</v>
      </c>
      <c r="R2077" s="2" t="inlineStr"/>
    </row>
    <row r="2078" ht="15" customHeight="1">
      <c r="A2078" t="inlineStr">
        <is>
          <t>A 39402-2019</t>
        </is>
      </c>
      <c r="B2078" s="1" t="n">
        <v>43690</v>
      </c>
      <c r="C2078" s="1" t="n">
        <v>45204</v>
      </c>
      <c r="D2078" t="inlineStr">
        <is>
          <t>VÄSTERBOTTENS LÄN</t>
        </is>
      </c>
      <c r="E2078" t="inlineStr">
        <is>
          <t>VINDELN</t>
        </is>
      </c>
      <c r="F2078" t="inlineStr">
        <is>
          <t>SCA</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39162-2019</t>
        </is>
      </c>
      <c r="B2079" s="1" t="n">
        <v>43690</v>
      </c>
      <c r="C2079" s="1" t="n">
        <v>45204</v>
      </c>
      <c r="D2079" t="inlineStr">
        <is>
          <t>VÄSTERBOTTENS LÄN</t>
        </is>
      </c>
      <c r="E2079" t="inlineStr">
        <is>
          <t>MALÅ</t>
        </is>
      </c>
      <c r="F2079" t="inlineStr">
        <is>
          <t>Sveaskog</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39324-2019</t>
        </is>
      </c>
      <c r="B2080" s="1" t="n">
        <v>43690</v>
      </c>
      <c r="C2080" s="1" t="n">
        <v>45204</v>
      </c>
      <c r="D2080" t="inlineStr">
        <is>
          <t>VÄSTERBOTTENS LÄN</t>
        </is>
      </c>
      <c r="E2080" t="inlineStr">
        <is>
          <t>ROBERTSFORS</t>
        </is>
      </c>
      <c r="F2080" t="inlineStr">
        <is>
          <t>Holmen skog AB</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39373-2019</t>
        </is>
      </c>
      <c r="B2081" s="1" t="n">
        <v>43690</v>
      </c>
      <c r="C2081" s="1" t="n">
        <v>45204</v>
      </c>
      <c r="D2081" t="inlineStr">
        <is>
          <t>VÄSTERBOTTENS LÄN</t>
        </is>
      </c>
      <c r="E2081" t="inlineStr">
        <is>
          <t>LYCKSELE</t>
        </is>
      </c>
      <c r="F2081" t="inlineStr">
        <is>
          <t>Holmen skog AB</t>
        </is>
      </c>
      <c r="G2081" t="n">
        <v>11.5</v>
      </c>
      <c r="H2081" t="n">
        <v>0</v>
      </c>
      <c r="I2081" t="n">
        <v>0</v>
      </c>
      <c r="J2081" t="n">
        <v>0</v>
      </c>
      <c r="K2081" t="n">
        <v>0</v>
      </c>
      <c r="L2081" t="n">
        <v>0</v>
      </c>
      <c r="M2081" t="n">
        <v>0</v>
      </c>
      <c r="N2081" t="n">
        <v>0</v>
      </c>
      <c r="O2081" t="n">
        <v>0</v>
      </c>
      <c r="P2081" t="n">
        <v>0</v>
      </c>
      <c r="Q2081" t="n">
        <v>0</v>
      </c>
      <c r="R2081" s="2" t="inlineStr"/>
    </row>
    <row r="2082" ht="15" customHeight="1">
      <c r="A2082" t="inlineStr">
        <is>
          <t>A 39406-2019</t>
        </is>
      </c>
      <c r="B2082" s="1" t="n">
        <v>43690</v>
      </c>
      <c r="C2082" s="1" t="n">
        <v>45204</v>
      </c>
      <c r="D2082" t="inlineStr">
        <is>
          <t>VÄSTERBOTTENS LÄN</t>
        </is>
      </c>
      <c r="E2082" t="inlineStr">
        <is>
          <t>VINDELN</t>
        </is>
      </c>
      <c r="F2082" t="inlineStr">
        <is>
          <t>SCA</t>
        </is>
      </c>
      <c r="G2082" t="n">
        <v>30.1</v>
      </c>
      <c r="H2082" t="n">
        <v>0</v>
      </c>
      <c r="I2082" t="n">
        <v>0</v>
      </c>
      <c r="J2082" t="n">
        <v>0</v>
      </c>
      <c r="K2082" t="n">
        <v>0</v>
      </c>
      <c r="L2082" t="n">
        <v>0</v>
      </c>
      <c r="M2082" t="n">
        <v>0</v>
      </c>
      <c r="N2082" t="n">
        <v>0</v>
      </c>
      <c r="O2082" t="n">
        <v>0</v>
      </c>
      <c r="P2082" t="n">
        <v>0</v>
      </c>
      <c r="Q2082" t="n">
        <v>0</v>
      </c>
      <c r="R2082" s="2" t="inlineStr"/>
      <c r="U2082">
        <f>HYPERLINK("https://klasma.github.io/Logging_VINDELN/knärot/A 39406-2019.png", "A 39406-2019")</f>
        <v/>
      </c>
      <c r="V2082">
        <f>HYPERLINK("https://klasma.github.io/Logging_VINDELN/klagomål/A 39406-2019.docx", "A 39406-2019")</f>
        <v/>
      </c>
      <c r="W2082">
        <f>HYPERLINK("https://klasma.github.io/Logging_VINDELN/klagomålsmail/A 39406-2019.docx", "A 39406-2019")</f>
        <v/>
      </c>
      <c r="X2082">
        <f>HYPERLINK("https://klasma.github.io/Logging_VINDELN/tillsyn/A 39406-2019.docx", "A 39406-2019")</f>
        <v/>
      </c>
      <c r="Y2082">
        <f>HYPERLINK("https://klasma.github.io/Logging_VINDELN/tillsynsmail/A 39406-2019.docx", "A 39406-2019")</f>
        <v/>
      </c>
    </row>
    <row r="2083" ht="15" customHeight="1">
      <c r="A2083" t="inlineStr">
        <is>
          <t>A 40282-2019</t>
        </is>
      </c>
      <c r="B2083" s="1" t="n">
        <v>43690</v>
      </c>
      <c r="C2083" s="1" t="n">
        <v>45204</v>
      </c>
      <c r="D2083" t="inlineStr">
        <is>
          <t>VÄSTERBOTTENS LÄN</t>
        </is>
      </c>
      <c r="E2083" t="inlineStr">
        <is>
          <t>VILHELMINA</t>
        </is>
      </c>
      <c r="G2083" t="n">
        <v>13.2</v>
      </c>
      <c r="H2083" t="n">
        <v>0</v>
      </c>
      <c r="I2083" t="n">
        <v>0</v>
      </c>
      <c r="J2083" t="n">
        <v>0</v>
      </c>
      <c r="K2083" t="n">
        <v>0</v>
      </c>
      <c r="L2083" t="n">
        <v>0</v>
      </c>
      <c r="M2083" t="n">
        <v>0</v>
      </c>
      <c r="N2083" t="n">
        <v>0</v>
      </c>
      <c r="O2083" t="n">
        <v>0</v>
      </c>
      <c r="P2083" t="n">
        <v>0</v>
      </c>
      <c r="Q2083" t="n">
        <v>0</v>
      </c>
      <c r="R2083" s="2" t="inlineStr"/>
    </row>
    <row r="2084" ht="15" customHeight="1">
      <c r="A2084" t="inlineStr">
        <is>
          <t>A 39927-2019</t>
        </is>
      </c>
      <c r="B2084" s="1" t="n">
        <v>43691</v>
      </c>
      <c r="C2084" s="1" t="n">
        <v>45204</v>
      </c>
      <c r="D2084" t="inlineStr">
        <is>
          <t>VÄSTERBOTTENS LÄN</t>
        </is>
      </c>
      <c r="E2084" t="inlineStr">
        <is>
          <t>ROBERTSFORS</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39567-2019</t>
        </is>
      </c>
      <c r="B2085" s="1" t="n">
        <v>43691</v>
      </c>
      <c r="C2085" s="1" t="n">
        <v>45204</v>
      </c>
      <c r="D2085" t="inlineStr">
        <is>
          <t>VÄSTERBOTTENS LÄN</t>
        </is>
      </c>
      <c r="E2085" t="inlineStr">
        <is>
          <t>NORDMALING</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41150-2019</t>
        </is>
      </c>
      <c r="B2086" s="1" t="n">
        <v>43691</v>
      </c>
      <c r="C2086" s="1" t="n">
        <v>45204</v>
      </c>
      <c r="D2086" t="inlineStr">
        <is>
          <t>VÄSTERBOTTENS LÄN</t>
        </is>
      </c>
      <c r="E2086" t="inlineStr">
        <is>
          <t>LYCKSELE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40833-2019</t>
        </is>
      </c>
      <c r="B2087" s="1" t="n">
        <v>43692</v>
      </c>
      <c r="C2087" s="1" t="n">
        <v>45204</v>
      </c>
      <c r="D2087" t="inlineStr">
        <is>
          <t>VÄSTERBOTTENS LÄN</t>
        </is>
      </c>
      <c r="E2087" t="inlineStr">
        <is>
          <t>ROBERTSFORS</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40932-2019</t>
        </is>
      </c>
      <c r="B2088" s="1" t="n">
        <v>43693</v>
      </c>
      <c r="C2088" s="1" t="n">
        <v>45204</v>
      </c>
      <c r="D2088" t="inlineStr">
        <is>
          <t>VÄSTERBOTTENS LÄN</t>
        </is>
      </c>
      <c r="E2088" t="inlineStr">
        <is>
          <t>BJURHOLM</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41058-2019</t>
        </is>
      </c>
      <c r="B2089" s="1" t="n">
        <v>43693</v>
      </c>
      <c r="C2089" s="1" t="n">
        <v>45204</v>
      </c>
      <c r="D2089" t="inlineStr">
        <is>
          <t>VÄSTERBOTTENS LÄN</t>
        </is>
      </c>
      <c r="E2089" t="inlineStr">
        <is>
          <t>UMEÅ</t>
        </is>
      </c>
      <c r="G2089" t="n">
        <v>12.5</v>
      </c>
      <c r="H2089" t="n">
        <v>0</v>
      </c>
      <c r="I2089" t="n">
        <v>0</v>
      </c>
      <c r="J2089" t="n">
        <v>0</v>
      </c>
      <c r="K2089" t="n">
        <v>0</v>
      </c>
      <c r="L2089" t="n">
        <v>0</v>
      </c>
      <c r="M2089" t="n">
        <v>0</v>
      </c>
      <c r="N2089" t="n">
        <v>0</v>
      </c>
      <c r="O2089" t="n">
        <v>0</v>
      </c>
      <c r="P2089" t="n">
        <v>0</v>
      </c>
      <c r="Q2089" t="n">
        <v>0</v>
      </c>
      <c r="R2089" s="2" t="inlineStr"/>
    </row>
    <row r="2090" ht="15" customHeight="1">
      <c r="A2090" t="inlineStr">
        <is>
          <t>A 41121-2019</t>
        </is>
      </c>
      <c r="B2090" s="1" t="n">
        <v>43693</v>
      </c>
      <c r="C2090" s="1" t="n">
        <v>45204</v>
      </c>
      <c r="D2090" t="inlineStr">
        <is>
          <t>VÄSTERBOTTENS LÄN</t>
        </is>
      </c>
      <c r="E2090" t="inlineStr">
        <is>
          <t>ROBERTSFORS</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40135-2019</t>
        </is>
      </c>
      <c r="B2091" s="1" t="n">
        <v>43693</v>
      </c>
      <c r="C2091" s="1" t="n">
        <v>45204</v>
      </c>
      <c r="D2091" t="inlineStr">
        <is>
          <t>VÄSTERBOTTENS LÄN</t>
        </is>
      </c>
      <c r="E2091" t="inlineStr">
        <is>
          <t>VINDELN</t>
        </is>
      </c>
      <c r="F2091" t="inlineStr">
        <is>
          <t>Sveaskog</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40882-2019</t>
        </is>
      </c>
      <c r="B2092" s="1" t="n">
        <v>43693</v>
      </c>
      <c r="C2092" s="1" t="n">
        <v>45204</v>
      </c>
      <c r="D2092" t="inlineStr">
        <is>
          <t>VÄSTERBOTTENS LÄN</t>
        </is>
      </c>
      <c r="E2092" t="inlineStr">
        <is>
          <t>STORUMAN</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40120-2019</t>
        </is>
      </c>
      <c r="B2093" s="1" t="n">
        <v>43693</v>
      </c>
      <c r="C2093" s="1" t="n">
        <v>45204</v>
      </c>
      <c r="D2093" t="inlineStr">
        <is>
          <t>VÄSTERBOTTENS LÄN</t>
        </is>
      </c>
      <c r="E2093" t="inlineStr">
        <is>
          <t>UMEÅ</t>
        </is>
      </c>
      <c r="F2093" t="inlineStr">
        <is>
          <t>Holmen skog AB</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40310-2019</t>
        </is>
      </c>
      <c r="B2094" s="1" t="n">
        <v>43696</v>
      </c>
      <c r="C2094" s="1" t="n">
        <v>45204</v>
      </c>
      <c r="D2094" t="inlineStr">
        <is>
          <t>VÄSTERBOTTENS LÄN</t>
        </is>
      </c>
      <c r="E2094" t="inlineStr">
        <is>
          <t>LYCKSELE</t>
        </is>
      </c>
      <c r="F2094" t="inlineStr">
        <is>
          <t>Holmen skog AB</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40470-2019</t>
        </is>
      </c>
      <c r="B2095" s="1" t="n">
        <v>43696</v>
      </c>
      <c r="C2095" s="1" t="n">
        <v>45204</v>
      </c>
      <c r="D2095" t="inlineStr">
        <is>
          <t>VÄSTERBOTTENS LÄN</t>
        </is>
      </c>
      <c r="E2095" t="inlineStr">
        <is>
          <t>ROBERTSFORS</t>
        </is>
      </c>
      <c r="F2095" t="inlineStr">
        <is>
          <t>Holmen skog AB</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41585-2019</t>
        </is>
      </c>
      <c r="B2096" s="1" t="n">
        <v>43696</v>
      </c>
      <c r="C2096" s="1" t="n">
        <v>45204</v>
      </c>
      <c r="D2096" t="inlineStr">
        <is>
          <t>VÄSTERBOTTENS LÄN</t>
        </is>
      </c>
      <c r="E2096" t="inlineStr">
        <is>
          <t>SKELLEFTEÅ</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41648-2019</t>
        </is>
      </c>
      <c r="B2097" s="1" t="n">
        <v>43696</v>
      </c>
      <c r="C2097" s="1" t="n">
        <v>45204</v>
      </c>
      <c r="D2097" t="inlineStr">
        <is>
          <t>VÄSTERBOTTENS LÄN</t>
        </is>
      </c>
      <c r="E2097" t="inlineStr">
        <is>
          <t>SKELLEFTEÅ</t>
        </is>
      </c>
      <c r="G2097" t="n">
        <v>2.9</v>
      </c>
      <c r="H2097" t="n">
        <v>0</v>
      </c>
      <c r="I2097" t="n">
        <v>0</v>
      </c>
      <c r="J2097" t="n">
        <v>0</v>
      </c>
      <c r="K2097" t="n">
        <v>0</v>
      </c>
      <c r="L2097" t="n">
        <v>0</v>
      </c>
      <c r="M2097" t="n">
        <v>0</v>
      </c>
      <c r="N2097" t="n">
        <v>0</v>
      </c>
      <c r="O2097" t="n">
        <v>0</v>
      </c>
      <c r="P2097" t="n">
        <v>0</v>
      </c>
      <c r="Q2097" t="n">
        <v>0</v>
      </c>
      <c r="R2097" s="2" t="inlineStr"/>
    </row>
    <row r="2098" ht="15" customHeight="1">
      <c r="A2098" t="inlineStr">
        <is>
          <t>A 40329-2019</t>
        </is>
      </c>
      <c r="B2098" s="1" t="n">
        <v>43696</v>
      </c>
      <c r="C2098" s="1" t="n">
        <v>45204</v>
      </c>
      <c r="D2098" t="inlineStr">
        <is>
          <t>VÄSTERBOTTENS LÄN</t>
        </is>
      </c>
      <c r="E2098" t="inlineStr">
        <is>
          <t>ROBERTSFORS</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40431-2019</t>
        </is>
      </c>
      <c r="B2099" s="1" t="n">
        <v>43696</v>
      </c>
      <c r="C2099" s="1" t="n">
        <v>45204</v>
      </c>
      <c r="D2099" t="inlineStr">
        <is>
          <t>VÄSTERBOTTENS LÄN</t>
        </is>
      </c>
      <c r="E2099" t="inlineStr">
        <is>
          <t>VINDELN</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40501-2019</t>
        </is>
      </c>
      <c r="B2100" s="1" t="n">
        <v>43696</v>
      </c>
      <c r="C2100" s="1" t="n">
        <v>45204</v>
      </c>
      <c r="D2100" t="inlineStr">
        <is>
          <t>VÄSTERBOTTENS LÄN</t>
        </is>
      </c>
      <c r="E2100" t="inlineStr">
        <is>
          <t>DOROTEA</t>
        </is>
      </c>
      <c r="F2100" t="inlineStr">
        <is>
          <t>SCA</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40562-2019</t>
        </is>
      </c>
      <c r="B2101" s="1" t="n">
        <v>43696</v>
      </c>
      <c r="C2101" s="1" t="n">
        <v>45204</v>
      </c>
      <c r="D2101" t="inlineStr">
        <is>
          <t>VÄSTERBOTTENS LÄN</t>
        </is>
      </c>
      <c r="E2101" t="inlineStr">
        <is>
          <t>SKELLEFTEÅ</t>
        </is>
      </c>
      <c r="F2101" t="inlineStr">
        <is>
          <t>Holmen skog AB</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40612-2019</t>
        </is>
      </c>
      <c r="B2102" s="1" t="n">
        <v>43696</v>
      </c>
      <c r="C2102" s="1" t="n">
        <v>45204</v>
      </c>
      <c r="D2102" t="inlineStr">
        <is>
          <t>VÄSTERBOTTENS LÄN</t>
        </is>
      </c>
      <c r="E2102" t="inlineStr">
        <is>
          <t>NORSJÖ</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40666-2019</t>
        </is>
      </c>
      <c r="B2103" s="1" t="n">
        <v>43696</v>
      </c>
      <c r="C2103" s="1" t="n">
        <v>45204</v>
      </c>
      <c r="D2103" t="inlineStr">
        <is>
          <t>VÄSTERBOTTENS LÄN</t>
        </is>
      </c>
      <c r="E2103" t="inlineStr">
        <is>
          <t>NORDMALING</t>
        </is>
      </c>
      <c r="F2103" t="inlineStr">
        <is>
          <t>SCA</t>
        </is>
      </c>
      <c r="G2103" t="n">
        <v>8.9</v>
      </c>
      <c r="H2103" t="n">
        <v>0</v>
      </c>
      <c r="I2103" t="n">
        <v>0</v>
      </c>
      <c r="J2103" t="n">
        <v>0</v>
      </c>
      <c r="K2103" t="n">
        <v>0</v>
      </c>
      <c r="L2103" t="n">
        <v>0</v>
      </c>
      <c r="M2103" t="n">
        <v>0</v>
      </c>
      <c r="N2103" t="n">
        <v>0</v>
      </c>
      <c r="O2103" t="n">
        <v>0</v>
      </c>
      <c r="P2103" t="n">
        <v>0</v>
      </c>
      <c r="Q2103" t="n">
        <v>0</v>
      </c>
      <c r="R2103" s="2" t="inlineStr"/>
    </row>
    <row r="2104" ht="15" customHeight="1">
      <c r="A2104" t="inlineStr">
        <is>
          <t>A 41298-2019</t>
        </is>
      </c>
      <c r="B2104" s="1" t="n">
        <v>43696</v>
      </c>
      <c r="C2104" s="1" t="n">
        <v>45204</v>
      </c>
      <c r="D2104" t="inlineStr">
        <is>
          <t>VÄSTERBOTTENS LÄN</t>
        </is>
      </c>
      <c r="E2104" t="inlineStr">
        <is>
          <t>ROBERTSFORS</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41375-2019</t>
        </is>
      </c>
      <c r="B2105" s="1" t="n">
        <v>43696</v>
      </c>
      <c r="C2105" s="1" t="n">
        <v>45204</v>
      </c>
      <c r="D2105" t="inlineStr">
        <is>
          <t>VÄSTERBOTTENS LÄN</t>
        </is>
      </c>
      <c r="E2105" t="inlineStr">
        <is>
          <t>LYCKSELE</t>
        </is>
      </c>
      <c r="G2105" t="n">
        <v>4.6</v>
      </c>
      <c r="H2105" t="n">
        <v>0</v>
      </c>
      <c r="I2105" t="n">
        <v>0</v>
      </c>
      <c r="J2105" t="n">
        <v>0</v>
      </c>
      <c r="K2105" t="n">
        <v>0</v>
      </c>
      <c r="L2105" t="n">
        <v>0</v>
      </c>
      <c r="M2105" t="n">
        <v>0</v>
      </c>
      <c r="N2105" t="n">
        <v>0</v>
      </c>
      <c r="O2105" t="n">
        <v>0</v>
      </c>
      <c r="P2105" t="n">
        <v>0</v>
      </c>
      <c r="Q2105" t="n">
        <v>0</v>
      </c>
      <c r="R2105" s="2" t="inlineStr"/>
    </row>
    <row r="2106" ht="15" customHeight="1">
      <c r="A2106" t="inlineStr">
        <is>
          <t>A 41557-2019</t>
        </is>
      </c>
      <c r="B2106" s="1" t="n">
        <v>43696</v>
      </c>
      <c r="C2106" s="1" t="n">
        <v>45204</v>
      </c>
      <c r="D2106" t="inlineStr">
        <is>
          <t>VÄSTERBOTTENS LÄN</t>
        </is>
      </c>
      <c r="E2106" t="inlineStr">
        <is>
          <t>SKELLEFTEÅ</t>
        </is>
      </c>
      <c r="G2106" t="n">
        <v>5.9</v>
      </c>
      <c r="H2106" t="n">
        <v>0</v>
      </c>
      <c r="I2106" t="n">
        <v>0</v>
      </c>
      <c r="J2106" t="n">
        <v>0</v>
      </c>
      <c r="K2106" t="n">
        <v>0</v>
      </c>
      <c r="L2106" t="n">
        <v>0</v>
      </c>
      <c r="M2106" t="n">
        <v>0</v>
      </c>
      <c r="N2106" t="n">
        <v>0</v>
      </c>
      <c r="O2106" t="n">
        <v>0</v>
      </c>
      <c r="P2106" t="n">
        <v>0</v>
      </c>
      <c r="Q2106" t="n">
        <v>0</v>
      </c>
      <c r="R2106" s="2" t="inlineStr"/>
    </row>
    <row r="2107" ht="15" customHeight="1">
      <c r="A2107" t="inlineStr">
        <is>
          <t>A 40609-2019</t>
        </is>
      </c>
      <c r="B2107" s="1" t="n">
        <v>43696</v>
      </c>
      <c r="C2107" s="1" t="n">
        <v>45204</v>
      </c>
      <c r="D2107" t="inlineStr">
        <is>
          <t>VÄSTERBOTTENS LÄN</t>
        </is>
      </c>
      <c r="E2107" t="inlineStr">
        <is>
          <t>NORSJÖ</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40874-2019</t>
        </is>
      </c>
      <c r="B2108" s="1" t="n">
        <v>43697</v>
      </c>
      <c r="C2108" s="1" t="n">
        <v>45204</v>
      </c>
      <c r="D2108" t="inlineStr">
        <is>
          <t>VÄSTERBOTTENS LÄN</t>
        </is>
      </c>
      <c r="E2108" t="inlineStr">
        <is>
          <t>ROBERTSFORS</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40862-2019</t>
        </is>
      </c>
      <c r="B2109" s="1" t="n">
        <v>43697</v>
      </c>
      <c r="C2109" s="1" t="n">
        <v>45204</v>
      </c>
      <c r="D2109" t="inlineStr">
        <is>
          <t>VÄSTERBOTTENS LÄN</t>
        </is>
      </c>
      <c r="E2109" t="inlineStr">
        <is>
          <t>ÅSELE</t>
        </is>
      </c>
      <c r="G2109" t="n">
        <v>10.6</v>
      </c>
      <c r="H2109" t="n">
        <v>0</v>
      </c>
      <c r="I2109" t="n">
        <v>0</v>
      </c>
      <c r="J2109" t="n">
        <v>0</v>
      </c>
      <c r="K2109" t="n">
        <v>0</v>
      </c>
      <c r="L2109" t="n">
        <v>0</v>
      </c>
      <c r="M2109" t="n">
        <v>0</v>
      </c>
      <c r="N2109" t="n">
        <v>0</v>
      </c>
      <c r="O2109" t="n">
        <v>0</v>
      </c>
      <c r="P2109" t="n">
        <v>0</v>
      </c>
      <c r="Q2109" t="n">
        <v>0</v>
      </c>
      <c r="R2109" s="2" t="inlineStr"/>
    </row>
    <row r="2110" ht="15" customHeight="1">
      <c r="A2110" t="inlineStr">
        <is>
          <t>A 40727-2019</t>
        </is>
      </c>
      <c r="B2110" s="1" t="n">
        <v>43697</v>
      </c>
      <c r="C2110" s="1" t="n">
        <v>45204</v>
      </c>
      <c r="D2110" t="inlineStr">
        <is>
          <t>VÄSTERBOTTENS LÄN</t>
        </is>
      </c>
      <c r="E2110" t="inlineStr">
        <is>
          <t>SKELLEFTEÅ</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40744-2019</t>
        </is>
      </c>
      <c r="B2111" s="1" t="n">
        <v>43697</v>
      </c>
      <c r="C2111" s="1" t="n">
        <v>45204</v>
      </c>
      <c r="D2111" t="inlineStr">
        <is>
          <t>VÄSTERBOTTENS LÄN</t>
        </is>
      </c>
      <c r="E2111" t="inlineStr">
        <is>
          <t>SKELLEFTEÅ</t>
        </is>
      </c>
      <c r="G2111" t="n">
        <v>36.9</v>
      </c>
      <c r="H2111" t="n">
        <v>0</v>
      </c>
      <c r="I2111" t="n">
        <v>0</v>
      </c>
      <c r="J2111" t="n">
        <v>0</v>
      </c>
      <c r="K2111" t="n">
        <v>0</v>
      </c>
      <c r="L2111" t="n">
        <v>0</v>
      </c>
      <c r="M2111" t="n">
        <v>0</v>
      </c>
      <c r="N2111" t="n">
        <v>0</v>
      </c>
      <c r="O2111" t="n">
        <v>0</v>
      </c>
      <c r="P2111" t="n">
        <v>0</v>
      </c>
      <c r="Q2111" t="n">
        <v>0</v>
      </c>
      <c r="R2111" s="2" t="inlineStr"/>
    </row>
    <row r="2112" ht="15" customHeight="1">
      <c r="A2112" t="inlineStr">
        <is>
          <t>A 40819-2019</t>
        </is>
      </c>
      <c r="B2112" s="1" t="n">
        <v>43697</v>
      </c>
      <c r="C2112" s="1" t="n">
        <v>45204</v>
      </c>
      <c r="D2112" t="inlineStr">
        <is>
          <t>VÄSTERBOTTENS LÄN</t>
        </is>
      </c>
      <c r="E2112" t="inlineStr">
        <is>
          <t>NORDMALING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41287-2019</t>
        </is>
      </c>
      <c r="B2113" s="1" t="n">
        <v>43698</v>
      </c>
      <c r="C2113" s="1" t="n">
        <v>45204</v>
      </c>
      <c r="D2113" t="inlineStr">
        <is>
          <t>VÄSTERBOTTENS LÄN</t>
        </is>
      </c>
      <c r="E2113" t="inlineStr">
        <is>
          <t>BJURHOLM</t>
        </is>
      </c>
      <c r="F2113" t="inlineStr">
        <is>
          <t>Holmen skog AB</t>
        </is>
      </c>
      <c r="G2113" t="n">
        <v>3.2</v>
      </c>
      <c r="H2113" t="n">
        <v>0</v>
      </c>
      <c r="I2113" t="n">
        <v>0</v>
      </c>
      <c r="J2113" t="n">
        <v>0</v>
      </c>
      <c r="K2113" t="n">
        <v>0</v>
      </c>
      <c r="L2113" t="n">
        <v>0</v>
      </c>
      <c r="M2113" t="n">
        <v>0</v>
      </c>
      <c r="N2113" t="n">
        <v>0</v>
      </c>
      <c r="O2113" t="n">
        <v>0</v>
      </c>
      <c r="P2113" t="n">
        <v>0</v>
      </c>
      <c r="Q2113" t="n">
        <v>0</v>
      </c>
      <c r="R2113" s="2" t="inlineStr"/>
    </row>
    <row r="2114" ht="15" customHeight="1">
      <c r="A2114" t="inlineStr">
        <is>
          <t>A 41449-2019</t>
        </is>
      </c>
      <c r="B2114" s="1" t="n">
        <v>43698</v>
      </c>
      <c r="C2114" s="1" t="n">
        <v>45204</v>
      </c>
      <c r="D2114" t="inlineStr">
        <is>
          <t>VÄSTERBOTTENS LÄN</t>
        </is>
      </c>
      <c r="E2114" t="inlineStr">
        <is>
          <t>NORDMALING</t>
        </is>
      </c>
      <c r="G2114" t="n">
        <v>5.1</v>
      </c>
      <c r="H2114" t="n">
        <v>0</v>
      </c>
      <c r="I2114" t="n">
        <v>0</v>
      </c>
      <c r="J2114" t="n">
        <v>0</v>
      </c>
      <c r="K2114" t="n">
        <v>0</v>
      </c>
      <c r="L2114" t="n">
        <v>0</v>
      </c>
      <c r="M2114" t="n">
        <v>0</v>
      </c>
      <c r="N2114" t="n">
        <v>0</v>
      </c>
      <c r="O2114" t="n">
        <v>0</v>
      </c>
      <c r="P2114" t="n">
        <v>0</v>
      </c>
      <c r="Q2114" t="n">
        <v>0</v>
      </c>
      <c r="R2114" s="2" t="inlineStr"/>
    </row>
    <row r="2115" ht="15" customHeight="1">
      <c r="A2115" t="inlineStr">
        <is>
          <t>A 41080-2019</t>
        </is>
      </c>
      <c r="B2115" s="1" t="n">
        <v>43698</v>
      </c>
      <c r="C2115" s="1" t="n">
        <v>45204</v>
      </c>
      <c r="D2115" t="inlineStr">
        <is>
          <t>VÄSTERBOTTENS LÄN</t>
        </is>
      </c>
      <c r="E2115" t="inlineStr">
        <is>
          <t>BJURHOLM</t>
        </is>
      </c>
      <c r="F2115" t="inlineStr">
        <is>
          <t>Holmen skog AB</t>
        </is>
      </c>
      <c r="G2115" t="n">
        <v>10.9</v>
      </c>
      <c r="H2115" t="n">
        <v>0</v>
      </c>
      <c r="I2115" t="n">
        <v>0</v>
      </c>
      <c r="J2115" t="n">
        <v>0</v>
      </c>
      <c r="K2115" t="n">
        <v>0</v>
      </c>
      <c r="L2115" t="n">
        <v>0</v>
      </c>
      <c r="M2115" t="n">
        <v>0</v>
      </c>
      <c r="N2115" t="n">
        <v>0</v>
      </c>
      <c r="O2115" t="n">
        <v>0</v>
      </c>
      <c r="P2115" t="n">
        <v>0</v>
      </c>
      <c r="Q2115" t="n">
        <v>0</v>
      </c>
      <c r="R2115" s="2" t="inlineStr"/>
    </row>
    <row r="2116" ht="15" customHeight="1">
      <c r="A2116" t="inlineStr">
        <is>
          <t>A 41352-2019</t>
        </is>
      </c>
      <c r="B2116" s="1" t="n">
        <v>43698</v>
      </c>
      <c r="C2116" s="1" t="n">
        <v>45204</v>
      </c>
      <c r="D2116" t="inlineStr">
        <is>
          <t>VÄSTERBOTTENS LÄN</t>
        </is>
      </c>
      <c r="E2116" t="inlineStr">
        <is>
          <t>UMEÅ</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41782-2019</t>
        </is>
      </c>
      <c r="B2117" s="1" t="n">
        <v>43699</v>
      </c>
      <c r="C2117" s="1" t="n">
        <v>45204</v>
      </c>
      <c r="D2117" t="inlineStr">
        <is>
          <t>VÄSTERBOTTENS LÄN</t>
        </is>
      </c>
      <c r="E2117" t="inlineStr">
        <is>
          <t>VILHELMINA</t>
        </is>
      </c>
      <c r="F2117" t="inlineStr">
        <is>
          <t>SCA</t>
        </is>
      </c>
      <c r="G2117" t="n">
        <v>30.8</v>
      </c>
      <c r="H2117" t="n">
        <v>0</v>
      </c>
      <c r="I2117" t="n">
        <v>0</v>
      </c>
      <c r="J2117" t="n">
        <v>0</v>
      </c>
      <c r="K2117" t="n">
        <v>0</v>
      </c>
      <c r="L2117" t="n">
        <v>0</v>
      </c>
      <c r="M2117" t="n">
        <v>0</v>
      </c>
      <c r="N2117" t="n">
        <v>0</v>
      </c>
      <c r="O2117" t="n">
        <v>0</v>
      </c>
      <c r="P2117" t="n">
        <v>0</v>
      </c>
      <c r="Q2117" t="n">
        <v>0</v>
      </c>
      <c r="R2117" s="2" t="inlineStr"/>
    </row>
    <row r="2118" ht="15" customHeight="1">
      <c r="A2118" t="inlineStr">
        <is>
          <t>A 42460-2019</t>
        </is>
      </c>
      <c r="B2118" s="1" t="n">
        <v>43699</v>
      </c>
      <c r="C2118" s="1" t="n">
        <v>45204</v>
      </c>
      <c r="D2118" t="inlineStr">
        <is>
          <t>VÄSTERBOTTENS LÄN</t>
        </is>
      </c>
      <c r="E2118" t="inlineStr">
        <is>
          <t>NORDMALING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45017-2019</t>
        </is>
      </c>
      <c r="B2119" s="1" t="n">
        <v>43699</v>
      </c>
      <c r="C2119" s="1" t="n">
        <v>45204</v>
      </c>
      <c r="D2119" t="inlineStr">
        <is>
          <t>VÄSTERBOTTENS LÄN</t>
        </is>
      </c>
      <c r="E2119" t="inlineStr">
        <is>
          <t>SORSELE</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41646-2019</t>
        </is>
      </c>
      <c r="B2120" s="1" t="n">
        <v>43699</v>
      </c>
      <c r="C2120" s="1" t="n">
        <v>45204</v>
      </c>
      <c r="D2120" t="inlineStr">
        <is>
          <t>VÄSTERBOTTENS LÄN</t>
        </is>
      </c>
      <c r="E2120" t="inlineStr">
        <is>
          <t>SORSELE</t>
        </is>
      </c>
      <c r="F2120" t="inlineStr">
        <is>
          <t>Sveaskog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41754-2019</t>
        </is>
      </c>
      <c r="B2121" s="1" t="n">
        <v>43699</v>
      </c>
      <c r="C2121" s="1" t="n">
        <v>45204</v>
      </c>
      <c r="D2121" t="inlineStr">
        <is>
          <t>VÄSTERBOTTENS LÄN</t>
        </is>
      </c>
      <c r="E2121" t="inlineStr">
        <is>
          <t>UMEÅ</t>
        </is>
      </c>
      <c r="F2121" t="inlineStr">
        <is>
          <t>Holmen skog AB</t>
        </is>
      </c>
      <c r="G2121" t="n">
        <v>9.9</v>
      </c>
      <c r="H2121" t="n">
        <v>0</v>
      </c>
      <c r="I2121" t="n">
        <v>0</v>
      </c>
      <c r="J2121" t="n">
        <v>0</v>
      </c>
      <c r="K2121" t="n">
        <v>0</v>
      </c>
      <c r="L2121" t="n">
        <v>0</v>
      </c>
      <c r="M2121" t="n">
        <v>0</v>
      </c>
      <c r="N2121" t="n">
        <v>0</v>
      </c>
      <c r="O2121" t="n">
        <v>0</v>
      </c>
      <c r="P2121" t="n">
        <v>0</v>
      </c>
      <c r="Q2121" t="n">
        <v>0</v>
      </c>
      <c r="R2121" s="2" t="inlineStr"/>
    </row>
    <row r="2122" ht="15" customHeight="1">
      <c r="A2122" t="inlineStr">
        <is>
          <t>A 42535-2019</t>
        </is>
      </c>
      <c r="B2122" s="1" t="n">
        <v>43699</v>
      </c>
      <c r="C2122" s="1" t="n">
        <v>45204</v>
      </c>
      <c r="D2122" t="inlineStr">
        <is>
          <t>VÄSTERBOTTENS LÄN</t>
        </is>
      </c>
      <c r="E2122" t="inlineStr">
        <is>
          <t>SORSELE</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42631-2019</t>
        </is>
      </c>
      <c r="B2123" s="1" t="n">
        <v>43699</v>
      </c>
      <c r="C2123" s="1" t="n">
        <v>45204</v>
      </c>
      <c r="D2123" t="inlineStr">
        <is>
          <t>VÄSTERBOTTENS LÄN</t>
        </is>
      </c>
      <c r="E2123" t="inlineStr">
        <is>
          <t>NORDMALING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41912-2019</t>
        </is>
      </c>
      <c r="B2124" s="1" t="n">
        <v>43700</v>
      </c>
      <c r="C2124" s="1" t="n">
        <v>45204</v>
      </c>
      <c r="D2124" t="inlineStr">
        <is>
          <t>VÄSTERBOTTENS LÄN</t>
        </is>
      </c>
      <c r="E2124" t="inlineStr">
        <is>
          <t>ÅSELE</t>
        </is>
      </c>
      <c r="F2124" t="inlineStr">
        <is>
          <t>Naturvårdsverket</t>
        </is>
      </c>
      <c r="G2124" t="n">
        <v>18.9</v>
      </c>
      <c r="H2124" t="n">
        <v>0</v>
      </c>
      <c r="I2124" t="n">
        <v>0</v>
      </c>
      <c r="J2124" t="n">
        <v>0</v>
      </c>
      <c r="K2124" t="n">
        <v>0</v>
      </c>
      <c r="L2124" t="n">
        <v>0</v>
      </c>
      <c r="M2124" t="n">
        <v>0</v>
      </c>
      <c r="N2124" t="n">
        <v>0</v>
      </c>
      <c r="O2124" t="n">
        <v>0</v>
      </c>
      <c r="P2124" t="n">
        <v>0</v>
      </c>
      <c r="Q2124" t="n">
        <v>0</v>
      </c>
      <c r="R2124" s="2" t="inlineStr"/>
    </row>
    <row r="2125" ht="15" customHeight="1">
      <c r="A2125" t="inlineStr">
        <is>
          <t>A 41980-2019</t>
        </is>
      </c>
      <c r="B2125" s="1" t="n">
        <v>43700</v>
      </c>
      <c r="C2125" s="1" t="n">
        <v>45204</v>
      </c>
      <c r="D2125" t="inlineStr">
        <is>
          <t>VÄSTERBOTTENS LÄN</t>
        </is>
      </c>
      <c r="E2125" t="inlineStr">
        <is>
          <t>SKELLEFTEÅ</t>
        </is>
      </c>
      <c r="F2125" t="inlineStr">
        <is>
          <t>Holmen skog AB</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42063-2019</t>
        </is>
      </c>
      <c r="B2126" s="1" t="n">
        <v>43700</v>
      </c>
      <c r="C2126" s="1" t="n">
        <v>45204</v>
      </c>
      <c r="D2126" t="inlineStr">
        <is>
          <t>VÄSTERBOTTENS LÄN</t>
        </is>
      </c>
      <c r="E2126" t="inlineStr">
        <is>
          <t>ROBERTSFORS</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43225-2019</t>
        </is>
      </c>
      <c r="B2127" s="1" t="n">
        <v>43700</v>
      </c>
      <c r="C2127" s="1" t="n">
        <v>45204</v>
      </c>
      <c r="D2127" t="inlineStr">
        <is>
          <t>VÄSTERBOTTENS LÄN</t>
        </is>
      </c>
      <c r="E2127" t="inlineStr">
        <is>
          <t>NORDMALING</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41826-2019</t>
        </is>
      </c>
      <c r="B2128" s="1" t="n">
        <v>43700</v>
      </c>
      <c r="C2128" s="1" t="n">
        <v>45204</v>
      </c>
      <c r="D2128" t="inlineStr">
        <is>
          <t>VÄSTERBOTTENS LÄN</t>
        </is>
      </c>
      <c r="E2128" t="inlineStr">
        <is>
          <t>SKELLEFTEÅ</t>
        </is>
      </c>
      <c r="F2128" t="inlineStr">
        <is>
          <t>Holmen skog AB</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42068-2019</t>
        </is>
      </c>
      <c r="B2129" s="1" t="n">
        <v>43700</v>
      </c>
      <c r="C2129" s="1" t="n">
        <v>45204</v>
      </c>
      <c r="D2129" t="inlineStr">
        <is>
          <t>VÄSTERBOTTENS LÄN</t>
        </is>
      </c>
      <c r="E2129" t="inlineStr">
        <is>
          <t>VILHELMINA</t>
        </is>
      </c>
      <c r="F2129" t="inlineStr">
        <is>
          <t>SCA</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43223-2019</t>
        </is>
      </c>
      <c r="B2130" s="1" t="n">
        <v>43700</v>
      </c>
      <c r="C2130" s="1" t="n">
        <v>45204</v>
      </c>
      <c r="D2130" t="inlineStr">
        <is>
          <t>VÄSTERBOTTENS LÄN</t>
        </is>
      </c>
      <c r="E2130" t="inlineStr">
        <is>
          <t>NORDMALING</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43299-2019</t>
        </is>
      </c>
      <c r="B2131" s="1" t="n">
        <v>43700</v>
      </c>
      <c r="C2131" s="1" t="n">
        <v>45204</v>
      </c>
      <c r="D2131" t="inlineStr">
        <is>
          <t>VÄSTERBOTTENS LÄN</t>
        </is>
      </c>
      <c r="E2131" t="inlineStr">
        <is>
          <t>MALÅ</t>
        </is>
      </c>
      <c r="G2131" t="n">
        <v>0.3</v>
      </c>
      <c r="H2131" t="n">
        <v>0</v>
      </c>
      <c r="I2131" t="n">
        <v>0</v>
      </c>
      <c r="J2131" t="n">
        <v>0</v>
      </c>
      <c r="K2131" t="n">
        <v>0</v>
      </c>
      <c r="L2131" t="n">
        <v>0</v>
      </c>
      <c r="M2131" t="n">
        <v>0</v>
      </c>
      <c r="N2131" t="n">
        <v>0</v>
      </c>
      <c r="O2131" t="n">
        <v>0</v>
      </c>
      <c r="P2131" t="n">
        <v>0</v>
      </c>
      <c r="Q2131" t="n">
        <v>0</v>
      </c>
      <c r="R2131" s="2" t="inlineStr"/>
    </row>
    <row r="2132" ht="15" customHeight="1">
      <c r="A2132" t="inlineStr">
        <is>
          <t>A 43289-2019</t>
        </is>
      </c>
      <c r="B2132" s="1" t="n">
        <v>43700</v>
      </c>
      <c r="C2132" s="1" t="n">
        <v>45204</v>
      </c>
      <c r="D2132" t="inlineStr">
        <is>
          <t>VÄSTERBOTTENS LÄN</t>
        </is>
      </c>
      <c r="E2132" t="inlineStr">
        <is>
          <t>MALÅ</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43005-2019</t>
        </is>
      </c>
      <c r="B2133" s="1" t="n">
        <v>43702</v>
      </c>
      <c r="C2133" s="1" t="n">
        <v>45204</v>
      </c>
      <c r="D2133" t="inlineStr">
        <is>
          <t>VÄSTERBOTTENS LÄN</t>
        </is>
      </c>
      <c r="E2133" t="inlineStr">
        <is>
          <t>SORSELE</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43469-2019</t>
        </is>
      </c>
      <c r="B2134" s="1" t="n">
        <v>43703</v>
      </c>
      <c r="C2134" s="1" t="n">
        <v>45204</v>
      </c>
      <c r="D2134" t="inlineStr">
        <is>
          <t>VÄSTERBOTTENS LÄN</t>
        </is>
      </c>
      <c r="E2134" t="inlineStr">
        <is>
          <t>NORSJÖ</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42362-2019</t>
        </is>
      </c>
      <c r="B2135" s="1" t="n">
        <v>43703</v>
      </c>
      <c r="C2135" s="1" t="n">
        <v>45204</v>
      </c>
      <c r="D2135" t="inlineStr">
        <is>
          <t>VÄSTERBOTTENS LÄN</t>
        </is>
      </c>
      <c r="E2135" t="inlineStr">
        <is>
          <t>VILHELMINA</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43459-2019</t>
        </is>
      </c>
      <c r="B2136" s="1" t="n">
        <v>43703</v>
      </c>
      <c r="C2136" s="1" t="n">
        <v>45204</v>
      </c>
      <c r="D2136" t="inlineStr">
        <is>
          <t>VÄSTERBOTTENS LÄN</t>
        </is>
      </c>
      <c r="E2136" t="inlineStr">
        <is>
          <t>MALÅ</t>
        </is>
      </c>
      <c r="G2136" t="n">
        <v>6</v>
      </c>
      <c r="H2136" t="n">
        <v>0</v>
      </c>
      <c r="I2136" t="n">
        <v>0</v>
      </c>
      <c r="J2136" t="n">
        <v>0</v>
      </c>
      <c r="K2136" t="n">
        <v>0</v>
      </c>
      <c r="L2136" t="n">
        <v>0</v>
      </c>
      <c r="M2136" t="n">
        <v>0</v>
      </c>
      <c r="N2136" t="n">
        <v>0</v>
      </c>
      <c r="O2136" t="n">
        <v>0</v>
      </c>
      <c r="P2136" t="n">
        <v>0</v>
      </c>
      <c r="Q2136" t="n">
        <v>0</v>
      </c>
      <c r="R2136" s="2" t="inlineStr"/>
    </row>
    <row r="2137" ht="15" customHeight="1">
      <c r="A2137" t="inlineStr">
        <is>
          <t>A 42319-2019</t>
        </is>
      </c>
      <c r="B2137" s="1" t="n">
        <v>43703</v>
      </c>
      <c r="C2137" s="1" t="n">
        <v>45204</v>
      </c>
      <c r="D2137" t="inlineStr">
        <is>
          <t>VÄSTERBOTTENS LÄN</t>
        </is>
      </c>
      <c r="E2137" t="inlineStr">
        <is>
          <t>SKELLEFTEÅ</t>
        </is>
      </c>
      <c r="F2137" t="inlineStr">
        <is>
          <t>Holmen skog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42373-2019</t>
        </is>
      </c>
      <c r="B2138" s="1" t="n">
        <v>43703</v>
      </c>
      <c r="C2138" s="1" t="n">
        <v>45204</v>
      </c>
      <c r="D2138" t="inlineStr">
        <is>
          <t>VÄSTERBOTTENS LÄN</t>
        </is>
      </c>
      <c r="E2138" t="inlineStr">
        <is>
          <t>LYCKSELE</t>
        </is>
      </c>
      <c r="F2138" t="inlineStr">
        <is>
          <t>Holmen skog AB</t>
        </is>
      </c>
      <c r="G2138" t="n">
        <v>4.7</v>
      </c>
      <c r="H2138" t="n">
        <v>0</v>
      </c>
      <c r="I2138" t="n">
        <v>0</v>
      </c>
      <c r="J2138" t="n">
        <v>0</v>
      </c>
      <c r="K2138" t="n">
        <v>0</v>
      </c>
      <c r="L2138" t="n">
        <v>0</v>
      </c>
      <c r="M2138" t="n">
        <v>0</v>
      </c>
      <c r="N2138" t="n">
        <v>0</v>
      </c>
      <c r="O2138" t="n">
        <v>0</v>
      </c>
      <c r="P2138" t="n">
        <v>0</v>
      </c>
      <c r="Q2138" t="n">
        <v>0</v>
      </c>
      <c r="R2138" s="2" t="inlineStr"/>
    </row>
    <row r="2139" ht="15" customHeight="1">
      <c r="A2139" t="inlineStr">
        <is>
          <t>A 43465-2019</t>
        </is>
      </c>
      <c r="B2139" s="1" t="n">
        <v>43703</v>
      </c>
      <c r="C2139" s="1" t="n">
        <v>45204</v>
      </c>
      <c r="D2139" t="inlineStr">
        <is>
          <t>VÄSTERBOTTENS LÄN</t>
        </is>
      </c>
      <c r="E2139" t="inlineStr">
        <is>
          <t>LYCKSELE</t>
        </is>
      </c>
      <c r="F2139" t="inlineStr">
        <is>
          <t>Sveaskog</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42312-2019</t>
        </is>
      </c>
      <c r="B2140" s="1" t="n">
        <v>43703</v>
      </c>
      <c r="C2140" s="1" t="n">
        <v>45204</v>
      </c>
      <c r="D2140" t="inlineStr">
        <is>
          <t>VÄSTERBOTTENS LÄN</t>
        </is>
      </c>
      <c r="E2140" t="inlineStr">
        <is>
          <t>STORUMAN</t>
        </is>
      </c>
      <c r="F2140" t="inlineStr">
        <is>
          <t>Kommuner</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42368-2019</t>
        </is>
      </c>
      <c r="B2141" s="1" t="n">
        <v>43703</v>
      </c>
      <c r="C2141" s="1" t="n">
        <v>45204</v>
      </c>
      <c r="D2141" t="inlineStr">
        <is>
          <t>VÄSTERBOTTENS LÄN</t>
        </is>
      </c>
      <c r="E2141" t="inlineStr">
        <is>
          <t>LYCKSELE</t>
        </is>
      </c>
      <c r="F2141" t="inlineStr">
        <is>
          <t>Holmen skog AB</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42415-2019</t>
        </is>
      </c>
      <c r="B2142" s="1" t="n">
        <v>43703</v>
      </c>
      <c r="C2142" s="1" t="n">
        <v>45204</v>
      </c>
      <c r="D2142" t="inlineStr">
        <is>
          <t>VÄSTERBOTTENS LÄN</t>
        </is>
      </c>
      <c r="E2142" t="inlineStr">
        <is>
          <t>VILHELMINA</t>
        </is>
      </c>
      <c r="F2142" t="inlineStr">
        <is>
          <t>SCA</t>
        </is>
      </c>
      <c r="G2142" t="n">
        <v>7.8</v>
      </c>
      <c r="H2142" t="n">
        <v>0</v>
      </c>
      <c r="I2142" t="n">
        <v>0</v>
      </c>
      <c r="J2142" t="n">
        <v>0</v>
      </c>
      <c r="K2142" t="n">
        <v>0</v>
      </c>
      <c r="L2142" t="n">
        <v>0</v>
      </c>
      <c r="M2142" t="n">
        <v>0</v>
      </c>
      <c r="N2142" t="n">
        <v>0</v>
      </c>
      <c r="O2142" t="n">
        <v>0</v>
      </c>
      <c r="P2142" t="n">
        <v>0</v>
      </c>
      <c r="Q2142" t="n">
        <v>0</v>
      </c>
      <c r="R2142" s="2" t="inlineStr"/>
    </row>
    <row r="2143" ht="15" customHeight="1">
      <c r="A2143" t="inlineStr">
        <is>
          <t>A 42482-2019</t>
        </is>
      </c>
      <c r="B2143" s="1" t="n">
        <v>43703</v>
      </c>
      <c r="C2143" s="1" t="n">
        <v>45204</v>
      </c>
      <c r="D2143" t="inlineStr">
        <is>
          <t>VÄSTERBOTTENS LÄN</t>
        </is>
      </c>
      <c r="E2143" t="inlineStr">
        <is>
          <t>BJURHOLM</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43480-2019</t>
        </is>
      </c>
      <c r="B2144" s="1" t="n">
        <v>43703</v>
      </c>
      <c r="C2144" s="1" t="n">
        <v>45204</v>
      </c>
      <c r="D2144" t="inlineStr">
        <is>
          <t>VÄSTERBOTTENS LÄN</t>
        </is>
      </c>
      <c r="E2144" t="inlineStr">
        <is>
          <t>LYCKSELE</t>
        </is>
      </c>
      <c r="G2144" t="n">
        <v>13.6</v>
      </c>
      <c r="H2144" t="n">
        <v>0</v>
      </c>
      <c r="I2144" t="n">
        <v>0</v>
      </c>
      <c r="J2144" t="n">
        <v>0</v>
      </c>
      <c r="K2144" t="n">
        <v>0</v>
      </c>
      <c r="L2144" t="n">
        <v>0</v>
      </c>
      <c r="M2144" t="n">
        <v>0</v>
      </c>
      <c r="N2144" t="n">
        <v>0</v>
      </c>
      <c r="O2144" t="n">
        <v>0</v>
      </c>
      <c r="P2144" t="n">
        <v>0</v>
      </c>
      <c r="Q2144" t="n">
        <v>0</v>
      </c>
      <c r="R2144" s="2" t="inlineStr"/>
    </row>
    <row r="2145" ht="15" customHeight="1">
      <c r="A2145" t="inlineStr">
        <is>
          <t>A 42677-2019</t>
        </is>
      </c>
      <c r="B2145" s="1" t="n">
        <v>43704</v>
      </c>
      <c r="C2145" s="1" t="n">
        <v>45204</v>
      </c>
      <c r="D2145" t="inlineStr">
        <is>
          <t>VÄSTERBOTTENS LÄN</t>
        </is>
      </c>
      <c r="E2145" t="inlineStr">
        <is>
          <t>MALÅ</t>
        </is>
      </c>
      <c r="G2145" t="n">
        <v>5.5</v>
      </c>
      <c r="H2145" t="n">
        <v>0</v>
      </c>
      <c r="I2145" t="n">
        <v>0</v>
      </c>
      <c r="J2145" t="n">
        <v>0</v>
      </c>
      <c r="K2145" t="n">
        <v>0</v>
      </c>
      <c r="L2145" t="n">
        <v>0</v>
      </c>
      <c r="M2145" t="n">
        <v>0</v>
      </c>
      <c r="N2145" t="n">
        <v>0</v>
      </c>
      <c r="O2145" t="n">
        <v>0</v>
      </c>
      <c r="P2145" t="n">
        <v>0</v>
      </c>
      <c r="Q2145" t="n">
        <v>0</v>
      </c>
      <c r="R2145" s="2" t="inlineStr"/>
    </row>
    <row r="2146" ht="15" customHeight="1">
      <c r="A2146" t="inlineStr">
        <is>
          <t>A 42588-2019</t>
        </is>
      </c>
      <c r="B2146" s="1" t="n">
        <v>43704</v>
      </c>
      <c r="C2146" s="1" t="n">
        <v>45204</v>
      </c>
      <c r="D2146" t="inlineStr">
        <is>
          <t>VÄSTERBOTTENS LÄN</t>
        </is>
      </c>
      <c r="E2146" t="inlineStr">
        <is>
          <t>LYCKSELE</t>
        </is>
      </c>
      <c r="F2146" t="inlineStr">
        <is>
          <t>Holmen skog AB</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42721-2019</t>
        </is>
      </c>
      <c r="B2147" s="1" t="n">
        <v>43704</v>
      </c>
      <c r="C2147" s="1" t="n">
        <v>45204</v>
      </c>
      <c r="D2147" t="inlineStr">
        <is>
          <t>VÄSTERBOTTENS LÄN</t>
        </is>
      </c>
      <c r="E2147" t="inlineStr">
        <is>
          <t>UMEÅ</t>
        </is>
      </c>
      <c r="F2147" t="inlineStr">
        <is>
          <t>Holmen skog AB</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42483-2019</t>
        </is>
      </c>
      <c r="B2148" s="1" t="n">
        <v>43704</v>
      </c>
      <c r="C2148" s="1" t="n">
        <v>45204</v>
      </c>
      <c r="D2148" t="inlineStr">
        <is>
          <t>VÄSTERBOTTENS LÄN</t>
        </is>
      </c>
      <c r="E2148" t="inlineStr">
        <is>
          <t>MALÅ</t>
        </is>
      </c>
      <c r="F2148" t="inlineStr">
        <is>
          <t>Sveaskog</t>
        </is>
      </c>
      <c r="G2148" t="n">
        <v>3.8</v>
      </c>
      <c r="H2148" t="n">
        <v>0</v>
      </c>
      <c r="I2148" t="n">
        <v>0</v>
      </c>
      <c r="J2148" t="n">
        <v>0</v>
      </c>
      <c r="K2148" t="n">
        <v>0</v>
      </c>
      <c r="L2148" t="n">
        <v>0</v>
      </c>
      <c r="M2148" t="n">
        <v>0</v>
      </c>
      <c r="N2148" t="n">
        <v>0</v>
      </c>
      <c r="O2148" t="n">
        <v>0</v>
      </c>
      <c r="P2148" t="n">
        <v>0</v>
      </c>
      <c r="Q2148" t="n">
        <v>0</v>
      </c>
      <c r="R2148" s="2" t="inlineStr"/>
    </row>
    <row r="2149" ht="15" customHeight="1">
      <c r="A2149" t="inlineStr">
        <is>
          <t>A 42599-2019</t>
        </is>
      </c>
      <c r="B2149" s="1" t="n">
        <v>43704</v>
      </c>
      <c r="C2149" s="1" t="n">
        <v>45204</v>
      </c>
      <c r="D2149" t="inlineStr">
        <is>
          <t>VÄSTERBOTTENS LÄN</t>
        </is>
      </c>
      <c r="E2149" t="inlineStr">
        <is>
          <t>UMEÅ</t>
        </is>
      </c>
      <c r="F2149" t="inlineStr">
        <is>
          <t>Övriga Aktiebolag</t>
        </is>
      </c>
      <c r="G2149" t="n">
        <v>7.3</v>
      </c>
      <c r="H2149" t="n">
        <v>0</v>
      </c>
      <c r="I2149" t="n">
        <v>0</v>
      </c>
      <c r="J2149" t="n">
        <v>0</v>
      </c>
      <c r="K2149" t="n">
        <v>0</v>
      </c>
      <c r="L2149" t="n">
        <v>0</v>
      </c>
      <c r="M2149" t="n">
        <v>0</v>
      </c>
      <c r="N2149" t="n">
        <v>0</v>
      </c>
      <c r="O2149" t="n">
        <v>0</v>
      </c>
      <c r="P2149" t="n">
        <v>0</v>
      </c>
      <c r="Q2149" t="n">
        <v>0</v>
      </c>
      <c r="R2149" s="2" t="inlineStr"/>
    </row>
    <row r="2150" ht="15" customHeight="1">
      <c r="A2150" t="inlineStr">
        <is>
          <t>A 42701-2019</t>
        </is>
      </c>
      <c r="B2150" s="1" t="n">
        <v>43704</v>
      </c>
      <c r="C2150" s="1" t="n">
        <v>45204</v>
      </c>
      <c r="D2150" t="inlineStr">
        <is>
          <t>VÄSTERBOTTENS LÄN</t>
        </is>
      </c>
      <c r="E2150" t="inlineStr">
        <is>
          <t>VINDELN</t>
        </is>
      </c>
      <c r="F2150" t="inlineStr">
        <is>
          <t>Holmen skog AB</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44031-2019</t>
        </is>
      </c>
      <c r="B2151" s="1" t="n">
        <v>43704</v>
      </c>
      <c r="C2151" s="1" t="n">
        <v>45204</v>
      </c>
      <c r="D2151" t="inlineStr">
        <is>
          <t>VÄSTERBOTTENS LÄN</t>
        </is>
      </c>
      <c r="E2151" t="inlineStr">
        <is>
          <t>LYCKSELE</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42477-2019</t>
        </is>
      </c>
      <c r="B2152" s="1" t="n">
        <v>43704</v>
      </c>
      <c r="C2152" s="1" t="n">
        <v>45204</v>
      </c>
      <c r="D2152" t="inlineStr">
        <is>
          <t>VÄSTERBOTTENS LÄN</t>
        </is>
      </c>
      <c r="E2152" t="inlineStr">
        <is>
          <t>UMEÅ</t>
        </is>
      </c>
      <c r="F2152" t="inlineStr">
        <is>
          <t>Holmen skog AB</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42487-2019</t>
        </is>
      </c>
      <c r="B2153" s="1" t="n">
        <v>43704</v>
      </c>
      <c r="C2153" s="1" t="n">
        <v>45204</v>
      </c>
      <c r="D2153" t="inlineStr">
        <is>
          <t>VÄSTERBOTTENS LÄN</t>
        </is>
      </c>
      <c r="E2153" t="inlineStr">
        <is>
          <t>MALÅ</t>
        </is>
      </c>
      <c r="F2153" t="inlineStr">
        <is>
          <t>Sveaskog</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42651-2019</t>
        </is>
      </c>
      <c r="B2154" s="1" t="n">
        <v>43704</v>
      </c>
      <c r="C2154" s="1" t="n">
        <v>45204</v>
      </c>
      <c r="D2154" t="inlineStr">
        <is>
          <t>VÄSTERBOTTENS LÄN</t>
        </is>
      </c>
      <c r="E2154" t="inlineStr">
        <is>
          <t>SKELLEFTEÅ</t>
        </is>
      </c>
      <c r="F2154" t="inlineStr">
        <is>
          <t>Holmen skog AB</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43613-2019</t>
        </is>
      </c>
      <c r="B2155" s="1" t="n">
        <v>43704</v>
      </c>
      <c r="C2155" s="1" t="n">
        <v>45204</v>
      </c>
      <c r="D2155" t="inlineStr">
        <is>
          <t>VÄSTERBOTTENS LÄN</t>
        </is>
      </c>
      <c r="E2155" t="inlineStr">
        <is>
          <t>UMEÅ</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43666-2019</t>
        </is>
      </c>
      <c r="B2156" s="1" t="n">
        <v>43704</v>
      </c>
      <c r="C2156" s="1" t="n">
        <v>45204</v>
      </c>
      <c r="D2156" t="inlineStr">
        <is>
          <t>VÄSTERBOTTENS LÄN</t>
        </is>
      </c>
      <c r="E2156" t="inlineStr">
        <is>
          <t>ÅSELE</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43178-2019</t>
        </is>
      </c>
      <c r="B2157" s="1" t="n">
        <v>43705</v>
      </c>
      <c r="C2157" s="1" t="n">
        <v>45204</v>
      </c>
      <c r="D2157" t="inlineStr">
        <is>
          <t>VÄSTERBOTTENS LÄN</t>
        </is>
      </c>
      <c r="E2157" t="inlineStr">
        <is>
          <t>VILHELMINA</t>
        </is>
      </c>
      <c r="F2157" t="inlineStr">
        <is>
          <t>SCA</t>
        </is>
      </c>
      <c r="G2157" t="n">
        <v>9.199999999999999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44461-2019</t>
        </is>
      </c>
      <c r="B2158" s="1" t="n">
        <v>43705</v>
      </c>
      <c r="C2158" s="1" t="n">
        <v>45204</v>
      </c>
      <c r="D2158" t="inlineStr">
        <is>
          <t>VÄSTERBOTTENS LÄN</t>
        </is>
      </c>
      <c r="E2158" t="inlineStr">
        <is>
          <t>SKELLEFTEÅ</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42857-2019</t>
        </is>
      </c>
      <c r="B2159" s="1" t="n">
        <v>43705</v>
      </c>
      <c r="C2159" s="1" t="n">
        <v>45204</v>
      </c>
      <c r="D2159" t="inlineStr">
        <is>
          <t>VÄSTERBOTTENS LÄN</t>
        </is>
      </c>
      <c r="E2159" t="inlineStr">
        <is>
          <t>ROBERTSFORS</t>
        </is>
      </c>
      <c r="F2159" t="inlineStr">
        <is>
          <t>Holmen skog AB</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43175-2019</t>
        </is>
      </c>
      <c r="B2160" s="1" t="n">
        <v>43705</v>
      </c>
      <c r="C2160" s="1" t="n">
        <v>45204</v>
      </c>
      <c r="D2160" t="inlineStr">
        <is>
          <t>VÄSTERBOTTENS LÄN</t>
        </is>
      </c>
      <c r="E2160" t="inlineStr">
        <is>
          <t>DOROTEA</t>
        </is>
      </c>
      <c r="F2160" t="inlineStr">
        <is>
          <t>Allmännings- och besparingsskogar</t>
        </is>
      </c>
      <c r="G2160" t="n">
        <v>19.3</v>
      </c>
      <c r="H2160" t="n">
        <v>0</v>
      </c>
      <c r="I2160" t="n">
        <v>0</v>
      </c>
      <c r="J2160" t="n">
        <v>0</v>
      </c>
      <c r="K2160" t="n">
        <v>0</v>
      </c>
      <c r="L2160" t="n">
        <v>0</v>
      </c>
      <c r="M2160" t="n">
        <v>0</v>
      </c>
      <c r="N2160" t="n">
        <v>0</v>
      </c>
      <c r="O2160" t="n">
        <v>0</v>
      </c>
      <c r="P2160" t="n">
        <v>0</v>
      </c>
      <c r="Q2160" t="n">
        <v>0</v>
      </c>
      <c r="R2160" s="2" t="inlineStr"/>
    </row>
    <row r="2161" ht="15" customHeight="1">
      <c r="A2161" t="inlineStr">
        <is>
          <t>A 43211-2019</t>
        </is>
      </c>
      <c r="B2161" s="1" t="n">
        <v>43705</v>
      </c>
      <c r="C2161" s="1" t="n">
        <v>45204</v>
      </c>
      <c r="D2161" t="inlineStr">
        <is>
          <t>VÄSTERBOTTENS LÄN</t>
        </is>
      </c>
      <c r="E2161" t="inlineStr">
        <is>
          <t>ÅSELE</t>
        </is>
      </c>
      <c r="F2161" t="inlineStr">
        <is>
          <t>SCA</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43176-2019</t>
        </is>
      </c>
      <c r="B2162" s="1" t="n">
        <v>43705</v>
      </c>
      <c r="C2162" s="1" t="n">
        <v>45204</v>
      </c>
      <c r="D2162" t="inlineStr">
        <is>
          <t>VÄSTERBOTTENS LÄN</t>
        </is>
      </c>
      <c r="E2162" t="inlineStr">
        <is>
          <t>DOROTEA</t>
        </is>
      </c>
      <c r="F2162" t="inlineStr">
        <is>
          <t>Allmännings- och besparingsskogar</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44443-2019</t>
        </is>
      </c>
      <c r="B2163" s="1" t="n">
        <v>43705</v>
      </c>
      <c r="C2163" s="1" t="n">
        <v>45204</v>
      </c>
      <c r="D2163" t="inlineStr">
        <is>
          <t>VÄSTERBOTTENS LÄN</t>
        </is>
      </c>
      <c r="E2163" t="inlineStr">
        <is>
          <t>SORSELE</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43177-2019</t>
        </is>
      </c>
      <c r="B2164" s="1" t="n">
        <v>43705</v>
      </c>
      <c r="C2164" s="1" t="n">
        <v>45204</v>
      </c>
      <c r="D2164" t="inlineStr">
        <is>
          <t>VÄSTERBOTTENS LÄN</t>
        </is>
      </c>
      <c r="E2164" t="inlineStr">
        <is>
          <t>DOROTEA</t>
        </is>
      </c>
      <c r="F2164" t="inlineStr">
        <is>
          <t>Allmännings- och besparingsskogar</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44388-2019</t>
        </is>
      </c>
      <c r="B2165" s="1" t="n">
        <v>43705</v>
      </c>
      <c r="C2165" s="1" t="n">
        <v>45204</v>
      </c>
      <c r="D2165" t="inlineStr">
        <is>
          <t>VÄSTERBOTTENS LÄN</t>
        </is>
      </c>
      <c r="E2165" t="inlineStr">
        <is>
          <t>VILHELMINA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43606-2019</t>
        </is>
      </c>
      <c r="B2166" s="1" t="n">
        <v>43706</v>
      </c>
      <c r="C2166" s="1" t="n">
        <v>45204</v>
      </c>
      <c r="D2166" t="inlineStr">
        <is>
          <t>VÄSTERBOTTENS LÄN</t>
        </is>
      </c>
      <c r="E2166" t="inlineStr">
        <is>
          <t>STORUMAN</t>
        </is>
      </c>
      <c r="G2166" t="n">
        <v>20.1</v>
      </c>
      <c r="H2166" t="n">
        <v>0</v>
      </c>
      <c r="I2166" t="n">
        <v>0</v>
      </c>
      <c r="J2166" t="n">
        <v>0</v>
      </c>
      <c r="K2166" t="n">
        <v>0</v>
      </c>
      <c r="L2166" t="n">
        <v>0</v>
      </c>
      <c r="M2166" t="n">
        <v>0</v>
      </c>
      <c r="N2166" t="n">
        <v>0</v>
      </c>
      <c r="O2166" t="n">
        <v>0</v>
      </c>
      <c r="P2166" t="n">
        <v>0</v>
      </c>
      <c r="Q2166" t="n">
        <v>0</v>
      </c>
      <c r="R2166" s="2" t="inlineStr"/>
    </row>
    <row r="2167" ht="15" customHeight="1">
      <c r="A2167" t="inlineStr">
        <is>
          <t>A 44486-2019</t>
        </is>
      </c>
      <c r="B2167" s="1" t="n">
        <v>43706</v>
      </c>
      <c r="C2167" s="1" t="n">
        <v>45204</v>
      </c>
      <c r="D2167" t="inlineStr">
        <is>
          <t>VÄSTERBOTTENS LÄN</t>
        </is>
      </c>
      <c r="E2167" t="inlineStr">
        <is>
          <t>SKELLEFTEÅ</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44555-2019</t>
        </is>
      </c>
      <c r="B2168" s="1" t="n">
        <v>43706</v>
      </c>
      <c r="C2168" s="1" t="n">
        <v>45204</v>
      </c>
      <c r="D2168" t="inlineStr">
        <is>
          <t>VÄSTERBOTTENS LÄN</t>
        </is>
      </c>
      <c r="E2168" t="inlineStr">
        <is>
          <t>DOROTEA</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44537-2019</t>
        </is>
      </c>
      <c r="B2169" s="1" t="n">
        <v>43706</v>
      </c>
      <c r="C2169" s="1" t="n">
        <v>45204</v>
      </c>
      <c r="D2169" t="inlineStr">
        <is>
          <t>VÄSTERBOTTENS LÄN</t>
        </is>
      </c>
      <c r="E2169" t="inlineStr">
        <is>
          <t>UMEÅ</t>
        </is>
      </c>
      <c r="G2169" t="n">
        <v>9.9</v>
      </c>
      <c r="H2169" t="n">
        <v>0</v>
      </c>
      <c r="I2169" t="n">
        <v>0</v>
      </c>
      <c r="J2169" t="n">
        <v>0</v>
      </c>
      <c r="K2169" t="n">
        <v>0</v>
      </c>
      <c r="L2169" t="n">
        <v>0</v>
      </c>
      <c r="M2169" t="n">
        <v>0</v>
      </c>
      <c r="N2169" t="n">
        <v>0</v>
      </c>
      <c r="O2169" t="n">
        <v>0</v>
      </c>
      <c r="P2169" t="n">
        <v>0</v>
      </c>
      <c r="Q2169" t="n">
        <v>0</v>
      </c>
      <c r="R2169" s="2" t="inlineStr"/>
    </row>
    <row r="2170" ht="15" customHeight="1">
      <c r="A2170" t="inlineStr">
        <is>
          <t>A 43638-2019</t>
        </is>
      </c>
      <c r="B2170" s="1" t="n">
        <v>43707</v>
      </c>
      <c r="C2170" s="1" t="n">
        <v>45204</v>
      </c>
      <c r="D2170" t="inlineStr">
        <is>
          <t>VÄSTERBOTTENS LÄN</t>
        </is>
      </c>
      <c r="E2170" t="inlineStr">
        <is>
          <t>SKELLEFTEÅ</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43845-2019</t>
        </is>
      </c>
      <c r="B2171" s="1" t="n">
        <v>43707</v>
      </c>
      <c r="C2171" s="1" t="n">
        <v>45204</v>
      </c>
      <c r="D2171" t="inlineStr">
        <is>
          <t>VÄSTERBOTTENS LÄN</t>
        </is>
      </c>
      <c r="E2171" t="inlineStr">
        <is>
          <t>SKELLEFTEÅ</t>
        </is>
      </c>
      <c r="F2171" t="inlineStr">
        <is>
          <t>Sveaskog</t>
        </is>
      </c>
      <c r="G2171" t="n">
        <v>11.6</v>
      </c>
      <c r="H2171" t="n">
        <v>0</v>
      </c>
      <c r="I2171" t="n">
        <v>0</v>
      </c>
      <c r="J2171" t="n">
        <v>0</v>
      </c>
      <c r="K2171" t="n">
        <v>0</v>
      </c>
      <c r="L2171" t="n">
        <v>0</v>
      </c>
      <c r="M2171" t="n">
        <v>0</v>
      </c>
      <c r="N2171" t="n">
        <v>0</v>
      </c>
      <c r="O2171" t="n">
        <v>0</v>
      </c>
      <c r="P2171" t="n">
        <v>0</v>
      </c>
      <c r="Q2171" t="n">
        <v>0</v>
      </c>
      <c r="R2171" s="2" t="inlineStr"/>
    </row>
    <row r="2172" ht="15" customHeight="1">
      <c r="A2172" t="inlineStr">
        <is>
          <t>A 43952-2019</t>
        </is>
      </c>
      <c r="B2172" s="1" t="n">
        <v>43707</v>
      </c>
      <c r="C2172" s="1" t="n">
        <v>45204</v>
      </c>
      <c r="D2172" t="inlineStr">
        <is>
          <t>VÄSTERBOTTENS LÄN</t>
        </is>
      </c>
      <c r="E2172" t="inlineStr">
        <is>
          <t>DOROTEA</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45296-2019</t>
        </is>
      </c>
      <c r="B2173" s="1" t="n">
        <v>43707</v>
      </c>
      <c r="C2173" s="1" t="n">
        <v>45204</v>
      </c>
      <c r="D2173" t="inlineStr">
        <is>
          <t>VÄSTERBOTTENS LÄN</t>
        </is>
      </c>
      <c r="E2173" t="inlineStr">
        <is>
          <t>SKELLEFTEÅ</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43648-2019</t>
        </is>
      </c>
      <c r="B2174" s="1" t="n">
        <v>43707</v>
      </c>
      <c r="C2174" s="1" t="n">
        <v>45204</v>
      </c>
      <c r="D2174" t="inlineStr">
        <is>
          <t>VÄSTERBOTTENS LÄN</t>
        </is>
      </c>
      <c r="E2174" t="inlineStr">
        <is>
          <t>SKELLEFTEÅ</t>
        </is>
      </c>
      <c r="F2174" t="inlineStr">
        <is>
          <t>Holmen skog AB</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43658-2019</t>
        </is>
      </c>
      <c r="B2175" s="1" t="n">
        <v>43707</v>
      </c>
      <c r="C2175" s="1" t="n">
        <v>45204</v>
      </c>
      <c r="D2175" t="inlineStr">
        <is>
          <t>VÄSTERBOTTENS LÄN</t>
        </is>
      </c>
      <c r="E2175" t="inlineStr">
        <is>
          <t>ÅSELE</t>
        </is>
      </c>
      <c r="F2175" t="inlineStr">
        <is>
          <t>Sveaskog</t>
        </is>
      </c>
      <c r="G2175" t="n">
        <v>7.6</v>
      </c>
      <c r="H2175" t="n">
        <v>0</v>
      </c>
      <c r="I2175" t="n">
        <v>0</v>
      </c>
      <c r="J2175" t="n">
        <v>0</v>
      </c>
      <c r="K2175" t="n">
        <v>0</v>
      </c>
      <c r="L2175" t="n">
        <v>0</v>
      </c>
      <c r="M2175" t="n">
        <v>0</v>
      </c>
      <c r="N2175" t="n">
        <v>0</v>
      </c>
      <c r="O2175" t="n">
        <v>0</v>
      </c>
      <c r="P2175" t="n">
        <v>0</v>
      </c>
      <c r="Q2175" t="n">
        <v>0</v>
      </c>
      <c r="R2175" s="2" t="inlineStr"/>
    </row>
    <row r="2176" ht="15" customHeight="1">
      <c r="A2176" t="inlineStr">
        <is>
          <t>A 43818-2019</t>
        </is>
      </c>
      <c r="B2176" s="1" t="n">
        <v>43707</v>
      </c>
      <c r="C2176" s="1" t="n">
        <v>45204</v>
      </c>
      <c r="D2176" t="inlineStr">
        <is>
          <t>VÄSTERBOTTENS LÄN</t>
        </is>
      </c>
      <c r="E2176" t="inlineStr">
        <is>
          <t>STORUMAN</t>
        </is>
      </c>
      <c r="F2176" t="inlineStr">
        <is>
          <t>Holmen skog AB</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43842-2019</t>
        </is>
      </c>
      <c r="B2177" s="1" t="n">
        <v>43707</v>
      </c>
      <c r="C2177" s="1" t="n">
        <v>45204</v>
      </c>
      <c r="D2177" t="inlineStr">
        <is>
          <t>VÄSTERBOTTENS LÄN</t>
        </is>
      </c>
      <c r="E2177" t="inlineStr">
        <is>
          <t>SKELLEFTEÅ</t>
        </is>
      </c>
      <c r="F2177" t="inlineStr">
        <is>
          <t>Sveaskog</t>
        </is>
      </c>
      <c r="G2177" t="n">
        <v>7.3</v>
      </c>
      <c r="H2177" t="n">
        <v>0</v>
      </c>
      <c r="I2177" t="n">
        <v>0</v>
      </c>
      <c r="J2177" t="n">
        <v>0</v>
      </c>
      <c r="K2177" t="n">
        <v>0</v>
      </c>
      <c r="L2177" t="n">
        <v>0</v>
      </c>
      <c r="M2177" t="n">
        <v>0</v>
      </c>
      <c r="N2177" t="n">
        <v>0</v>
      </c>
      <c r="O2177" t="n">
        <v>0</v>
      </c>
      <c r="P2177" t="n">
        <v>0</v>
      </c>
      <c r="Q2177" t="n">
        <v>0</v>
      </c>
      <c r="R2177" s="2" t="inlineStr"/>
    </row>
    <row r="2178" ht="15" customHeight="1">
      <c r="A2178" t="inlineStr">
        <is>
          <t>A 44858-2019</t>
        </is>
      </c>
      <c r="B2178" s="1" t="n">
        <v>43707</v>
      </c>
      <c r="C2178" s="1" t="n">
        <v>45204</v>
      </c>
      <c r="D2178" t="inlineStr">
        <is>
          <t>VÄSTERBOTTENS LÄN</t>
        </is>
      </c>
      <c r="E2178" t="inlineStr">
        <is>
          <t>LYCKSELE</t>
        </is>
      </c>
      <c r="G2178" t="n">
        <v>6.4</v>
      </c>
      <c r="H2178" t="n">
        <v>0</v>
      </c>
      <c r="I2178" t="n">
        <v>0</v>
      </c>
      <c r="J2178" t="n">
        <v>0</v>
      </c>
      <c r="K2178" t="n">
        <v>0</v>
      </c>
      <c r="L2178" t="n">
        <v>0</v>
      </c>
      <c r="M2178" t="n">
        <v>0</v>
      </c>
      <c r="N2178" t="n">
        <v>0</v>
      </c>
      <c r="O2178" t="n">
        <v>0</v>
      </c>
      <c r="P2178" t="n">
        <v>0</v>
      </c>
      <c r="Q2178" t="n">
        <v>0</v>
      </c>
      <c r="R2178" s="2" t="inlineStr"/>
    </row>
    <row r="2179" ht="15" customHeight="1">
      <c r="A2179" t="inlineStr">
        <is>
          <t>A 45322-2019</t>
        </is>
      </c>
      <c r="B2179" s="1" t="n">
        <v>43707</v>
      </c>
      <c r="C2179" s="1" t="n">
        <v>45204</v>
      </c>
      <c r="D2179" t="inlineStr">
        <is>
          <t>VÄSTERBOTTENS LÄN</t>
        </is>
      </c>
      <c r="E2179" t="inlineStr">
        <is>
          <t>UMEÅ</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44017-2019</t>
        </is>
      </c>
      <c r="B2180" s="1" t="n">
        <v>43709</v>
      </c>
      <c r="C2180" s="1" t="n">
        <v>45204</v>
      </c>
      <c r="D2180" t="inlineStr">
        <is>
          <t>VÄSTERBOTTENS LÄN</t>
        </is>
      </c>
      <c r="E2180" t="inlineStr">
        <is>
          <t>ÅSELE</t>
        </is>
      </c>
      <c r="F2180" t="inlineStr">
        <is>
          <t>SCA</t>
        </is>
      </c>
      <c r="G2180" t="n">
        <v>6</v>
      </c>
      <c r="H2180" t="n">
        <v>0</v>
      </c>
      <c r="I2180" t="n">
        <v>0</v>
      </c>
      <c r="J2180" t="n">
        <v>0</v>
      </c>
      <c r="K2180" t="n">
        <v>0</v>
      </c>
      <c r="L2180" t="n">
        <v>0</v>
      </c>
      <c r="M2180" t="n">
        <v>0</v>
      </c>
      <c r="N2180" t="n">
        <v>0</v>
      </c>
      <c r="O2180" t="n">
        <v>0</v>
      </c>
      <c r="P2180" t="n">
        <v>0</v>
      </c>
      <c r="Q2180" t="n">
        <v>0</v>
      </c>
      <c r="R2180" s="2" t="inlineStr"/>
    </row>
    <row r="2181" ht="15" customHeight="1">
      <c r="A2181" t="inlineStr">
        <is>
          <t>A 43986-2019</t>
        </is>
      </c>
      <c r="B2181" s="1" t="n">
        <v>43709</v>
      </c>
      <c r="C2181" s="1" t="n">
        <v>45204</v>
      </c>
      <c r="D2181" t="inlineStr">
        <is>
          <t>VÄSTERBOTTENS LÄN</t>
        </is>
      </c>
      <c r="E2181" t="inlineStr">
        <is>
          <t>STORUMAN</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44007-2019</t>
        </is>
      </c>
      <c r="B2182" s="1" t="n">
        <v>43709</v>
      </c>
      <c r="C2182" s="1" t="n">
        <v>45204</v>
      </c>
      <c r="D2182" t="inlineStr">
        <is>
          <t>VÄSTERBOTTENS LÄN</t>
        </is>
      </c>
      <c r="E2182" t="inlineStr">
        <is>
          <t>SKELLEFTEÅ</t>
        </is>
      </c>
      <c r="F2182" t="inlineStr">
        <is>
          <t>Holmen skog AB</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44149-2019</t>
        </is>
      </c>
      <c r="B2183" s="1" t="n">
        <v>43710</v>
      </c>
      <c r="C2183" s="1" t="n">
        <v>45204</v>
      </c>
      <c r="D2183" t="inlineStr">
        <is>
          <t>VÄSTERBOTTENS LÄN</t>
        </is>
      </c>
      <c r="E2183" t="inlineStr">
        <is>
          <t>MALÅ</t>
        </is>
      </c>
      <c r="F2183" t="inlineStr">
        <is>
          <t>Sveaskog</t>
        </is>
      </c>
      <c r="G2183" t="n">
        <v>3.6</v>
      </c>
      <c r="H2183" t="n">
        <v>0</v>
      </c>
      <c r="I2183" t="n">
        <v>0</v>
      </c>
      <c r="J2183" t="n">
        <v>0</v>
      </c>
      <c r="K2183" t="n">
        <v>0</v>
      </c>
      <c r="L2183" t="n">
        <v>0</v>
      </c>
      <c r="M2183" t="n">
        <v>0</v>
      </c>
      <c r="N2183" t="n">
        <v>0</v>
      </c>
      <c r="O2183" t="n">
        <v>0</v>
      </c>
      <c r="P2183" t="n">
        <v>0</v>
      </c>
      <c r="Q2183" t="n">
        <v>0</v>
      </c>
      <c r="R2183" s="2" t="inlineStr"/>
    </row>
    <row r="2184" ht="15" customHeight="1">
      <c r="A2184" t="inlineStr">
        <is>
          <t>A 44247-2019</t>
        </is>
      </c>
      <c r="B2184" s="1" t="n">
        <v>43710</v>
      </c>
      <c r="C2184" s="1" t="n">
        <v>45204</v>
      </c>
      <c r="D2184" t="inlineStr">
        <is>
          <t>VÄSTERBOTTENS LÄN</t>
        </is>
      </c>
      <c r="E2184" t="inlineStr">
        <is>
          <t>VINDELN</t>
        </is>
      </c>
      <c r="F2184" t="inlineStr">
        <is>
          <t>Sveaskog</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44041-2019</t>
        </is>
      </c>
      <c r="B2185" s="1" t="n">
        <v>43710</v>
      </c>
      <c r="C2185" s="1" t="n">
        <v>45204</v>
      </c>
      <c r="D2185" t="inlineStr">
        <is>
          <t>VÄSTERBOTTENS LÄN</t>
        </is>
      </c>
      <c r="E2185" t="inlineStr">
        <is>
          <t>VINDELN</t>
        </is>
      </c>
      <c r="F2185" t="inlineStr">
        <is>
          <t>Sveaskog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44040-2019</t>
        </is>
      </c>
      <c r="B2186" s="1" t="n">
        <v>43710</v>
      </c>
      <c r="C2186" s="1" t="n">
        <v>45204</v>
      </c>
      <c r="D2186" t="inlineStr">
        <is>
          <t>VÄSTERBOTTENS LÄN</t>
        </is>
      </c>
      <c r="E2186" t="inlineStr">
        <is>
          <t>VINDELN</t>
        </is>
      </c>
      <c r="F2186" t="inlineStr">
        <is>
          <t>Sveaskog</t>
        </is>
      </c>
      <c r="G2186" t="n">
        <v>5.2</v>
      </c>
      <c r="H2186" t="n">
        <v>0</v>
      </c>
      <c r="I2186" t="n">
        <v>0</v>
      </c>
      <c r="J2186" t="n">
        <v>0</v>
      </c>
      <c r="K2186" t="n">
        <v>0</v>
      </c>
      <c r="L2186" t="n">
        <v>0</v>
      </c>
      <c r="M2186" t="n">
        <v>0</v>
      </c>
      <c r="N2186" t="n">
        <v>0</v>
      </c>
      <c r="O2186" t="n">
        <v>0</v>
      </c>
      <c r="P2186" t="n">
        <v>0</v>
      </c>
      <c r="Q2186" t="n">
        <v>0</v>
      </c>
      <c r="R2186" s="2" t="inlineStr"/>
    </row>
    <row r="2187" ht="15" customHeight="1">
      <c r="A2187" t="inlineStr">
        <is>
          <t>A 44024-2019</t>
        </is>
      </c>
      <c r="B2187" s="1" t="n">
        <v>43710</v>
      </c>
      <c r="C2187" s="1" t="n">
        <v>45204</v>
      </c>
      <c r="D2187" t="inlineStr">
        <is>
          <t>VÄSTERBOTTENS LÄN</t>
        </is>
      </c>
      <c r="E2187" t="inlineStr">
        <is>
          <t>LYCKSELE</t>
        </is>
      </c>
      <c r="G2187" t="n">
        <v>9.800000000000001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44043-2019</t>
        </is>
      </c>
      <c r="B2188" s="1" t="n">
        <v>43710</v>
      </c>
      <c r="C2188" s="1" t="n">
        <v>45204</v>
      </c>
      <c r="D2188" t="inlineStr">
        <is>
          <t>VÄSTERBOTTENS LÄN</t>
        </is>
      </c>
      <c r="E2188" t="inlineStr">
        <is>
          <t>VINDELN</t>
        </is>
      </c>
      <c r="F2188" t="inlineStr">
        <is>
          <t>Sveaskog</t>
        </is>
      </c>
      <c r="G2188" t="n">
        <v>10.9</v>
      </c>
      <c r="H2188" t="n">
        <v>0</v>
      </c>
      <c r="I2188" t="n">
        <v>0</v>
      </c>
      <c r="J2188" t="n">
        <v>0</v>
      </c>
      <c r="K2188" t="n">
        <v>0</v>
      </c>
      <c r="L2188" t="n">
        <v>0</v>
      </c>
      <c r="M2188" t="n">
        <v>0</v>
      </c>
      <c r="N2188" t="n">
        <v>0</v>
      </c>
      <c r="O2188" t="n">
        <v>0</v>
      </c>
      <c r="P2188" t="n">
        <v>0</v>
      </c>
      <c r="Q2188" t="n">
        <v>0</v>
      </c>
      <c r="R2188" s="2" t="inlineStr"/>
    </row>
    <row r="2189" ht="15" customHeight="1">
      <c r="A2189" t="inlineStr">
        <is>
          <t>A 44204-2019</t>
        </is>
      </c>
      <c r="B2189" s="1" t="n">
        <v>43710</v>
      </c>
      <c r="C2189" s="1" t="n">
        <v>45204</v>
      </c>
      <c r="D2189" t="inlineStr">
        <is>
          <t>VÄSTERBOTTENS LÄN</t>
        </is>
      </c>
      <c r="E2189" t="inlineStr">
        <is>
          <t>SKELLEFTEÅ</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44590-2019</t>
        </is>
      </c>
      <c r="B2190" s="1" t="n">
        <v>43711</v>
      </c>
      <c r="C2190" s="1" t="n">
        <v>45204</v>
      </c>
      <c r="D2190" t="inlineStr">
        <is>
          <t>VÄSTERBOTTENS LÄN</t>
        </is>
      </c>
      <c r="E2190" t="inlineStr">
        <is>
          <t>LYCKSELE</t>
        </is>
      </c>
      <c r="F2190" t="inlineStr">
        <is>
          <t>Holmen skog AB</t>
        </is>
      </c>
      <c r="G2190" t="n">
        <v>6.7</v>
      </c>
      <c r="H2190" t="n">
        <v>0</v>
      </c>
      <c r="I2190" t="n">
        <v>0</v>
      </c>
      <c r="J2190" t="n">
        <v>0</v>
      </c>
      <c r="K2190" t="n">
        <v>0</v>
      </c>
      <c r="L2190" t="n">
        <v>0</v>
      </c>
      <c r="M2190" t="n">
        <v>0</v>
      </c>
      <c r="N2190" t="n">
        <v>0</v>
      </c>
      <c r="O2190" t="n">
        <v>0</v>
      </c>
      <c r="P2190" t="n">
        <v>0</v>
      </c>
      <c r="Q2190" t="n">
        <v>0</v>
      </c>
      <c r="R2190" s="2" t="inlineStr"/>
    </row>
    <row r="2191" ht="15" customHeight="1">
      <c r="A2191" t="inlineStr">
        <is>
          <t>A 44508-2019</t>
        </is>
      </c>
      <c r="B2191" s="1" t="n">
        <v>43711</v>
      </c>
      <c r="C2191" s="1" t="n">
        <v>45204</v>
      </c>
      <c r="D2191" t="inlineStr">
        <is>
          <t>VÄSTERBOTTENS LÄN</t>
        </is>
      </c>
      <c r="E2191" t="inlineStr">
        <is>
          <t>VÄNNÄS</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44649-2019</t>
        </is>
      </c>
      <c r="B2192" s="1" t="n">
        <v>43712</v>
      </c>
      <c r="C2192" s="1" t="n">
        <v>45204</v>
      </c>
      <c r="D2192" t="inlineStr">
        <is>
          <t>VÄSTERBOTTENS LÄN</t>
        </is>
      </c>
      <c r="E2192" t="inlineStr">
        <is>
          <t>VILHELMINA</t>
        </is>
      </c>
      <c r="G2192" t="n">
        <v>7.8</v>
      </c>
      <c r="H2192" t="n">
        <v>0</v>
      </c>
      <c r="I2192" t="n">
        <v>0</v>
      </c>
      <c r="J2192" t="n">
        <v>0</v>
      </c>
      <c r="K2192" t="n">
        <v>0</v>
      </c>
      <c r="L2192" t="n">
        <v>0</v>
      </c>
      <c r="M2192" t="n">
        <v>0</v>
      </c>
      <c r="N2192" t="n">
        <v>0</v>
      </c>
      <c r="O2192" t="n">
        <v>0</v>
      </c>
      <c r="P2192" t="n">
        <v>0</v>
      </c>
      <c r="Q2192" t="n">
        <v>0</v>
      </c>
      <c r="R2192" s="2" t="inlineStr"/>
    </row>
    <row r="2193" ht="15" customHeight="1">
      <c r="A2193" t="inlineStr">
        <is>
          <t>A 46252-2019</t>
        </is>
      </c>
      <c r="B2193" s="1" t="n">
        <v>43712</v>
      </c>
      <c r="C2193" s="1" t="n">
        <v>45204</v>
      </c>
      <c r="D2193" t="inlineStr">
        <is>
          <t>VÄSTERBOTTENS LÄN</t>
        </is>
      </c>
      <c r="E2193" t="inlineStr">
        <is>
          <t>LYCKSELE</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45105-2019</t>
        </is>
      </c>
      <c r="B2194" s="1" t="n">
        <v>43713</v>
      </c>
      <c r="C2194" s="1" t="n">
        <v>45204</v>
      </c>
      <c r="D2194" t="inlineStr">
        <is>
          <t>VÄSTERBOTTENS LÄN</t>
        </is>
      </c>
      <c r="E2194" t="inlineStr">
        <is>
          <t>VINDELN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45134-2019</t>
        </is>
      </c>
      <c r="B2195" s="1" t="n">
        <v>43713</v>
      </c>
      <c r="C2195" s="1" t="n">
        <v>45204</v>
      </c>
      <c r="D2195" t="inlineStr">
        <is>
          <t>VÄSTERBOTTENS LÄN</t>
        </is>
      </c>
      <c r="E2195" t="inlineStr">
        <is>
          <t>BJURHOLM</t>
        </is>
      </c>
      <c r="F2195" t="inlineStr">
        <is>
          <t>Holmen skog AB</t>
        </is>
      </c>
      <c r="G2195" t="n">
        <v>11.9</v>
      </c>
      <c r="H2195" t="n">
        <v>0</v>
      </c>
      <c r="I2195" t="n">
        <v>0</v>
      </c>
      <c r="J2195" t="n">
        <v>0</v>
      </c>
      <c r="K2195" t="n">
        <v>0</v>
      </c>
      <c r="L2195" t="n">
        <v>0</v>
      </c>
      <c r="M2195" t="n">
        <v>0</v>
      </c>
      <c r="N2195" t="n">
        <v>0</v>
      </c>
      <c r="O2195" t="n">
        <v>0</v>
      </c>
      <c r="P2195" t="n">
        <v>0</v>
      </c>
      <c r="Q2195" t="n">
        <v>0</v>
      </c>
      <c r="R2195" s="2" t="inlineStr"/>
    </row>
    <row r="2196" ht="15" customHeight="1">
      <c r="A2196" t="inlineStr">
        <is>
          <t>A 45227-2019</t>
        </is>
      </c>
      <c r="B2196" s="1" t="n">
        <v>43713</v>
      </c>
      <c r="C2196" s="1" t="n">
        <v>45204</v>
      </c>
      <c r="D2196" t="inlineStr">
        <is>
          <t>VÄSTERBOTTENS LÄN</t>
        </is>
      </c>
      <c r="E2196" t="inlineStr">
        <is>
          <t>LYCKSELE</t>
        </is>
      </c>
      <c r="F2196" t="inlineStr">
        <is>
          <t>Holmen skog AB</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46038-2019</t>
        </is>
      </c>
      <c r="B2197" s="1" t="n">
        <v>43713</v>
      </c>
      <c r="C2197" s="1" t="n">
        <v>45204</v>
      </c>
      <c r="D2197" t="inlineStr">
        <is>
          <t>VÄSTERBOTTENS LÄN</t>
        </is>
      </c>
      <c r="E2197" t="inlineStr">
        <is>
          <t>ROBERTSFORS</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46077-2019</t>
        </is>
      </c>
      <c r="B2198" s="1" t="n">
        <v>43713</v>
      </c>
      <c r="C2198" s="1" t="n">
        <v>45204</v>
      </c>
      <c r="D2198" t="inlineStr">
        <is>
          <t>VÄSTERBOTTENS LÄN</t>
        </is>
      </c>
      <c r="E2198" t="inlineStr">
        <is>
          <t>NORDMALING</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45228-2019</t>
        </is>
      </c>
      <c r="B2199" s="1" t="n">
        <v>43713</v>
      </c>
      <c r="C2199" s="1" t="n">
        <v>45204</v>
      </c>
      <c r="D2199" t="inlineStr">
        <is>
          <t>VÄSTERBOTTENS LÄN</t>
        </is>
      </c>
      <c r="E2199" t="inlineStr">
        <is>
          <t>LYCKSELE</t>
        </is>
      </c>
      <c r="F2199" t="inlineStr">
        <is>
          <t>Holmen skog AB</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45242-2019</t>
        </is>
      </c>
      <c r="B2200" s="1" t="n">
        <v>43713</v>
      </c>
      <c r="C2200" s="1" t="n">
        <v>45204</v>
      </c>
      <c r="D2200" t="inlineStr">
        <is>
          <t>VÄSTERBOTTENS LÄN</t>
        </is>
      </c>
      <c r="E2200" t="inlineStr">
        <is>
          <t>STORUMAN</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45200-2019</t>
        </is>
      </c>
      <c r="B2201" s="1" t="n">
        <v>43713</v>
      </c>
      <c r="C2201" s="1" t="n">
        <v>45204</v>
      </c>
      <c r="D2201" t="inlineStr">
        <is>
          <t>VÄSTERBOTTENS LÄN</t>
        </is>
      </c>
      <c r="E2201" t="inlineStr">
        <is>
          <t>NORDMALING</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46284-2019</t>
        </is>
      </c>
      <c r="B2202" s="1" t="n">
        <v>43713</v>
      </c>
      <c r="C2202" s="1" t="n">
        <v>45204</v>
      </c>
      <c r="D2202" t="inlineStr">
        <is>
          <t>VÄSTERBOTTENS LÄN</t>
        </is>
      </c>
      <c r="E2202" t="inlineStr">
        <is>
          <t>LYCKSELE</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45081-2019</t>
        </is>
      </c>
      <c r="B2203" s="1" t="n">
        <v>43713</v>
      </c>
      <c r="C2203" s="1" t="n">
        <v>45204</v>
      </c>
      <c r="D2203" t="inlineStr">
        <is>
          <t>VÄSTERBOTTENS LÄN</t>
        </is>
      </c>
      <c r="E2203" t="inlineStr">
        <is>
          <t>NORDMALING</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45264-2019</t>
        </is>
      </c>
      <c r="B2204" s="1" t="n">
        <v>43713</v>
      </c>
      <c r="C2204" s="1" t="n">
        <v>45204</v>
      </c>
      <c r="D2204" t="inlineStr">
        <is>
          <t>VÄSTERBOTTENS LÄN</t>
        </is>
      </c>
      <c r="E2204" t="inlineStr">
        <is>
          <t>LYCKSELE</t>
        </is>
      </c>
      <c r="F2204" t="inlineStr">
        <is>
          <t>SCA</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46021-2019</t>
        </is>
      </c>
      <c r="B2205" s="1" t="n">
        <v>43713</v>
      </c>
      <c r="C2205" s="1" t="n">
        <v>45204</v>
      </c>
      <c r="D2205" t="inlineStr">
        <is>
          <t>VÄSTERBOTTENS LÄN</t>
        </is>
      </c>
      <c r="E2205" t="inlineStr">
        <is>
          <t>NORDMALING</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46271-2019</t>
        </is>
      </c>
      <c r="B2206" s="1" t="n">
        <v>43713</v>
      </c>
      <c r="C2206" s="1" t="n">
        <v>45204</v>
      </c>
      <c r="D2206" t="inlineStr">
        <is>
          <t>VÄSTERBOTTENS LÄN</t>
        </is>
      </c>
      <c r="E2206" t="inlineStr">
        <is>
          <t>LYCKSELE</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45536-2019</t>
        </is>
      </c>
      <c r="B2207" s="1" t="n">
        <v>43714</v>
      </c>
      <c r="C2207" s="1" t="n">
        <v>45204</v>
      </c>
      <c r="D2207" t="inlineStr">
        <is>
          <t>VÄSTERBOTTENS LÄN</t>
        </is>
      </c>
      <c r="E2207" t="inlineStr">
        <is>
          <t>UMEÅ</t>
        </is>
      </c>
      <c r="G2207" t="n">
        <v>5.5</v>
      </c>
      <c r="H2207" t="n">
        <v>0</v>
      </c>
      <c r="I2207" t="n">
        <v>0</v>
      </c>
      <c r="J2207" t="n">
        <v>0</v>
      </c>
      <c r="K2207" t="n">
        <v>0</v>
      </c>
      <c r="L2207" t="n">
        <v>0</v>
      </c>
      <c r="M2207" t="n">
        <v>0</v>
      </c>
      <c r="N2207" t="n">
        <v>0</v>
      </c>
      <c r="O2207" t="n">
        <v>0</v>
      </c>
      <c r="P2207" t="n">
        <v>0</v>
      </c>
      <c r="Q2207" t="n">
        <v>0</v>
      </c>
      <c r="R2207" s="2" t="inlineStr"/>
    </row>
    <row r="2208" ht="15" customHeight="1">
      <c r="A2208" t="inlineStr">
        <is>
          <t>A 46227-2019</t>
        </is>
      </c>
      <c r="B2208" s="1" t="n">
        <v>43714</v>
      </c>
      <c r="C2208" s="1" t="n">
        <v>45204</v>
      </c>
      <c r="D2208" t="inlineStr">
        <is>
          <t>VÄSTERBOTTENS LÄN</t>
        </is>
      </c>
      <c r="E2208" t="inlineStr">
        <is>
          <t>SKELLEFTEÅ</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46412-2019</t>
        </is>
      </c>
      <c r="B2209" s="1" t="n">
        <v>43714</v>
      </c>
      <c r="C2209" s="1" t="n">
        <v>45204</v>
      </c>
      <c r="D2209" t="inlineStr">
        <is>
          <t>VÄSTERBOTTENS LÄN</t>
        </is>
      </c>
      <c r="E2209" t="inlineStr">
        <is>
          <t>SKELLEFTEÅ</t>
        </is>
      </c>
      <c r="G2209" t="n">
        <v>3.9</v>
      </c>
      <c r="H2209" t="n">
        <v>0</v>
      </c>
      <c r="I2209" t="n">
        <v>0</v>
      </c>
      <c r="J2209" t="n">
        <v>0</v>
      </c>
      <c r="K2209" t="n">
        <v>0</v>
      </c>
      <c r="L2209" t="n">
        <v>0</v>
      </c>
      <c r="M2209" t="n">
        <v>0</v>
      </c>
      <c r="N2209" t="n">
        <v>0</v>
      </c>
      <c r="O2209" t="n">
        <v>0</v>
      </c>
      <c r="P2209" t="n">
        <v>0</v>
      </c>
      <c r="Q2209" t="n">
        <v>0</v>
      </c>
      <c r="R2209" s="2" t="inlineStr"/>
    </row>
    <row r="2210" ht="15" customHeight="1">
      <c r="A2210" t="inlineStr">
        <is>
          <t>A 45921-2019</t>
        </is>
      </c>
      <c r="B2210" s="1" t="n">
        <v>43717</v>
      </c>
      <c r="C2210" s="1" t="n">
        <v>45204</v>
      </c>
      <c r="D2210" t="inlineStr">
        <is>
          <t>VÄSTERBOTTENS LÄN</t>
        </is>
      </c>
      <c r="E2210" t="inlineStr">
        <is>
          <t>DOROTEA</t>
        </is>
      </c>
      <c r="F2210" t="inlineStr">
        <is>
          <t>SCA</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46570-2019</t>
        </is>
      </c>
      <c r="B2211" s="1" t="n">
        <v>43717</v>
      </c>
      <c r="C2211" s="1" t="n">
        <v>45204</v>
      </c>
      <c r="D2211" t="inlineStr">
        <is>
          <t>VÄSTERBOTTENS LÄN</t>
        </is>
      </c>
      <c r="E2211" t="inlineStr">
        <is>
          <t>NORDMALING</t>
        </is>
      </c>
      <c r="G2211" t="n">
        <v>0.4</v>
      </c>
      <c r="H2211" t="n">
        <v>0</v>
      </c>
      <c r="I2211" t="n">
        <v>0</v>
      </c>
      <c r="J2211" t="n">
        <v>0</v>
      </c>
      <c r="K2211" t="n">
        <v>0</v>
      </c>
      <c r="L2211" t="n">
        <v>0</v>
      </c>
      <c r="M2211" t="n">
        <v>0</v>
      </c>
      <c r="N2211" t="n">
        <v>0</v>
      </c>
      <c r="O2211" t="n">
        <v>0</v>
      </c>
      <c r="P2211" t="n">
        <v>0</v>
      </c>
      <c r="Q2211" t="n">
        <v>0</v>
      </c>
      <c r="R2211" s="2" t="inlineStr"/>
    </row>
    <row r="2212" ht="15" customHeight="1">
      <c r="A2212" t="inlineStr">
        <is>
          <t>A 45758-2019</t>
        </is>
      </c>
      <c r="B2212" s="1" t="n">
        <v>43717</v>
      </c>
      <c r="C2212" s="1" t="n">
        <v>45204</v>
      </c>
      <c r="D2212" t="inlineStr">
        <is>
          <t>VÄSTERBOTTENS LÄN</t>
        </is>
      </c>
      <c r="E2212" t="inlineStr">
        <is>
          <t>LYCKSELE</t>
        </is>
      </c>
      <c r="F2212" t="inlineStr">
        <is>
          <t>Sveaskog</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45906-2019</t>
        </is>
      </c>
      <c r="B2213" s="1" t="n">
        <v>43717</v>
      </c>
      <c r="C2213" s="1" t="n">
        <v>45204</v>
      </c>
      <c r="D2213" t="inlineStr">
        <is>
          <t>VÄSTERBOTTENS LÄN</t>
        </is>
      </c>
      <c r="E2213" t="inlineStr">
        <is>
          <t>UMEÅ</t>
        </is>
      </c>
      <c r="G2213" t="n">
        <v>6</v>
      </c>
      <c r="H2213" t="n">
        <v>0</v>
      </c>
      <c r="I2213" t="n">
        <v>0</v>
      </c>
      <c r="J2213" t="n">
        <v>0</v>
      </c>
      <c r="K2213" t="n">
        <v>0</v>
      </c>
      <c r="L2213" t="n">
        <v>0</v>
      </c>
      <c r="M2213" t="n">
        <v>0</v>
      </c>
      <c r="N2213" t="n">
        <v>0</v>
      </c>
      <c r="O2213" t="n">
        <v>0</v>
      </c>
      <c r="P2213" t="n">
        <v>0</v>
      </c>
      <c r="Q2213" t="n">
        <v>0</v>
      </c>
      <c r="R2213" s="2" t="inlineStr"/>
    </row>
    <row r="2214" ht="15" customHeight="1">
      <c r="A2214" t="inlineStr">
        <is>
          <t>A 45905-2019</t>
        </is>
      </c>
      <c r="B2214" s="1" t="n">
        <v>43717</v>
      </c>
      <c r="C2214" s="1" t="n">
        <v>45204</v>
      </c>
      <c r="D2214" t="inlineStr">
        <is>
          <t>VÄSTERBOTTENS LÄN</t>
        </is>
      </c>
      <c r="E2214" t="inlineStr">
        <is>
          <t>UMEÅ</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46373-2019</t>
        </is>
      </c>
      <c r="B2215" s="1" t="n">
        <v>43718</v>
      </c>
      <c r="C2215" s="1" t="n">
        <v>45204</v>
      </c>
      <c r="D2215" t="inlineStr">
        <is>
          <t>VÄSTERBOTTENS LÄN</t>
        </is>
      </c>
      <c r="E2215" t="inlineStr">
        <is>
          <t>VILHELMINA</t>
        </is>
      </c>
      <c r="F2215" t="inlineStr">
        <is>
          <t>SCA</t>
        </is>
      </c>
      <c r="G2215" t="n">
        <v>7</v>
      </c>
      <c r="H2215" t="n">
        <v>0</v>
      </c>
      <c r="I2215" t="n">
        <v>0</v>
      </c>
      <c r="J2215" t="n">
        <v>0</v>
      </c>
      <c r="K2215" t="n">
        <v>0</v>
      </c>
      <c r="L2215" t="n">
        <v>0</v>
      </c>
      <c r="M2215" t="n">
        <v>0</v>
      </c>
      <c r="N2215" t="n">
        <v>0</v>
      </c>
      <c r="O2215" t="n">
        <v>0</v>
      </c>
      <c r="P2215" t="n">
        <v>0</v>
      </c>
      <c r="Q2215" t="n">
        <v>0</v>
      </c>
      <c r="R2215" s="2" t="inlineStr"/>
    </row>
    <row r="2216" ht="15" customHeight="1">
      <c r="A2216" t="inlineStr">
        <is>
          <t>A 46367-2019</t>
        </is>
      </c>
      <c r="B2216" s="1" t="n">
        <v>43718</v>
      </c>
      <c r="C2216" s="1" t="n">
        <v>45204</v>
      </c>
      <c r="D2216" t="inlineStr">
        <is>
          <t>VÄSTERBOTTENS LÄN</t>
        </is>
      </c>
      <c r="E2216" t="inlineStr">
        <is>
          <t>SKELLEFTEÅ</t>
        </is>
      </c>
      <c r="F2216" t="inlineStr">
        <is>
          <t>SCA</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46308-2019</t>
        </is>
      </c>
      <c r="B2217" s="1" t="n">
        <v>43718</v>
      </c>
      <c r="C2217" s="1" t="n">
        <v>45204</v>
      </c>
      <c r="D2217" t="inlineStr">
        <is>
          <t>VÄSTERBOTTENS LÄN</t>
        </is>
      </c>
      <c r="E2217" t="inlineStr">
        <is>
          <t>VINDELN</t>
        </is>
      </c>
      <c r="F2217" t="inlineStr">
        <is>
          <t>Holmen skog AB</t>
        </is>
      </c>
      <c r="G2217" t="n">
        <v>10.6</v>
      </c>
      <c r="H2217" t="n">
        <v>0</v>
      </c>
      <c r="I2217" t="n">
        <v>0</v>
      </c>
      <c r="J2217" t="n">
        <v>0</v>
      </c>
      <c r="K2217" t="n">
        <v>0</v>
      </c>
      <c r="L2217" t="n">
        <v>0</v>
      </c>
      <c r="M2217" t="n">
        <v>0</v>
      </c>
      <c r="N2217" t="n">
        <v>0</v>
      </c>
      <c r="O2217" t="n">
        <v>0</v>
      </c>
      <c r="P2217" t="n">
        <v>0</v>
      </c>
      <c r="Q2217" t="n">
        <v>0</v>
      </c>
      <c r="R2217" s="2" t="inlineStr"/>
    </row>
    <row r="2218" ht="15" customHeight="1">
      <c r="A2218" t="inlineStr">
        <is>
          <t>A 46355-2019</t>
        </is>
      </c>
      <c r="B2218" s="1" t="n">
        <v>43718</v>
      </c>
      <c r="C2218" s="1" t="n">
        <v>45204</v>
      </c>
      <c r="D2218" t="inlineStr">
        <is>
          <t>VÄSTERBOTTENS LÄN</t>
        </is>
      </c>
      <c r="E2218" t="inlineStr">
        <is>
          <t>SKELLEFTEÅ</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46368-2019</t>
        </is>
      </c>
      <c r="B2219" s="1" t="n">
        <v>43718</v>
      </c>
      <c r="C2219" s="1" t="n">
        <v>45204</v>
      </c>
      <c r="D2219" t="inlineStr">
        <is>
          <t>VÄSTERBOTTENS LÄN</t>
        </is>
      </c>
      <c r="E2219" t="inlineStr">
        <is>
          <t>SKELLEFTEÅ</t>
        </is>
      </c>
      <c r="F2219" t="inlineStr">
        <is>
          <t>SCA</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46372-2019</t>
        </is>
      </c>
      <c r="B2220" s="1" t="n">
        <v>43718</v>
      </c>
      <c r="C2220" s="1" t="n">
        <v>45204</v>
      </c>
      <c r="D2220" t="inlineStr">
        <is>
          <t>VÄSTERBOTTENS LÄN</t>
        </is>
      </c>
      <c r="E2220" t="inlineStr">
        <is>
          <t>VILHELMINA</t>
        </is>
      </c>
      <c r="F2220" t="inlineStr">
        <is>
          <t>SCA</t>
        </is>
      </c>
      <c r="G2220" t="n">
        <v>26.9</v>
      </c>
      <c r="H2220" t="n">
        <v>0</v>
      </c>
      <c r="I2220" t="n">
        <v>0</v>
      </c>
      <c r="J2220" t="n">
        <v>0</v>
      </c>
      <c r="K2220" t="n">
        <v>0</v>
      </c>
      <c r="L2220" t="n">
        <v>0</v>
      </c>
      <c r="M2220" t="n">
        <v>0</v>
      </c>
      <c r="N2220" t="n">
        <v>0</v>
      </c>
      <c r="O2220" t="n">
        <v>0</v>
      </c>
      <c r="P2220" t="n">
        <v>0</v>
      </c>
      <c r="Q2220" t="n">
        <v>0</v>
      </c>
      <c r="R2220" s="2" t="inlineStr"/>
    </row>
    <row r="2221" ht="15" customHeight="1">
      <c r="A2221" t="inlineStr">
        <is>
          <t>A 46645-2019</t>
        </is>
      </c>
      <c r="B2221" s="1" t="n">
        <v>43719</v>
      </c>
      <c r="C2221" s="1" t="n">
        <v>45204</v>
      </c>
      <c r="D2221" t="inlineStr">
        <is>
          <t>VÄSTERBOTTENS LÄN</t>
        </is>
      </c>
      <c r="E2221" t="inlineStr">
        <is>
          <t>STORUMAN</t>
        </is>
      </c>
      <c r="F2221" t="inlineStr">
        <is>
          <t>Sveaskog</t>
        </is>
      </c>
      <c r="G2221" t="n">
        <v>2.7</v>
      </c>
      <c r="H2221" t="n">
        <v>0</v>
      </c>
      <c r="I2221" t="n">
        <v>0</v>
      </c>
      <c r="J2221" t="n">
        <v>0</v>
      </c>
      <c r="K2221" t="n">
        <v>0</v>
      </c>
      <c r="L2221" t="n">
        <v>0</v>
      </c>
      <c r="M2221" t="n">
        <v>0</v>
      </c>
      <c r="N2221" t="n">
        <v>0</v>
      </c>
      <c r="O2221" t="n">
        <v>0</v>
      </c>
      <c r="P2221" t="n">
        <v>0</v>
      </c>
      <c r="Q2221" t="n">
        <v>0</v>
      </c>
      <c r="R2221" s="2" t="inlineStr"/>
    </row>
    <row r="2222" ht="15" customHeight="1">
      <c r="A2222" t="inlineStr">
        <is>
          <t>A 46808-2019</t>
        </is>
      </c>
      <c r="B2222" s="1" t="n">
        <v>43719</v>
      </c>
      <c r="C2222" s="1" t="n">
        <v>45204</v>
      </c>
      <c r="D2222" t="inlineStr">
        <is>
          <t>VÄSTERBOTTENS LÄN</t>
        </is>
      </c>
      <c r="E2222" t="inlineStr">
        <is>
          <t>VINDELN</t>
        </is>
      </c>
      <c r="G2222" t="n">
        <v>5.1</v>
      </c>
      <c r="H2222" t="n">
        <v>0</v>
      </c>
      <c r="I2222" t="n">
        <v>0</v>
      </c>
      <c r="J2222" t="n">
        <v>0</v>
      </c>
      <c r="K2222" t="n">
        <v>0</v>
      </c>
      <c r="L2222" t="n">
        <v>0</v>
      </c>
      <c r="M2222" t="n">
        <v>0</v>
      </c>
      <c r="N2222" t="n">
        <v>0</v>
      </c>
      <c r="O2222" t="n">
        <v>0</v>
      </c>
      <c r="P2222" t="n">
        <v>0</v>
      </c>
      <c r="Q2222" t="n">
        <v>0</v>
      </c>
      <c r="R2222" s="2" t="inlineStr"/>
    </row>
    <row r="2223" ht="15" customHeight="1">
      <c r="A2223" t="inlineStr">
        <is>
          <t>A 46655-2019</t>
        </is>
      </c>
      <c r="B2223" s="1" t="n">
        <v>43719</v>
      </c>
      <c r="C2223" s="1" t="n">
        <v>45204</v>
      </c>
      <c r="D2223" t="inlineStr">
        <is>
          <t>VÄSTERBOTTENS LÄN</t>
        </is>
      </c>
      <c r="E2223" t="inlineStr">
        <is>
          <t>STORUMAN</t>
        </is>
      </c>
      <c r="F2223" t="inlineStr">
        <is>
          <t>Sveaskog</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46848-2019</t>
        </is>
      </c>
      <c r="B2224" s="1" t="n">
        <v>43719</v>
      </c>
      <c r="C2224" s="1" t="n">
        <v>45204</v>
      </c>
      <c r="D2224" t="inlineStr">
        <is>
          <t>VÄSTERBOTTENS LÄN</t>
        </is>
      </c>
      <c r="E2224" t="inlineStr">
        <is>
          <t>VINDELN</t>
        </is>
      </c>
      <c r="G2224" t="n">
        <v>5.2</v>
      </c>
      <c r="H2224" t="n">
        <v>0</v>
      </c>
      <c r="I2224" t="n">
        <v>0</v>
      </c>
      <c r="J2224" t="n">
        <v>0</v>
      </c>
      <c r="K2224" t="n">
        <v>0</v>
      </c>
      <c r="L2224" t="n">
        <v>0</v>
      </c>
      <c r="M2224" t="n">
        <v>0</v>
      </c>
      <c r="N2224" t="n">
        <v>0</v>
      </c>
      <c r="O2224" t="n">
        <v>0</v>
      </c>
      <c r="P2224" t="n">
        <v>0</v>
      </c>
      <c r="Q2224" t="n">
        <v>0</v>
      </c>
      <c r="R2224" s="2" t="inlineStr"/>
    </row>
    <row r="2225" ht="15" customHeight="1">
      <c r="A2225" t="inlineStr">
        <is>
          <t>A 46387-2019</t>
        </is>
      </c>
      <c r="B2225" s="1" t="n">
        <v>43719</v>
      </c>
      <c r="C2225" s="1" t="n">
        <v>45204</v>
      </c>
      <c r="D2225" t="inlineStr">
        <is>
          <t>VÄSTERBOTTENS LÄN</t>
        </is>
      </c>
      <c r="E2225" t="inlineStr">
        <is>
          <t>VINDELN</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46471-2019</t>
        </is>
      </c>
      <c r="B2226" s="1" t="n">
        <v>43719</v>
      </c>
      <c r="C2226" s="1" t="n">
        <v>45204</v>
      </c>
      <c r="D2226" t="inlineStr">
        <is>
          <t>VÄSTERBOTTENS LÄN</t>
        </is>
      </c>
      <c r="E2226" t="inlineStr">
        <is>
          <t>STORUMAN</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46601-2019</t>
        </is>
      </c>
      <c r="B2227" s="1" t="n">
        <v>43719</v>
      </c>
      <c r="C2227" s="1" t="n">
        <v>45204</v>
      </c>
      <c r="D2227" t="inlineStr">
        <is>
          <t>VÄSTERBOTTENS LÄN</t>
        </is>
      </c>
      <c r="E2227" t="inlineStr">
        <is>
          <t>UMEÅ</t>
        </is>
      </c>
      <c r="F2227" t="inlineStr">
        <is>
          <t>Holmen skog AB</t>
        </is>
      </c>
      <c r="G2227" t="n">
        <v>16.3</v>
      </c>
      <c r="H2227" t="n">
        <v>0</v>
      </c>
      <c r="I2227" t="n">
        <v>0</v>
      </c>
      <c r="J2227" t="n">
        <v>0</v>
      </c>
      <c r="K2227" t="n">
        <v>0</v>
      </c>
      <c r="L2227" t="n">
        <v>0</v>
      </c>
      <c r="M2227" t="n">
        <v>0</v>
      </c>
      <c r="N2227" t="n">
        <v>0</v>
      </c>
      <c r="O2227" t="n">
        <v>0</v>
      </c>
      <c r="P2227" t="n">
        <v>0</v>
      </c>
      <c r="Q2227" t="n">
        <v>0</v>
      </c>
      <c r="R2227" s="2" t="inlineStr"/>
    </row>
    <row r="2228" ht="15" customHeight="1">
      <c r="A2228" t="inlineStr">
        <is>
          <t>A 46651-2019</t>
        </is>
      </c>
      <c r="B2228" s="1" t="n">
        <v>43719</v>
      </c>
      <c r="C2228" s="1" t="n">
        <v>45204</v>
      </c>
      <c r="D2228" t="inlineStr">
        <is>
          <t>VÄSTERBOTTENS LÄN</t>
        </is>
      </c>
      <c r="E2228" t="inlineStr">
        <is>
          <t>STORUMAN</t>
        </is>
      </c>
      <c r="F2228" t="inlineStr">
        <is>
          <t>Sveaskog</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46748-2019</t>
        </is>
      </c>
      <c r="B2229" s="1" t="n">
        <v>43719</v>
      </c>
      <c r="C2229" s="1" t="n">
        <v>45204</v>
      </c>
      <c r="D2229" t="inlineStr">
        <is>
          <t>VÄSTERBOTTENS LÄN</t>
        </is>
      </c>
      <c r="E2229" t="inlineStr">
        <is>
          <t>DOROTEA</t>
        </is>
      </c>
      <c r="F2229" t="inlineStr">
        <is>
          <t>SCA</t>
        </is>
      </c>
      <c r="G2229" t="n">
        <v>6.2</v>
      </c>
      <c r="H2229" t="n">
        <v>0</v>
      </c>
      <c r="I2229" t="n">
        <v>0</v>
      </c>
      <c r="J2229" t="n">
        <v>0</v>
      </c>
      <c r="K2229" t="n">
        <v>0</v>
      </c>
      <c r="L2229" t="n">
        <v>0</v>
      </c>
      <c r="M2229" t="n">
        <v>0</v>
      </c>
      <c r="N2229" t="n">
        <v>0</v>
      </c>
      <c r="O2229" t="n">
        <v>0</v>
      </c>
      <c r="P2229" t="n">
        <v>0</v>
      </c>
      <c r="Q2229" t="n">
        <v>0</v>
      </c>
      <c r="R2229" s="2" t="inlineStr"/>
    </row>
    <row r="2230" ht="15" customHeight="1">
      <c r="A2230" t="inlineStr">
        <is>
          <t>A 47015-2019</t>
        </is>
      </c>
      <c r="B2230" s="1" t="n">
        <v>43719</v>
      </c>
      <c r="C2230" s="1" t="n">
        <v>45204</v>
      </c>
      <c r="D2230" t="inlineStr">
        <is>
          <t>VÄSTERBOTTENS LÄN</t>
        </is>
      </c>
      <c r="E2230" t="inlineStr">
        <is>
          <t>SORSELE</t>
        </is>
      </c>
      <c r="G2230" t="n">
        <v>4.3</v>
      </c>
      <c r="H2230" t="n">
        <v>0</v>
      </c>
      <c r="I2230" t="n">
        <v>0</v>
      </c>
      <c r="J2230" t="n">
        <v>0</v>
      </c>
      <c r="K2230" t="n">
        <v>0</v>
      </c>
      <c r="L2230" t="n">
        <v>0</v>
      </c>
      <c r="M2230" t="n">
        <v>0</v>
      </c>
      <c r="N2230" t="n">
        <v>0</v>
      </c>
      <c r="O2230" t="n">
        <v>0</v>
      </c>
      <c r="P2230" t="n">
        <v>0</v>
      </c>
      <c r="Q2230" t="n">
        <v>0</v>
      </c>
      <c r="R2230" s="2" t="inlineStr"/>
    </row>
    <row r="2231" ht="15" customHeight="1">
      <c r="A2231" t="inlineStr">
        <is>
          <t>A 46612-2019</t>
        </is>
      </c>
      <c r="B2231" s="1" t="n">
        <v>43719</v>
      </c>
      <c r="C2231" s="1" t="n">
        <v>45204</v>
      </c>
      <c r="D2231" t="inlineStr">
        <is>
          <t>VÄSTERBOTTENS LÄN</t>
        </is>
      </c>
      <c r="E2231" t="inlineStr">
        <is>
          <t>STORUMAN</t>
        </is>
      </c>
      <c r="F2231" t="inlineStr">
        <is>
          <t>Sveaskog</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46746-2019</t>
        </is>
      </c>
      <c r="B2232" s="1" t="n">
        <v>43719</v>
      </c>
      <c r="C2232" s="1" t="n">
        <v>45204</v>
      </c>
      <c r="D2232" t="inlineStr">
        <is>
          <t>VÄSTERBOTTENS LÄN</t>
        </is>
      </c>
      <c r="E2232" t="inlineStr">
        <is>
          <t>DOROTEA</t>
        </is>
      </c>
      <c r="F2232" t="inlineStr">
        <is>
          <t>SCA</t>
        </is>
      </c>
      <c r="G2232" t="n">
        <v>8</v>
      </c>
      <c r="H2232" t="n">
        <v>0</v>
      </c>
      <c r="I2232" t="n">
        <v>0</v>
      </c>
      <c r="J2232" t="n">
        <v>0</v>
      </c>
      <c r="K2232" t="n">
        <v>0</v>
      </c>
      <c r="L2232" t="n">
        <v>0</v>
      </c>
      <c r="M2232" t="n">
        <v>0</v>
      </c>
      <c r="N2232" t="n">
        <v>0</v>
      </c>
      <c r="O2232" t="n">
        <v>0</v>
      </c>
      <c r="P2232" t="n">
        <v>0</v>
      </c>
      <c r="Q2232" t="n">
        <v>0</v>
      </c>
      <c r="R2232" s="2" t="inlineStr"/>
    </row>
    <row r="2233" ht="15" customHeight="1">
      <c r="A2233" t="inlineStr">
        <is>
          <t>A 47000-2019</t>
        </is>
      </c>
      <c r="B2233" s="1" t="n">
        <v>43719</v>
      </c>
      <c r="C2233" s="1" t="n">
        <v>45204</v>
      </c>
      <c r="D2233" t="inlineStr">
        <is>
          <t>VÄSTERBOTTENS LÄN</t>
        </is>
      </c>
      <c r="E2233" t="inlineStr">
        <is>
          <t>SORSELE</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46914-2019</t>
        </is>
      </c>
      <c r="B2234" s="1" t="n">
        <v>43720</v>
      </c>
      <c r="C2234" s="1" t="n">
        <v>45204</v>
      </c>
      <c r="D2234" t="inlineStr">
        <is>
          <t>VÄSTERBOTTENS LÄN</t>
        </is>
      </c>
      <c r="E2234" t="inlineStr">
        <is>
          <t>MALÅ</t>
        </is>
      </c>
      <c r="F2234" t="inlineStr">
        <is>
          <t>Sveaskog</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47062-2019</t>
        </is>
      </c>
      <c r="B2235" s="1" t="n">
        <v>43720</v>
      </c>
      <c r="C2235" s="1" t="n">
        <v>45204</v>
      </c>
      <c r="D2235" t="inlineStr">
        <is>
          <t>VÄSTERBOTTENS LÄN</t>
        </is>
      </c>
      <c r="E2235" t="inlineStr">
        <is>
          <t>LYCKSELE</t>
        </is>
      </c>
      <c r="F2235" t="inlineStr">
        <is>
          <t>Holmen skog AB</t>
        </is>
      </c>
      <c r="G2235" t="n">
        <v>10.9</v>
      </c>
      <c r="H2235" t="n">
        <v>0</v>
      </c>
      <c r="I2235" t="n">
        <v>0</v>
      </c>
      <c r="J2235" t="n">
        <v>0</v>
      </c>
      <c r="K2235" t="n">
        <v>0</v>
      </c>
      <c r="L2235" t="n">
        <v>0</v>
      </c>
      <c r="M2235" t="n">
        <v>0</v>
      </c>
      <c r="N2235" t="n">
        <v>0</v>
      </c>
      <c r="O2235" t="n">
        <v>0</v>
      </c>
      <c r="P2235" t="n">
        <v>0</v>
      </c>
      <c r="Q2235" t="n">
        <v>0</v>
      </c>
      <c r="R2235" s="2" t="inlineStr"/>
    </row>
    <row r="2236" ht="15" customHeight="1">
      <c r="A2236" t="inlineStr">
        <is>
          <t>A 47091-2019</t>
        </is>
      </c>
      <c r="B2236" s="1" t="n">
        <v>43720</v>
      </c>
      <c r="C2236" s="1" t="n">
        <v>45204</v>
      </c>
      <c r="D2236" t="inlineStr">
        <is>
          <t>VÄSTERBOTTENS LÄN</t>
        </is>
      </c>
      <c r="E2236" t="inlineStr">
        <is>
          <t>SKELLEFTEÅ</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47111-2019</t>
        </is>
      </c>
      <c r="B2237" s="1" t="n">
        <v>43720</v>
      </c>
      <c r="C2237" s="1" t="n">
        <v>45204</v>
      </c>
      <c r="D2237" t="inlineStr">
        <is>
          <t>VÄSTERBOTTENS LÄN</t>
        </is>
      </c>
      <c r="E2237" t="inlineStr">
        <is>
          <t>UMEÅ</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46946-2019</t>
        </is>
      </c>
      <c r="B2238" s="1" t="n">
        <v>43720</v>
      </c>
      <c r="C2238" s="1" t="n">
        <v>45204</v>
      </c>
      <c r="D2238" t="inlineStr">
        <is>
          <t>VÄSTERBOTTENS LÄN</t>
        </is>
      </c>
      <c r="E2238" t="inlineStr">
        <is>
          <t>SKELLEFTEÅ</t>
        </is>
      </c>
      <c r="F2238" t="inlineStr">
        <is>
          <t>Holmen skog AB</t>
        </is>
      </c>
      <c r="G2238" t="n">
        <v>13.2</v>
      </c>
      <c r="H2238" t="n">
        <v>0</v>
      </c>
      <c r="I2238" t="n">
        <v>0</v>
      </c>
      <c r="J2238" t="n">
        <v>0</v>
      </c>
      <c r="K2238" t="n">
        <v>0</v>
      </c>
      <c r="L2238" t="n">
        <v>0</v>
      </c>
      <c r="M2238" t="n">
        <v>0</v>
      </c>
      <c r="N2238" t="n">
        <v>0</v>
      </c>
      <c r="O2238" t="n">
        <v>0</v>
      </c>
      <c r="P2238" t="n">
        <v>0</v>
      </c>
      <c r="Q2238" t="n">
        <v>0</v>
      </c>
      <c r="R2238" s="2" t="inlineStr"/>
    </row>
    <row r="2239" ht="15" customHeight="1">
      <c r="A2239" t="inlineStr">
        <is>
          <t>A 46997-2019</t>
        </is>
      </c>
      <c r="B2239" s="1" t="n">
        <v>43720</v>
      </c>
      <c r="C2239" s="1" t="n">
        <v>45204</v>
      </c>
      <c r="D2239" t="inlineStr">
        <is>
          <t>VÄSTERBOTTENS LÄN</t>
        </is>
      </c>
      <c r="E2239" t="inlineStr">
        <is>
          <t>MALÅ</t>
        </is>
      </c>
      <c r="F2239" t="inlineStr">
        <is>
          <t>Sveaskog</t>
        </is>
      </c>
      <c r="G2239" t="n">
        <v>5.9</v>
      </c>
      <c r="H2239" t="n">
        <v>0</v>
      </c>
      <c r="I2239" t="n">
        <v>0</v>
      </c>
      <c r="J2239" t="n">
        <v>0</v>
      </c>
      <c r="K2239" t="n">
        <v>0</v>
      </c>
      <c r="L2239" t="n">
        <v>0</v>
      </c>
      <c r="M2239" t="n">
        <v>0</v>
      </c>
      <c r="N2239" t="n">
        <v>0</v>
      </c>
      <c r="O2239" t="n">
        <v>0</v>
      </c>
      <c r="P2239" t="n">
        <v>0</v>
      </c>
      <c r="Q2239" t="n">
        <v>0</v>
      </c>
      <c r="R2239" s="2" t="inlineStr"/>
    </row>
    <row r="2240" ht="15" customHeight="1">
      <c r="A2240" t="inlineStr">
        <is>
          <t>A 46952-2019</t>
        </is>
      </c>
      <c r="B2240" s="1" t="n">
        <v>43720</v>
      </c>
      <c r="C2240" s="1" t="n">
        <v>45204</v>
      </c>
      <c r="D2240" t="inlineStr">
        <is>
          <t>VÄSTERBOTTENS LÄN</t>
        </is>
      </c>
      <c r="E2240" t="inlineStr">
        <is>
          <t>SKELLEFTEÅ</t>
        </is>
      </c>
      <c r="F2240" t="inlineStr">
        <is>
          <t>Holmen skog AB</t>
        </is>
      </c>
      <c r="G2240" t="n">
        <v>10.8</v>
      </c>
      <c r="H2240" t="n">
        <v>0</v>
      </c>
      <c r="I2240" t="n">
        <v>0</v>
      </c>
      <c r="J2240" t="n">
        <v>0</v>
      </c>
      <c r="K2240" t="n">
        <v>0</v>
      </c>
      <c r="L2240" t="n">
        <v>0</v>
      </c>
      <c r="M2240" t="n">
        <v>0</v>
      </c>
      <c r="N2240" t="n">
        <v>0</v>
      </c>
      <c r="O2240" t="n">
        <v>0</v>
      </c>
      <c r="P2240" t="n">
        <v>0</v>
      </c>
      <c r="Q2240" t="n">
        <v>0</v>
      </c>
      <c r="R2240" s="2" t="inlineStr"/>
    </row>
    <row r="2241" ht="15" customHeight="1">
      <c r="A2241" t="inlineStr">
        <is>
          <t>A 46758-2019</t>
        </is>
      </c>
      <c r="B2241" s="1" t="n">
        <v>43720</v>
      </c>
      <c r="C2241" s="1" t="n">
        <v>45204</v>
      </c>
      <c r="D2241" t="inlineStr">
        <is>
          <t>VÄSTERBOTTENS LÄN</t>
        </is>
      </c>
      <c r="E2241" t="inlineStr">
        <is>
          <t>STORUMAN</t>
        </is>
      </c>
      <c r="F2241" t="inlineStr">
        <is>
          <t>Sveaskog</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46968-2019</t>
        </is>
      </c>
      <c r="B2242" s="1" t="n">
        <v>43720</v>
      </c>
      <c r="C2242" s="1" t="n">
        <v>45204</v>
      </c>
      <c r="D2242" t="inlineStr">
        <is>
          <t>VÄSTERBOTTENS LÄN</t>
        </is>
      </c>
      <c r="E2242" t="inlineStr">
        <is>
          <t>SKELLEFTEÅ</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47110-2019</t>
        </is>
      </c>
      <c r="B2243" s="1" t="n">
        <v>43720</v>
      </c>
      <c r="C2243" s="1" t="n">
        <v>45204</v>
      </c>
      <c r="D2243" t="inlineStr">
        <is>
          <t>VÄSTERBOTTENS LÄN</t>
        </is>
      </c>
      <c r="E2243" t="inlineStr">
        <is>
          <t>UMEÅ</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47224-2019</t>
        </is>
      </c>
      <c r="B2244" s="1" t="n">
        <v>43720</v>
      </c>
      <c r="C2244" s="1" t="n">
        <v>45204</v>
      </c>
      <c r="D2244" t="inlineStr">
        <is>
          <t>VÄSTERBOTTENS LÄN</t>
        </is>
      </c>
      <c r="E2244" t="inlineStr">
        <is>
          <t>SKELLEFTEÅ</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47452-2019</t>
        </is>
      </c>
      <c r="B2245" s="1" t="n">
        <v>43721</v>
      </c>
      <c r="C2245" s="1" t="n">
        <v>45204</v>
      </c>
      <c r="D2245" t="inlineStr">
        <is>
          <t>VÄSTERBOTTENS LÄN</t>
        </is>
      </c>
      <c r="E2245" t="inlineStr">
        <is>
          <t>SKELLEFTEÅ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47388-2019</t>
        </is>
      </c>
      <c r="B2246" s="1" t="n">
        <v>43721</v>
      </c>
      <c r="C2246" s="1" t="n">
        <v>45204</v>
      </c>
      <c r="D2246" t="inlineStr">
        <is>
          <t>VÄSTERBOTTENS LÄN</t>
        </is>
      </c>
      <c r="E2246" t="inlineStr">
        <is>
          <t>VILHELMINA</t>
        </is>
      </c>
      <c r="F2246" t="inlineStr">
        <is>
          <t>SCA</t>
        </is>
      </c>
      <c r="G2246" t="n">
        <v>15.4</v>
      </c>
      <c r="H2246" t="n">
        <v>0</v>
      </c>
      <c r="I2246" t="n">
        <v>0</v>
      </c>
      <c r="J2246" t="n">
        <v>0</v>
      </c>
      <c r="K2246" t="n">
        <v>0</v>
      </c>
      <c r="L2246" t="n">
        <v>0</v>
      </c>
      <c r="M2246" t="n">
        <v>0</v>
      </c>
      <c r="N2246" t="n">
        <v>0</v>
      </c>
      <c r="O2246" t="n">
        <v>0</v>
      </c>
      <c r="P2246" t="n">
        <v>0</v>
      </c>
      <c r="Q2246" t="n">
        <v>0</v>
      </c>
      <c r="R2246" s="2" t="inlineStr"/>
    </row>
    <row r="2247" ht="15" customHeight="1">
      <c r="A2247" t="inlineStr">
        <is>
          <t>A 47460-2019</t>
        </is>
      </c>
      <c r="B2247" s="1" t="n">
        <v>43721</v>
      </c>
      <c r="C2247" s="1" t="n">
        <v>45204</v>
      </c>
      <c r="D2247" t="inlineStr">
        <is>
          <t>VÄSTERBOTTENS LÄN</t>
        </is>
      </c>
      <c r="E2247" t="inlineStr">
        <is>
          <t>SKELLEFTEÅ</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47535-2019</t>
        </is>
      </c>
      <c r="B2248" s="1" t="n">
        <v>43721</v>
      </c>
      <c r="C2248" s="1" t="n">
        <v>45204</v>
      </c>
      <c r="D2248" t="inlineStr">
        <is>
          <t>VÄSTERBOTTENS LÄN</t>
        </is>
      </c>
      <c r="E2248" t="inlineStr">
        <is>
          <t>SKELLEFTEÅ</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47419-2019</t>
        </is>
      </c>
      <c r="B2249" s="1" t="n">
        <v>43723</v>
      </c>
      <c r="C2249" s="1" t="n">
        <v>45204</v>
      </c>
      <c r="D2249" t="inlineStr">
        <is>
          <t>VÄSTERBOTTENS LÄN</t>
        </is>
      </c>
      <c r="E2249" t="inlineStr">
        <is>
          <t>VINDELN</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47643-2019</t>
        </is>
      </c>
      <c r="B2250" s="1" t="n">
        <v>43724</v>
      </c>
      <c r="C2250" s="1" t="n">
        <v>45204</v>
      </c>
      <c r="D2250" t="inlineStr">
        <is>
          <t>VÄSTERBOTTENS LÄN</t>
        </is>
      </c>
      <c r="E2250" t="inlineStr">
        <is>
          <t>SKELLEFTEÅ</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47708-2019</t>
        </is>
      </c>
      <c r="B2251" s="1" t="n">
        <v>43724</v>
      </c>
      <c r="C2251" s="1" t="n">
        <v>45204</v>
      </c>
      <c r="D2251" t="inlineStr">
        <is>
          <t>VÄSTERBOTTENS LÄN</t>
        </is>
      </c>
      <c r="E2251" t="inlineStr">
        <is>
          <t>UMEÅ</t>
        </is>
      </c>
      <c r="F2251" t="inlineStr">
        <is>
          <t>Holmen skog AB</t>
        </is>
      </c>
      <c r="G2251" t="n">
        <v>8.4</v>
      </c>
      <c r="H2251" t="n">
        <v>0</v>
      </c>
      <c r="I2251" t="n">
        <v>0</v>
      </c>
      <c r="J2251" t="n">
        <v>0</v>
      </c>
      <c r="K2251" t="n">
        <v>0</v>
      </c>
      <c r="L2251" t="n">
        <v>0</v>
      </c>
      <c r="M2251" t="n">
        <v>0</v>
      </c>
      <c r="N2251" t="n">
        <v>0</v>
      </c>
      <c r="O2251" t="n">
        <v>0</v>
      </c>
      <c r="P2251" t="n">
        <v>0</v>
      </c>
      <c r="Q2251" t="n">
        <v>0</v>
      </c>
      <c r="R2251" s="2" t="inlineStr"/>
    </row>
    <row r="2252" ht="15" customHeight="1">
      <c r="A2252" t="inlineStr">
        <is>
          <t>A 47784-2019</t>
        </is>
      </c>
      <c r="B2252" s="1" t="n">
        <v>43724</v>
      </c>
      <c r="C2252" s="1" t="n">
        <v>45204</v>
      </c>
      <c r="D2252" t="inlineStr">
        <is>
          <t>VÄSTERBOTTENS LÄN</t>
        </is>
      </c>
      <c r="E2252" t="inlineStr">
        <is>
          <t>DOROTEA</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47572-2019</t>
        </is>
      </c>
      <c r="B2253" s="1" t="n">
        <v>43724</v>
      </c>
      <c r="C2253" s="1" t="n">
        <v>45204</v>
      </c>
      <c r="D2253" t="inlineStr">
        <is>
          <t>VÄSTERBOTTENS LÄN</t>
        </is>
      </c>
      <c r="E2253" t="inlineStr">
        <is>
          <t>SKELLEFTEÅ</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47601-2019</t>
        </is>
      </c>
      <c r="B2254" s="1" t="n">
        <v>43724</v>
      </c>
      <c r="C2254" s="1" t="n">
        <v>45204</v>
      </c>
      <c r="D2254" t="inlineStr">
        <is>
          <t>VÄSTERBOTTENS LÄN</t>
        </is>
      </c>
      <c r="E2254" t="inlineStr">
        <is>
          <t>UMEÅ</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47573-2019</t>
        </is>
      </c>
      <c r="B2255" s="1" t="n">
        <v>43724</v>
      </c>
      <c r="C2255" s="1" t="n">
        <v>45204</v>
      </c>
      <c r="D2255" t="inlineStr">
        <is>
          <t>VÄSTERBOTTENS LÄN</t>
        </is>
      </c>
      <c r="E2255" t="inlineStr">
        <is>
          <t>UMEÅ</t>
        </is>
      </c>
      <c r="F2255" t="inlineStr">
        <is>
          <t>Holmen skog AB</t>
        </is>
      </c>
      <c r="G2255" t="n">
        <v>17.1</v>
      </c>
      <c r="H2255" t="n">
        <v>0</v>
      </c>
      <c r="I2255" t="n">
        <v>0</v>
      </c>
      <c r="J2255" t="n">
        <v>0</v>
      </c>
      <c r="K2255" t="n">
        <v>0</v>
      </c>
      <c r="L2255" t="n">
        <v>0</v>
      </c>
      <c r="M2255" t="n">
        <v>0</v>
      </c>
      <c r="N2255" t="n">
        <v>0</v>
      </c>
      <c r="O2255" t="n">
        <v>0</v>
      </c>
      <c r="P2255" t="n">
        <v>0</v>
      </c>
      <c r="Q2255" t="n">
        <v>0</v>
      </c>
      <c r="R2255" s="2" t="inlineStr"/>
    </row>
    <row r="2256" ht="15" customHeight="1">
      <c r="A2256" t="inlineStr">
        <is>
          <t>A 47453-2019</t>
        </is>
      </c>
      <c r="B2256" s="1" t="n">
        <v>43724</v>
      </c>
      <c r="C2256" s="1" t="n">
        <v>45204</v>
      </c>
      <c r="D2256" t="inlineStr">
        <is>
          <t>VÄSTERBOTTENS LÄN</t>
        </is>
      </c>
      <c r="E2256" t="inlineStr">
        <is>
          <t>NORDMALING</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47932-2019</t>
        </is>
      </c>
      <c r="B2257" s="1" t="n">
        <v>43725</v>
      </c>
      <c r="C2257" s="1" t="n">
        <v>45204</v>
      </c>
      <c r="D2257" t="inlineStr">
        <is>
          <t>VÄSTERBOTTENS LÄN</t>
        </is>
      </c>
      <c r="E2257" t="inlineStr">
        <is>
          <t>STORUMAN</t>
        </is>
      </c>
      <c r="F2257" t="inlineStr">
        <is>
          <t>Sveaskog</t>
        </is>
      </c>
      <c r="G2257" t="n">
        <v>14.4</v>
      </c>
      <c r="H2257" t="n">
        <v>0</v>
      </c>
      <c r="I2257" t="n">
        <v>0</v>
      </c>
      <c r="J2257" t="n">
        <v>0</v>
      </c>
      <c r="K2257" t="n">
        <v>0</v>
      </c>
      <c r="L2257" t="n">
        <v>0</v>
      </c>
      <c r="M2257" t="n">
        <v>0</v>
      </c>
      <c r="N2257" t="n">
        <v>0</v>
      </c>
      <c r="O2257" t="n">
        <v>0</v>
      </c>
      <c r="P2257" t="n">
        <v>0</v>
      </c>
      <c r="Q2257" t="n">
        <v>0</v>
      </c>
      <c r="R2257" s="2" t="inlineStr"/>
    </row>
    <row r="2258" ht="15" customHeight="1">
      <c r="A2258" t="inlineStr">
        <is>
          <t>A 48213-2019</t>
        </is>
      </c>
      <c r="B2258" s="1" t="n">
        <v>43725</v>
      </c>
      <c r="C2258" s="1" t="n">
        <v>45204</v>
      </c>
      <c r="D2258" t="inlineStr">
        <is>
          <t>VÄSTERBOTTENS LÄN</t>
        </is>
      </c>
      <c r="E2258" t="inlineStr">
        <is>
          <t>VINDELN</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48183-2019</t>
        </is>
      </c>
      <c r="B2259" s="1" t="n">
        <v>43725</v>
      </c>
      <c r="C2259" s="1" t="n">
        <v>45204</v>
      </c>
      <c r="D2259" t="inlineStr">
        <is>
          <t>VÄSTERBOTTENS LÄN</t>
        </is>
      </c>
      <c r="E2259" t="inlineStr">
        <is>
          <t>ROBERTSFORS</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48259-2019</t>
        </is>
      </c>
      <c r="B2260" s="1" t="n">
        <v>43726</v>
      </c>
      <c r="C2260" s="1" t="n">
        <v>45204</v>
      </c>
      <c r="D2260" t="inlineStr">
        <is>
          <t>VÄSTERBOTTENS LÄN</t>
        </is>
      </c>
      <c r="E2260" t="inlineStr">
        <is>
          <t>VILHELMINA</t>
        </is>
      </c>
      <c r="G2260" t="n">
        <v>5.2</v>
      </c>
      <c r="H2260" t="n">
        <v>0</v>
      </c>
      <c r="I2260" t="n">
        <v>0</v>
      </c>
      <c r="J2260" t="n">
        <v>0</v>
      </c>
      <c r="K2260" t="n">
        <v>0</v>
      </c>
      <c r="L2260" t="n">
        <v>0</v>
      </c>
      <c r="M2260" t="n">
        <v>0</v>
      </c>
      <c r="N2260" t="n">
        <v>0</v>
      </c>
      <c r="O2260" t="n">
        <v>0</v>
      </c>
      <c r="P2260" t="n">
        <v>0</v>
      </c>
      <c r="Q2260" t="n">
        <v>0</v>
      </c>
      <c r="R2260" s="2" t="inlineStr"/>
    </row>
    <row r="2261" ht="15" customHeight="1">
      <c r="A2261" t="inlineStr">
        <is>
          <t>A 48585-2019</t>
        </is>
      </c>
      <c r="B2261" s="1" t="n">
        <v>43727</v>
      </c>
      <c r="C2261" s="1" t="n">
        <v>45204</v>
      </c>
      <c r="D2261" t="inlineStr">
        <is>
          <t>VÄSTERBOTTENS LÄN</t>
        </is>
      </c>
      <c r="E2261" t="inlineStr">
        <is>
          <t>MALÅ</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48786-2019</t>
        </is>
      </c>
      <c r="B2262" s="1" t="n">
        <v>43727</v>
      </c>
      <c r="C2262" s="1" t="n">
        <v>45204</v>
      </c>
      <c r="D2262" t="inlineStr">
        <is>
          <t>VÄSTERBOTTENS LÄN</t>
        </is>
      </c>
      <c r="E2262" t="inlineStr">
        <is>
          <t>SKELLEFTEÅ</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48457-2019</t>
        </is>
      </c>
      <c r="B2263" s="1" t="n">
        <v>43727</v>
      </c>
      <c r="C2263" s="1" t="n">
        <v>45204</v>
      </c>
      <c r="D2263" t="inlineStr">
        <is>
          <t>VÄSTERBOTTENS LÄN</t>
        </is>
      </c>
      <c r="E2263" t="inlineStr">
        <is>
          <t>MALÅ</t>
        </is>
      </c>
      <c r="F2263" t="inlineStr">
        <is>
          <t>Sveaskog</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48592-2019</t>
        </is>
      </c>
      <c r="B2264" s="1" t="n">
        <v>43727</v>
      </c>
      <c r="C2264" s="1" t="n">
        <v>45204</v>
      </c>
      <c r="D2264" t="inlineStr">
        <is>
          <t>VÄSTERBOTTENS LÄN</t>
        </is>
      </c>
      <c r="E2264" t="inlineStr">
        <is>
          <t>SKELLEFTEÅ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48427-2019</t>
        </is>
      </c>
      <c r="B2265" s="1" t="n">
        <v>43727</v>
      </c>
      <c r="C2265" s="1" t="n">
        <v>45204</v>
      </c>
      <c r="D2265" t="inlineStr">
        <is>
          <t>VÄSTERBOTTENS LÄN</t>
        </is>
      </c>
      <c r="E2265" t="inlineStr">
        <is>
          <t>BJURHOLM</t>
        </is>
      </c>
      <c r="F2265" t="inlineStr">
        <is>
          <t>Sveaskog</t>
        </is>
      </c>
      <c r="G2265" t="n">
        <v>8.300000000000001</v>
      </c>
      <c r="H2265" t="n">
        <v>0</v>
      </c>
      <c r="I2265" t="n">
        <v>0</v>
      </c>
      <c r="J2265" t="n">
        <v>0</v>
      </c>
      <c r="K2265" t="n">
        <v>0</v>
      </c>
      <c r="L2265" t="n">
        <v>0</v>
      </c>
      <c r="M2265" t="n">
        <v>0</v>
      </c>
      <c r="N2265" t="n">
        <v>0</v>
      </c>
      <c r="O2265" t="n">
        <v>0</v>
      </c>
      <c r="P2265" t="n">
        <v>0</v>
      </c>
      <c r="Q2265" t="n">
        <v>0</v>
      </c>
      <c r="R2265" s="2" t="inlineStr"/>
    </row>
    <row r="2266" ht="15" customHeight="1">
      <c r="A2266" t="inlineStr">
        <is>
          <t>A 48513-2019</t>
        </is>
      </c>
      <c r="B2266" s="1" t="n">
        <v>43727</v>
      </c>
      <c r="C2266" s="1" t="n">
        <v>45204</v>
      </c>
      <c r="D2266" t="inlineStr">
        <is>
          <t>VÄSTERBOTTENS LÄN</t>
        </is>
      </c>
      <c r="E2266" t="inlineStr">
        <is>
          <t>BJURHOLM</t>
        </is>
      </c>
      <c r="F2266" t="inlineStr">
        <is>
          <t>Holmen skog AB</t>
        </is>
      </c>
      <c r="G2266" t="n">
        <v>17.3</v>
      </c>
      <c r="H2266" t="n">
        <v>0</v>
      </c>
      <c r="I2266" t="n">
        <v>0</v>
      </c>
      <c r="J2266" t="n">
        <v>0</v>
      </c>
      <c r="K2266" t="n">
        <v>0</v>
      </c>
      <c r="L2266" t="n">
        <v>0</v>
      </c>
      <c r="M2266" t="n">
        <v>0</v>
      </c>
      <c r="N2266" t="n">
        <v>0</v>
      </c>
      <c r="O2266" t="n">
        <v>0</v>
      </c>
      <c r="P2266" t="n">
        <v>0</v>
      </c>
      <c r="Q2266" t="n">
        <v>0</v>
      </c>
      <c r="R2266" s="2" t="inlineStr"/>
    </row>
    <row r="2267" ht="15" customHeight="1">
      <c r="A2267" t="inlineStr">
        <is>
          <t>A 48558-2019</t>
        </is>
      </c>
      <c r="B2267" s="1" t="n">
        <v>43727</v>
      </c>
      <c r="C2267" s="1" t="n">
        <v>45204</v>
      </c>
      <c r="D2267" t="inlineStr">
        <is>
          <t>VÄSTERBOTTENS LÄN</t>
        </is>
      </c>
      <c r="E2267" t="inlineStr">
        <is>
          <t>UMEÅ</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48784-2019</t>
        </is>
      </c>
      <c r="B2268" s="1" t="n">
        <v>43727</v>
      </c>
      <c r="C2268" s="1" t="n">
        <v>45204</v>
      </c>
      <c r="D2268" t="inlineStr">
        <is>
          <t>VÄSTERBOTTENS LÄN</t>
        </is>
      </c>
      <c r="E2268" t="inlineStr">
        <is>
          <t>LYCKSELE</t>
        </is>
      </c>
      <c r="F2268" t="inlineStr">
        <is>
          <t>Sveaskog</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48957-2019</t>
        </is>
      </c>
      <c r="B2269" s="1" t="n">
        <v>43728</v>
      </c>
      <c r="C2269" s="1" t="n">
        <v>45204</v>
      </c>
      <c r="D2269" t="inlineStr">
        <is>
          <t>VÄSTERBOTTENS LÄN</t>
        </is>
      </c>
      <c r="E2269" t="inlineStr">
        <is>
          <t>SKELLEFTEÅ</t>
        </is>
      </c>
      <c r="F2269" t="inlineStr">
        <is>
          <t>SCA</t>
        </is>
      </c>
      <c r="G2269" t="n">
        <v>3</v>
      </c>
      <c r="H2269" t="n">
        <v>0</v>
      </c>
      <c r="I2269" t="n">
        <v>0</v>
      </c>
      <c r="J2269" t="n">
        <v>0</v>
      </c>
      <c r="K2269" t="n">
        <v>0</v>
      </c>
      <c r="L2269" t="n">
        <v>0</v>
      </c>
      <c r="M2269" t="n">
        <v>0</v>
      </c>
      <c r="N2269" t="n">
        <v>0</v>
      </c>
      <c r="O2269" t="n">
        <v>0</v>
      </c>
      <c r="P2269" t="n">
        <v>0</v>
      </c>
      <c r="Q2269" t="n">
        <v>0</v>
      </c>
      <c r="R2269" s="2" t="inlineStr"/>
    </row>
    <row r="2270" ht="15" customHeight="1">
      <c r="A2270" t="inlineStr">
        <is>
          <t>A 49464-2019</t>
        </is>
      </c>
      <c r="B2270" s="1" t="n">
        <v>43728</v>
      </c>
      <c r="C2270" s="1" t="n">
        <v>45204</v>
      </c>
      <c r="D2270" t="inlineStr">
        <is>
          <t>VÄSTERBOTTENS LÄN</t>
        </is>
      </c>
      <c r="E2270" t="inlineStr">
        <is>
          <t>SKELLEFTEÅ</t>
        </is>
      </c>
      <c r="G2270" t="n">
        <v>7.1</v>
      </c>
      <c r="H2270" t="n">
        <v>0</v>
      </c>
      <c r="I2270" t="n">
        <v>0</v>
      </c>
      <c r="J2270" t="n">
        <v>0</v>
      </c>
      <c r="K2270" t="n">
        <v>0</v>
      </c>
      <c r="L2270" t="n">
        <v>0</v>
      </c>
      <c r="M2270" t="n">
        <v>0</v>
      </c>
      <c r="N2270" t="n">
        <v>0</v>
      </c>
      <c r="O2270" t="n">
        <v>0</v>
      </c>
      <c r="P2270" t="n">
        <v>0</v>
      </c>
      <c r="Q2270" t="n">
        <v>0</v>
      </c>
      <c r="R2270" s="2" t="inlineStr"/>
    </row>
    <row r="2271" ht="15" customHeight="1">
      <c r="A2271" t="inlineStr">
        <is>
          <t>A 49712-2019</t>
        </is>
      </c>
      <c r="B2271" s="1" t="n">
        <v>43728</v>
      </c>
      <c r="C2271" s="1" t="n">
        <v>45204</v>
      </c>
      <c r="D2271" t="inlineStr">
        <is>
          <t>VÄSTERBOTTENS LÄN</t>
        </is>
      </c>
      <c r="E2271" t="inlineStr">
        <is>
          <t>SKELLEFTEÅ</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48853-2019</t>
        </is>
      </c>
      <c r="B2272" s="1" t="n">
        <v>43728</v>
      </c>
      <c r="C2272" s="1" t="n">
        <v>45204</v>
      </c>
      <c r="D2272" t="inlineStr">
        <is>
          <t>VÄSTERBOTTENS LÄN</t>
        </is>
      </c>
      <c r="E2272" t="inlineStr">
        <is>
          <t>BJURHOLM</t>
        </is>
      </c>
      <c r="F2272" t="inlineStr">
        <is>
          <t>Sveaskog</t>
        </is>
      </c>
      <c r="G2272" t="n">
        <v>32.9</v>
      </c>
      <c r="H2272" t="n">
        <v>0</v>
      </c>
      <c r="I2272" t="n">
        <v>0</v>
      </c>
      <c r="J2272" t="n">
        <v>0</v>
      </c>
      <c r="K2272" t="n">
        <v>0</v>
      </c>
      <c r="L2272" t="n">
        <v>0</v>
      </c>
      <c r="M2272" t="n">
        <v>0</v>
      </c>
      <c r="N2272" t="n">
        <v>0</v>
      </c>
      <c r="O2272" t="n">
        <v>0</v>
      </c>
      <c r="P2272" t="n">
        <v>0</v>
      </c>
      <c r="Q2272" t="n">
        <v>0</v>
      </c>
      <c r="R2272" s="2" t="inlineStr"/>
    </row>
    <row r="2273" ht="15" customHeight="1">
      <c r="A2273" t="inlineStr">
        <is>
          <t>A 49617-2019</t>
        </is>
      </c>
      <c r="B2273" s="1" t="n">
        <v>43728</v>
      </c>
      <c r="C2273" s="1" t="n">
        <v>45204</v>
      </c>
      <c r="D2273" t="inlineStr">
        <is>
          <t>VÄSTERBOTTENS LÄN</t>
        </is>
      </c>
      <c r="E2273" t="inlineStr">
        <is>
          <t>SKELLEFTEÅ</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49615-2019</t>
        </is>
      </c>
      <c r="B2274" s="1" t="n">
        <v>43728</v>
      </c>
      <c r="C2274" s="1" t="n">
        <v>45204</v>
      </c>
      <c r="D2274" t="inlineStr">
        <is>
          <t>VÄSTERBOTTENS LÄN</t>
        </is>
      </c>
      <c r="E2274" t="inlineStr">
        <is>
          <t>VILHELMINA</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49005-2019</t>
        </is>
      </c>
      <c r="B2275" s="1" t="n">
        <v>43730</v>
      </c>
      <c r="C2275" s="1" t="n">
        <v>45204</v>
      </c>
      <c r="D2275" t="inlineStr">
        <is>
          <t>VÄSTERBOTTENS LÄN</t>
        </is>
      </c>
      <c r="E2275" t="inlineStr">
        <is>
          <t>SKELLEFTEÅ</t>
        </is>
      </c>
      <c r="F2275" t="inlineStr">
        <is>
          <t>Holmen skog AB</t>
        </is>
      </c>
      <c r="G2275" t="n">
        <v>5.5</v>
      </c>
      <c r="H2275" t="n">
        <v>0</v>
      </c>
      <c r="I2275" t="n">
        <v>0</v>
      </c>
      <c r="J2275" t="n">
        <v>0</v>
      </c>
      <c r="K2275" t="n">
        <v>0</v>
      </c>
      <c r="L2275" t="n">
        <v>0</v>
      </c>
      <c r="M2275" t="n">
        <v>0</v>
      </c>
      <c r="N2275" t="n">
        <v>0</v>
      </c>
      <c r="O2275" t="n">
        <v>0</v>
      </c>
      <c r="P2275" t="n">
        <v>0</v>
      </c>
      <c r="Q2275" t="n">
        <v>0</v>
      </c>
      <c r="R2275" s="2" t="inlineStr"/>
    </row>
    <row r="2276" ht="15" customHeight="1">
      <c r="A2276" t="inlineStr">
        <is>
          <t>A 49282-2019</t>
        </is>
      </c>
      <c r="B2276" s="1" t="n">
        <v>43731</v>
      </c>
      <c r="C2276" s="1" t="n">
        <v>45204</v>
      </c>
      <c r="D2276" t="inlineStr">
        <is>
          <t>VÄSTERBOTTENS LÄN</t>
        </is>
      </c>
      <c r="E2276" t="inlineStr">
        <is>
          <t>SKELLEFTEÅ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49312-2019</t>
        </is>
      </c>
      <c r="B2277" s="1" t="n">
        <v>43731</v>
      </c>
      <c r="C2277" s="1" t="n">
        <v>45204</v>
      </c>
      <c r="D2277" t="inlineStr">
        <is>
          <t>VÄSTERBOTTENS LÄN</t>
        </is>
      </c>
      <c r="E2277" t="inlineStr">
        <is>
          <t>SKELLEFTEÅ</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49360-2019</t>
        </is>
      </c>
      <c r="B2278" s="1" t="n">
        <v>43731</v>
      </c>
      <c r="C2278" s="1" t="n">
        <v>45204</v>
      </c>
      <c r="D2278" t="inlineStr">
        <is>
          <t>VÄSTERBOTTENS LÄN</t>
        </is>
      </c>
      <c r="E2278" t="inlineStr">
        <is>
          <t>DOROTEA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49034-2019</t>
        </is>
      </c>
      <c r="B2279" s="1" t="n">
        <v>43731</v>
      </c>
      <c r="C2279" s="1" t="n">
        <v>45204</v>
      </c>
      <c r="D2279" t="inlineStr">
        <is>
          <t>VÄSTERBOTTENS LÄN</t>
        </is>
      </c>
      <c r="E2279" t="inlineStr">
        <is>
          <t>STORUMAN</t>
        </is>
      </c>
      <c r="F2279" t="inlineStr">
        <is>
          <t>Sveaskog</t>
        </is>
      </c>
      <c r="G2279" t="n">
        <v>29.4</v>
      </c>
      <c r="H2279" t="n">
        <v>0</v>
      </c>
      <c r="I2279" t="n">
        <v>0</v>
      </c>
      <c r="J2279" t="n">
        <v>0</v>
      </c>
      <c r="K2279" t="n">
        <v>0</v>
      </c>
      <c r="L2279" t="n">
        <v>0</v>
      </c>
      <c r="M2279" t="n">
        <v>0</v>
      </c>
      <c r="N2279" t="n">
        <v>0</v>
      </c>
      <c r="O2279" t="n">
        <v>0</v>
      </c>
      <c r="P2279" t="n">
        <v>0</v>
      </c>
      <c r="Q2279" t="n">
        <v>0</v>
      </c>
      <c r="R2279" s="2" t="inlineStr"/>
    </row>
    <row r="2280" ht="15" customHeight="1">
      <c r="A2280" t="inlineStr">
        <is>
          <t>A 49112-2019</t>
        </is>
      </c>
      <c r="B2280" s="1" t="n">
        <v>43731</v>
      </c>
      <c r="C2280" s="1" t="n">
        <v>45204</v>
      </c>
      <c r="D2280" t="inlineStr">
        <is>
          <t>VÄSTERBOTTENS LÄN</t>
        </is>
      </c>
      <c r="E2280" t="inlineStr">
        <is>
          <t>LYCKSELE</t>
        </is>
      </c>
      <c r="F2280" t="inlineStr">
        <is>
          <t>Sveaskog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49327-2019</t>
        </is>
      </c>
      <c r="B2281" s="1" t="n">
        <v>43731</v>
      </c>
      <c r="C2281" s="1" t="n">
        <v>45204</v>
      </c>
      <c r="D2281" t="inlineStr">
        <is>
          <t>VÄSTERBOTTENS LÄN</t>
        </is>
      </c>
      <c r="E2281" t="inlineStr">
        <is>
          <t>SKELLEFTEÅ</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49035-2019</t>
        </is>
      </c>
      <c r="B2282" s="1" t="n">
        <v>43731</v>
      </c>
      <c r="C2282" s="1" t="n">
        <v>45204</v>
      </c>
      <c r="D2282" t="inlineStr">
        <is>
          <t>VÄSTERBOTTENS LÄN</t>
        </is>
      </c>
      <c r="E2282" t="inlineStr">
        <is>
          <t>SKELLEFTEÅ</t>
        </is>
      </c>
      <c r="F2282" t="inlineStr">
        <is>
          <t>Kommuner</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49254-2019</t>
        </is>
      </c>
      <c r="B2283" s="1" t="n">
        <v>43731</v>
      </c>
      <c r="C2283" s="1" t="n">
        <v>45204</v>
      </c>
      <c r="D2283" t="inlineStr">
        <is>
          <t>VÄSTERBOTTENS LÄN</t>
        </is>
      </c>
      <c r="E2283" t="inlineStr">
        <is>
          <t>VILHELMINA</t>
        </is>
      </c>
      <c r="G2283" t="n">
        <v>10.9</v>
      </c>
      <c r="H2283" t="n">
        <v>0</v>
      </c>
      <c r="I2283" t="n">
        <v>0</v>
      </c>
      <c r="J2283" t="n">
        <v>0</v>
      </c>
      <c r="K2283" t="n">
        <v>0</v>
      </c>
      <c r="L2283" t="n">
        <v>0</v>
      </c>
      <c r="M2283" t="n">
        <v>0</v>
      </c>
      <c r="N2283" t="n">
        <v>0</v>
      </c>
      <c r="O2283" t="n">
        <v>0</v>
      </c>
      <c r="P2283" t="n">
        <v>0</v>
      </c>
      <c r="Q2283" t="n">
        <v>0</v>
      </c>
      <c r="R2283" s="2" t="inlineStr"/>
    </row>
    <row r="2284" ht="15" customHeight="1">
      <c r="A2284" t="inlineStr">
        <is>
          <t>A 49293-2019</t>
        </is>
      </c>
      <c r="B2284" s="1" t="n">
        <v>43731</v>
      </c>
      <c r="C2284" s="1" t="n">
        <v>45204</v>
      </c>
      <c r="D2284" t="inlineStr">
        <is>
          <t>VÄSTERBOTTENS LÄN</t>
        </is>
      </c>
      <c r="E2284" t="inlineStr">
        <is>
          <t>VÄNNÄS</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49406-2019</t>
        </is>
      </c>
      <c r="B2285" s="1" t="n">
        <v>43732</v>
      </c>
      <c r="C2285" s="1" t="n">
        <v>45204</v>
      </c>
      <c r="D2285" t="inlineStr">
        <is>
          <t>VÄSTERBOTTENS LÄN</t>
        </is>
      </c>
      <c r="E2285" t="inlineStr">
        <is>
          <t>MALÅ</t>
        </is>
      </c>
      <c r="F2285" t="inlineStr">
        <is>
          <t>Sveaskog</t>
        </is>
      </c>
      <c r="G2285" t="n">
        <v>3.8</v>
      </c>
      <c r="H2285" t="n">
        <v>0</v>
      </c>
      <c r="I2285" t="n">
        <v>0</v>
      </c>
      <c r="J2285" t="n">
        <v>0</v>
      </c>
      <c r="K2285" t="n">
        <v>0</v>
      </c>
      <c r="L2285" t="n">
        <v>0</v>
      </c>
      <c r="M2285" t="n">
        <v>0</v>
      </c>
      <c r="N2285" t="n">
        <v>0</v>
      </c>
      <c r="O2285" t="n">
        <v>0</v>
      </c>
      <c r="P2285" t="n">
        <v>0</v>
      </c>
      <c r="Q2285" t="n">
        <v>0</v>
      </c>
      <c r="R2285" s="2" t="inlineStr"/>
    </row>
    <row r="2286" ht="15" customHeight="1">
      <c r="A2286" t="inlineStr">
        <is>
          <t>A 49602-2019</t>
        </is>
      </c>
      <c r="B2286" s="1" t="n">
        <v>43732</v>
      </c>
      <c r="C2286" s="1" t="n">
        <v>45204</v>
      </c>
      <c r="D2286" t="inlineStr">
        <is>
          <t>VÄSTERBOTTENS LÄN</t>
        </is>
      </c>
      <c r="E2286" t="inlineStr">
        <is>
          <t>STORUMAN</t>
        </is>
      </c>
      <c r="F2286" t="inlineStr">
        <is>
          <t>Sveaskog</t>
        </is>
      </c>
      <c r="G2286" t="n">
        <v>3.7</v>
      </c>
      <c r="H2286" t="n">
        <v>0</v>
      </c>
      <c r="I2286" t="n">
        <v>0</v>
      </c>
      <c r="J2286" t="n">
        <v>0</v>
      </c>
      <c r="K2286" t="n">
        <v>0</v>
      </c>
      <c r="L2286" t="n">
        <v>0</v>
      </c>
      <c r="M2286" t="n">
        <v>0</v>
      </c>
      <c r="N2286" t="n">
        <v>0</v>
      </c>
      <c r="O2286" t="n">
        <v>0</v>
      </c>
      <c r="P2286" t="n">
        <v>0</v>
      </c>
      <c r="Q2286" t="n">
        <v>0</v>
      </c>
      <c r="R2286" s="2" t="inlineStr"/>
    </row>
    <row r="2287" ht="15" customHeight="1">
      <c r="A2287" t="inlineStr">
        <is>
          <t>A 49399-2019</t>
        </is>
      </c>
      <c r="B2287" s="1" t="n">
        <v>43732</v>
      </c>
      <c r="C2287" s="1" t="n">
        <v>45204</v>
      </c>
      <c r="D2287" t="inlineStr">
        <is>
          <t>VÄSTERBOTTENS LÄN</t>
        </is>
      </c>
      <c r="E2287" t="inlineStr">
        <is>
          <t>MALÅ</t>
        </is>
      </c>
      <c r="F2287" t="inlineStr">
        <is>
          <t>Sveaskog</t>
        </is>
      </c>
      <c r="G2287" t="n">
        <v>11.6</v>
      </c>
      <c r="H2287" t="n">
        <v>0</v>
      </c>
      <c r="I2287" t="n">
        <v>0</v>
      </c>
      <c r="J2287" t="n">
        <v>0</v>
      </c>
      <c r="K2287" t="n">
        <v>0</v>
      </c>
      <c r="L2287" t="n">
        <v>0</v>
      </c>
      <c r="M2287" t="n">
        <v>0</v>
      </c>
      <c r="N2287" t="n">
        <v>0</v>
      </c>
      <c r="O2287" t="n">
        <v>0</v>
      </c>
      <c r="P2287" t="n">
        <v>0</v>
      </c>
      <c r="Q2287" t="n">
        <v>0</v>
      </c>
      <c r="R2287" s="2" t="inlineStr"/>
    </row>
    <row r="2288" ht="15" customHeight="1">
      <c r="A2288" t="inlineStr">
        <is>
          <t>A 49598-2019</t>
        </is>
      </c>
      <c r="B2288" s="1" t="n">
        <v>43732</v>
      </c>
      <c r="C2288" s="1" t="n">
        <v>45204</v>
      </c>
      <c r="D2288" t="inlineStr">
        <is>
          <t>VÄSTERBOTTENS LÄN</t>
        </is>
      </c>
      <c r="E2288" t="inlineStr">
        <is>
          <t>STORUMAN</t>
        </is>
      </c>
      <c r="F2288" t="inlineStr">
        <is>
          <t>Sveaskog</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49684-2019</t>
        </is>
      </c>
      <c r="B2289" s="1" t="n">
        <v>43732</v>
      </c>
      <c r="C2289" s="1" t="n">
        <v>45204</v>
      </c>
      <c r="D2289" t="inlineStr">
        <is>
          <t>VÄSTERBOTTENS LÄN</t>
        </is>
      </c>
      <c r="E2289" t="inlineStr">
        <is>
          <t>ROBERTSFORS</t>
        </is>
      </c>
      <c r="F2289" t="inlineStr">
        <is>
          <t>SCA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49792-2019</t>
        </is>
      </c>
      <c r="B2290" s="1" t="n">
        <v>43733</v>
      </c>
      <c r="C2290" s="1" t="n">
        <v>45204</v>
      </c>
      <c r="D2290" t="inlineStr">
        <is>
          <t>VÄSTERBOTTENS LÄN</t>
        </is>
      </c>
      <c r="E2290" t="inlineStr">
        <is>
          <t>SKELLEFTEÅ</t>
        </is>
      </c>
      <c r="F2290" t="inlineStr">
        <is>
          <t>Sveaskog</t>
        </is>
      </c>
      <c r="G2290" t="n">
        <v>6.2</v>
      </c>
      <c r="H2290" t="n">
        <v>0</v>
      </c>
      <c r="I2290" t="n">
        <v>0</v>
      </c>
      <c r="J2290" t="n">
        <v>0</v>
      </c>
      <c r="K2290" t="n">
        <v>0</v>
      </c>
      <c r="L2290" t="n">
        <v>0</v>
      </c>
      <c r="M2290" t="n">
        <v>0</v>
      </c>
      <c r="N2290" t="n">
        <v>0</v>
      </c>
      <c r="O2290" t="n">
        <v>0</v>
      </c>
      <c r="P2290" t="n">
        <v>0</v>
      </c>
      <c r="Q2290" t="n">
        <v>0</v>
      </c>
      <c r="R2290" s="2" t="inlineStr"/>
    </row>
    <row r="2291" ht="15" customHeight="1">
      <c r="A2291" t="inlineStr">
        <is>
          <t>A 50006-2019</t>
        </is>
      </c>
      <c r="B2291" s="1" t="n">
        <v>43733</v>
      </c>
      <c r="C2291" s="1" t="n">
        <v>45204</v>
      </c>
      <c r="D2291" t="inlineStr">
        <is>
          <t>VÄSTERBOTTENS LÄN</t>
        </is>
      </c>
      <c r="E2291" t="inlineStr">
        <is>
          <t>VILHELMINA</t>
        </is>
      </c>
      <c r="F2291" t="inlineStr">
        <is>
          <t>SCA</t>
        </is>
      </c>
      <c r="G2291" t="n">
        <v>12.6</v>
      </c>
      <c r="H2291" t="n">
        <v>0</v>
      </c>
      <c r="I2291" t="n">
        <v>0</v>
      </c>
      <c r="J2291" t="n">
        <v>0</v>
      </c>
      <c r="K2291" t="n">
        <v>0</v>
      </c>
      <c r="L2291" t="n">
        <v>0</v>
      </c>
      <c r="M2291" t="n">
        <v>0</v>
      </c>
      <c r="N2291" t="n">
        <v>0</v>
      </c>
      <c r="O2291" t="n">
        <v>0</v>
      </c>
      <c r="P2291" t="n">
        <v>0</v>
      </c>
      <c r="Q2291" t="n">
        <v>0</v>
      </c>
      <c r="R2291" s="2" t="inlineStr"/>
    </row>
    <row r="2292" ht="15" customHeight="1">
      <c r="A2292" t="inlineStr">
        <is>
          <t>A 50515-2019</t>
        </is>
      </c>
      <c r="B2292" s="1" t="n">
        <v>43733</v>
      </c>
      <c r="C2292" s="1" t="n">
        <v>45204</v>
      </c>
      <c r="D2292" t="inlineStr">
        <is>
          <t>VÄSTERBOTTENS LÄN</t>
        </is>
      </c>
      <c r="E2292" t="inlineStr">
        <is>
          <t>SKELLEFTEÅ</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49782-2019</t>
        </is>
      </c>
      <c r="B2293" s="1" t="n">
        <v>43733</v>
      </c>
      <c r="C2293" s="1" t="n">
        <v>45204</v>
      </c>
      <c r="D2293" t="inlineStr">
        <is>
          <t>VÄSTERBOTTENS LÄN</t>
        </is>
      </c>
      <c r="E2293" t="inlineStr">
        <is>
          <t>ROBERTSFORS</t>
        </is>
      </c>
      <c r="F2293" t="inlineStr">
        <is>
          <t>Holmen skog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50008-2019</t>
        </is>
      </c>
      <c r="B2294" s="1" t="n">
        <v>43733</v>
      </c>
      <c r="C2294" s="1" t="n">
        <v>45204</v>
      </c>
      <c r="D2294" t="inlineStr">
        <is>
          <t>VÄSTERBOTTENS LÄN</t>
        </is>
      </c>
      <c r="E2294" t="inlineStr">
        <is>
          <t>VILHELMINA</t>
        </is>
      </c>
      <c r="F2294" t="inlineStr">
        <is>
          <t>SCA</t>
        </is>
      </c>
      <c r="G2294" t="n">
        <v>14.8</v>
      </c>
      <c r="H2294" t="n">
        <v>0</v>
      </c>
      <c r="I2294" t="n">
        <v>0</v>
      </c>
      <c r="J2294" t="n">
        <v>0</v>
      </c>
      <c r="K2294" t="n">
        <v>0</v>
      </c>
      <c r="L2294" t="n">
        <v>0</v>
      </c>
      <c r="M2294" t="n">
        <v>0</v>
      </c>
      <c r="N2294" t="n">
        <v>0</v>
      </c>
      <c r="O2294" t="n">
        <v>0</v>
      </c>
      <c r="P2294" t="n">
        <v>0</v>
      </c>
      <c r="Q2294" t="n">
        <v>0</v>
      </c>
      <c r="R2294" s="2" t="inlineStr"/>
    </row>
    <row r="2295" ht="15" customHeight="1">
      <c r="A2295" t="inlineStr">
        <is>
          <t>A 50518-2019</t>
        </is>
      </c>
      <c r="B2295" s="1" t="n">
        <v>43733</v>
      </c>
      <c r="C2295" s="1" t="n">
        <v>45204</v>
      </c>
      <c r="D2295" t="inlineStr">
        <is>
          <t>VÄSTERBOTTENS LÄN</t>
        </is>
      </c>
      <c r="E2295" t="inlineStr">
        <is>
          <t>SKELLEFTEÅ</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49974-2019</t>
        </is>
      </c>
      <c r="B2296" s="1" t="n">
        <v>43733</v>
      </c>
      <c r="C2296" s="1" t="n">
        <v>45204</v>
      </c>
      <c r="D2296" t="inlineStr">
        <is>
          <t>VÄSTERBOTTENS LÄN</t>
        </is>
      </c>
      <c r="E2296" t="inlineStr">
        <is>
          <t>STORUMAN</t>
        </is>
      </c>
      <c r="G2296" t="n">
        <v>3</v>
      </c>
      <c r="H2296" t="n">
        <v>0</v>
      </c>
      <c r="I2296" t="n">
        <v>0</v>
      </c>
      <c r="J2296" t="n">
        <v>0</v>
      </c>
      <c r="K2296" t="n">
        <v>0</v>
      </c>
      <c r="L2296" t="n">
        <v>0</v>
      </c>
      <c r="M2296" t="n">
        <v>0</v>
      </c>
      <c r="N2296" t="n">
        <v>0</v>
      </c>
      <c r="O2296" t="n">
        <v>0</v>
      </c>
      <c r="P2296" t="n">
        <v>0</v>
      </c>
      <c r="Q2296" t="n">
        <v>0</v>
      </c>
      <c r="R2296" s="2" t="inlineStr"/>
    </row>
    <row r="2297" ht="15" customHeight="1">
      <c r="A2297" t="inlineStr">
        <is>
          <t>A 50009-2019</t>
        </is>
      </c>
      <c r="B2297" s="1" t="n">
        <v>43733</v>
      </c>
      <c r="C2297" s="1" t="n">
        <v>45204</v>
      </c>
      <c r="D2297" t="inlineStr">
        <is>
          <t>VÄSTERBOTTENS LÄN</t>
        </is>
      </c>
      <c r="E2297" t="inlineStr">
        <is>
          <t>VILHELMINA</t>
        </is>
      </c>
      <c r="F2297" t="inlineStr">
        <is>
          <t>SCA</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51751-2019</t>
        </is>
      </c>
      <c r="B2298" s="1" t="n">
        <v>43734</v>
      </c>
      <c r="C2298" s="1" t="n">
        <v>45204</v>
      </c>
      <c r="D2298" t="inlineStr">
        <is>
          <t>VÄSTERBOTTENS LÄN</t>
        </is>
      </c>
      <c r="E2298" t="inlineStr">
        <is>
          <t>UMEÅ</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50124-2019</t>
        </is>
      </c>
      <c r="B2299" s="1" t="n">
        <v>43734</v>
      </c>
      <c r="C2299" s="1" t="n">
        <v>45204</v>
      </c>
      <c r="D2299" t="inlineStr">
        <is>
          <t>VÄSTERBOTTENS LÄN</t>
        </is>
      </c>
      <c r="E2299" t="inlineStr">
        <is>
          <t>BJURHOLM</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51743-2019</t>
        </is>
      </c>
      <c r="B2300" s="1" t="n">
        <v>43734</v>
      </c>
      <c r="C2300" s="1" t="n">
        <v>45204</v>
      </c>
      <c r="D2300" t="inlineStr">
        <is>
          <t>VÄSTERBOTTENS LÄN</t>
        </is>
      </c>
      <c r="E2300" t="inlineStr">
        <is>
          <t>UMEÅ</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50055-2019</t>
        </is>
      </c>
      <c r="B2301" s="1" t="n">
        <v>43734</v>
      </c>
      <c r="C2301" s="1" t="n">
        <v>45204</v>
      </c>
      <c r="D2301" t="inlineStr">
        <is>
          <t>VÄSTERBOTTENS LÄN</t>
        </is>
      </c>
      <c r="E2301" t="inlineStr">
        <is>
          <t>MALÅ</t>
        </is>
      </c>
      <c r="F2301" t="inlineStr">
        <is>
          <t>Sveaskog</t>
        </is>
      </c>
      <c r="G2301" t="n">
        <v>6.1</v>
      </c>
      <c r="H2301" t="n">
        <v>0</v>
      </c>
      <c r="I2301" t="n">
        <v>0</v>
      </c>
      <c r="J2301" t="n">
        <v>0</v>
      </c>
      <c r="K2301" t="n">
        <v>0</v>
      </c>
      <c r="L2301" t="n">
        <v>0</v>
      </c>
      <c r="M2301" t="n">
        <v>0</v>
      </c>
      <c r="N2301" t="n">
        <v>0</v>
      </c>
      <c r="O2301" t="n">
        <v>0</v>
      </c>
      <c r="P2301" t="n">
        <v>0</v>
      </c>
      <c r="Q2301" t="n">
        <v>0</v>
      </c>
      <c r="R2301" s="2" t="inlineStr"/>
    </row>
    <row r="2302" ht="15" customHeight="1">
      <c r="A2302" t="inlineStr">
        <is>
          <t>A 51555-2019</t>
        </is>
      </c>
      <c r="B2302" s="1" t="n">
        <v>43734</v>
      </c>
      <c r="C2302" s="1" t="n">
        <v>45204</v>
      </c>
      <c r="D2302" t="inlineStr">
        <is>
          <t>VÄSTERBOTTENS LÄN</t>
        </is>
      </c>
      <c r="E2302" t="inlineStr">
        <is>
          <t>UMEÅ</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50574-2019</t>
        </is>
      </c>
      <c r="B2303" s="1" t="n">
        <v>43735</v>
      </c>
      <c r="C2303" s="1" t="n">
        <v>45204</v>
      </c>
      <c r="D2303" t="inlineStr">
        <is>
          <t>VÄSTERBOTTENS LÄN</t>
        </is>
      </c>
      <c r="E2303" t="inlineStr">
        <is>
          <t>SKELLEFTEÅ</t>
        </is>
      </c>
      <c r="F2303" t="inlineStr">
        <is>
          <t>Sveaskog</t>
        </is>
      </c>
      <c r="G2303" t="n">
        <v>7.8</v>
      </c>
      <c r="H2303" t="n">
        <v>0</v>
      </c>
      <c r="I2303" t="n">
        <v>0</v>
      </c>
      <c r="J2303" t="n">
        <v>0</v>
      </c>
      <c r="K2303" t="n">
        <v>0</v>
      </c>
      <c r="L2303" t="n">
        <v>0</v>
      </c>
      <c r="M2303" t="n">
        <v>0</v>
      </c>
      <c r="N2303" t="n">
        <v>0</v>
      </c>
      <c r="O2303" t="n">
        <v>0</v>
      </c>
      <c r="P2303" t="n">
        <v>0</v>
      </c>
      <c r="Q2303" t="n">
        <v>0</v>
      </c>
      <c r="R2303" s="2" t="inlineStr"/>
    </row>
    <row r="2304" ht="15" customHeight="1">
      <c r="A2304" t="inlineStr">
        <is>
          <t>A 53194-2019</t>
        </is>
      </c>
      <c r="B2304" s="1" t="n">
        <v>43735</v>
      </c>
      <c r="C2304" s="1" t="n">
        <v>45204</v>
      </c>
      <c r="D2304" t="inlineStr">
        <is>
          <t>VÄSTERBOTTENS LÄN</t>
        </is>
      </c>
      <c r="E2304" t="inlineStr">
        <is>
          <t>SKELLEFTEÅ</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50568-2019</t>
        </is>
      </c>
      <c r="B2305" s="1" t="n">
        <v>43735</v>
      </c>
      <c r="C2305" s="1" t="n">
        <v>45204</v>
      </c>
      <c r="D2305" t="inlineStr">
        <is>
          <t>VÄSTERBOTTENS LÄN</t>
        </is>
      </c>
      <c r="E2305" t="inlineStr">
        <is>
          <t>SKELLEFTEÅ</t>
        </is>
      </c>
      <c r="F2305" t="inlineStr">
        <is>
          <t>Sveaskog</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53202-2019</t>
        </is>
      </c>
      <c r="B2306" s="1" t="n">
        <v>43735</v>
      </c>
      <c r="C2306" s="1" t="n">
        <v>45204</v>
      </c>
      <c r="D2306" t="inlineStr">
        <is>
          <t>VÄSTERBOTTENS LÄN</t>
        </is>
      </c>
      <c r="E2306" t="inlineStr">
        <is>
          <t>ROBERTSFORS</t>
        </is>
      </c>
      <c r="G2306" t="n">
        <v>1.8</v>
      </c>
      <c r="H2306" t="n">
        <v>0</v>
      </c>
      <c r="I2306" t="n">
        <v>0</v>
      </c>
      <c r="J2306" t="n">
        <v>0</v>
      </c>
      <c r="K2306" t="n">
        <v>0</v>
      </c>
      <c r="L2306" t="n">
        <v>0</v>
      </c>
      <c r="M2306" t="n">
        <v>0</v>
      </c>
      <c r="N2306" t="n">
        <v>0</v>
      </c>
      <c r="O2306" t="n">
        <v>0</v>
      </c>
      <c r="P2306" t="n">
        <v>0</v>
      </c>
      <c r="Q2306" t="n">
        <v>0</v>
      </c>
      <c r="R2306" s="2" t="inlineStr"/>
    </row>
    <row r="2307" ht="15" customHeight="1">
      <c r="A2307" t="inlineStr">
        <is>
          <t>A 50572-2019</t>
        </is>
      </c>
      <c r="B2307" s="1" t="n">
        <v>43735</v>
      </c>
      <c r="C2307" s="1" t="n">
        <v>45204</v>
      </c>
      <c r="D2307" t="inlineStr">
        <is>
          <t>VÄSTERBOTTENS LÄN</t>
        </is>
      </c>
      <c r="E2307" t="inlineStr">
        <is>
          <t>SKELLEFTEÅ</t>
        </is>
      </c>
      <c r="F2307" t="inlineStr">
        <is>
          <t>Sveaskog</t>
        </is>
      </c>
      <c r="G2307" t="n">
        <v>12.1</v>
      </c>
      <c r="H2307" t="n">
        <v>0</v>
      </c>
      <c r="I2307" t="n">
        <v>0</v>
      </c>
      <c r="J2307" t="n">
        <v>0</v>
      </c>
      <c r="K2307" t="n">
        <v>0</v>
      </c>
      <c r="L2307" t="n">
        <v>0</v>
      </c>
      <c r="M2307" t="n">
        <v>0</v>
      </c>
      <c r="N2307" t="n">
        <v>0</v>
      </c>
      <c r="O2307" t="n">
        <v>0</v>
      </c>
      <c r="P2307" t="n">
        <v>0</v>
      </c>
      <c r="Q2307" t="n">
        <v>0</v>
      </c>
      <c r="R2307" s="2" t="inlineStr"/>
    </row>
    <row r="2308" ht="15" customHeight="1">
      <c r="A2308" t="inlineStr">
        <is>
          <t>A 50603-2019</t>
        </is>
      </c>
      <c r="B2308" s="1" t="n">
        <v>43735</v>
      </c>
      <c r="C2308" s="1" t="n">
        <v>45204</v>
      </c>
      <c r="D2308" t="inlineStr">
        <is>
          <t>VÄSTERBOTTENS LÄN</t>
        </is>
      </c>
      <c r="E2308" t="inlineStr">
        <is>
          <t>LYCKSELE</t>
        </is>
      </c>
      <c r="F2308" t="inlineStr">
        <is>
          <t>SCA</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53203-2019</t>
        </is>
      </c>
      <c r="B2309" s="1" t="n">
        <v>43735</v>
      </c>
      <c r="C2309" s="1" t="n">
        <v>45204</v>
      </c>
      <c r="D2309" t="inlineStr">
        <is>
          <t>VÄSTERBOTTENS LÄN</t>
        </is>
      </c>
      <c r="E2309" t="inlineStr">
        <is>
          <t>UMEÅ</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50872-2019</t>
        </is>
      </c>
      <c r="B2310" s="1" t="n">
        <v>43738</v>
      </c>
      <c r="C2310" s="1" t="n">
        <v>45204</v>
      </c>
      <c r="D2310" t="inlineStr">
        <is>
          <t>VÄSTERBOTTENS LÄN</t>
        </is>
      </c>
      <c r="E2310" t="inlineStr">
        <is>
          <t>SKELLEFTEÅ</t>
        </is>
      </c>
      <c r="F2310" t="inlineStr">
        <is>
          <t>Holmen skog AB</t>
        </is>
      </c>
      <c r="G2310" t="n">
        <v>11.5</v>
      </c>
      <c r="H2310" t="n">
        <v>0</v>
      </c>
      <c r="I2310" t="n">
        <v>0</v>
      </c>
      <c r="J2310" t="n">
        <v>0</v>
      </c>
      <c r="K2310" t="n">
        <v>0</v>
      </c>
      <c r="L2310" t="n">
        <v>0</v>
      </c>
      <c r="M2310" t="n">
        <v>0</v>
      </c>
      <c r="N2310" t="n">
        <v>0</v>
      </c>
      <c r="O2310" t="n">
        <v>0</v>
      </c>
      <c r="P2310" t="n">
        <v>0</v>
      </c>
      <c r="Q2310" t="n">
        <v>0</v>
      </c>
      <c r="R2310" s="2" t="inlineStr"/>
    </row>
    <row r="2311" ht="15" customHeight="1">
      <c r="A2311" t="inlineStr">
        <is>
          <t>A 50913-2019</t>
        </is>
      </c>
      <c r="B2311" s="1" t="n">
        <v>43738</v>
      </c>
      <c r="C2311" s="1" t="n">
        <v>45204</v>
      </c>
      <c r="D2311" t="inlineStr">
        <is>
          <t>VÄSTERBOTTENS LÄN</t>
        </is>
      </c>
      <c r="E2311" t="inlineStr">
        <is>
          <t>ÅSELE</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50928-2019</t>
        </is>
      </c>
      <c r="B2312" s="1" t="n">
        <v>43738</v>
      </c>
      <c r="C2312" s="1" t="n">
        <v>45204</v>
      </c>
      <c r="D2312" t="inlineStr">
        <is>
          <t>VÄSTERBOTTENS LÄN</t>
        </is>
      </c>
      <c r="E2312" t="inlineStr">
        <is>
          <t>ÅSELE</t>
        </is>
      </c>
      <c r="F2312" t="inlineStr">
        <is>
          <t>Sveaskog</t>
        </is>
      </c>
      <c r="G2312" t="n">
        <v>8.199999999999999</v>
      </c>
      <c r="H2312" t="n">
        <v>0</v>
      </c>
      <c r="I2312" t="n">
        <v>0</v>
      </c>
      <c r="J2312" t="n">
        <v>0</v>
      </c>
      <c r="K2312" t="n">
        <v>0</v>
      </c>
      <c r="L2312" t="n">
        <v>0</v>
      </c>
      <c r="M2312" t="n">
        <v>0</v>
      </c>
      <c r="N2312" t="n">
        <v>0</v>
      </c>
      <c r="O2312" t="n">
        <v>0</v>
      </c>
      <c r="P2312" t="n">
        <v>0</v>
      </c>
      <c r="Q2312" t="n">
        <v>0</v>
      </c>
      <c r="R2312" s="2" t="inlineStr"/>
    </row>
    <row r="2313" ht="15" customHeight="1">
      <c r="A2313" t="inlineStr">
        <is>
          <t>A 52679-2019</t>
        </is>
      </c>
      <c r="B2313" s="1" t="n">
        <v>43738</v>
      </c>
      <c r="C2313" s="1" t="n">
        <v>45204</v>
      </c>
      <c r="D2313" t="inlineStr">
        <is>
          <t>VÄSTERBOTTENS LÄN</t>
        </is>
      </c>
      <c r="E2313" t="inlineStr">
        <is>
          <t>SORSELE</t>
        </is>
      </c>
      <c r="F2313" t="inlineStr">
        <is>
          <t>Övriga statliga verk och myndigheter</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50782-2019</t>
        </is>
      </c>
      <c r="B2314" s="1" t="n">
        <v>43738</v>
      </c>
      <c r="C2314" s="1" t="n">
        <v>45204</v>
      </c>
      <c r="D2314" t="inlineStr">
        <is>
          <t>VÄSTERBOTTENS LÄN</t>
        </is>
      </c>
      <c r="E2314" t="inlineStr">
        <is>
          <t>NORSJÖ</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52667-2019</t>
        </is>
      </c>
      <c r="B2315" s="1" t="n">
        <v>43738</v>
      </c>
      <c r="C2315" s="1" t="n">
        <v>45204</v>
      </c>
      <c r="D2315" t="inlineStr">
        <is>
          <t>VÄSTERBOTTENS LÄN</t>
        </is>
      </c>
      <c r="E2315" t="inlineStr">
        <is>
          <t>VINDELN</t>
        </is>
      </c>
      <c r="G2315" t="n">
        <v>5.5</v>
      </c>
      <c r="H2315" t="n">
        <v>0</v>
      </c>
      <c r="I2315" t="n">
        <v>0</v>
      </c>
      <c r="J2315" t="n">
        <v>0</v>
      </c>
      <c r="K2315" t="n">
        <v>0</v>
      </c>
      <c r="L2315" t="n">
        <v>0</v>
      </c>
      <c r="M2315" t="n">
        <v>0</v>
      </c>
      <c r="N2315" t="n">
        <v>0</v>
      </c>
      <c r="O2315" t="n">
        <v>0</v>
      </c>
      <c r="P2315" t="n">
        <v>0</v>
      </c>
      <c r="Q2315" t="n">
        <v>0</v>
      </c>
      <c r="R2315" s="2" t="inlineStr"/>
    </row>
    <row r="2316" ht="15" customHeight="1">
      <c r="A2316" t="inlineStr">
        <is>
          <t>A 50793-2019</t>
        </is>
      </c>
      <c r="B2316" s="1" t="n">
        <v>43738</v>
      </c>
      <c r="C2316" s="1" t="n">
        <v>45204</v>
      </c>
      <c r="D2316" t="inlineStr">
        <is>
          <t>VÄSTERBOTTENS LÄN</t>
        </is>
      </c>
      <c r="E2316" t="inlineStr">
        <is>
          <t>UMEÅ</t>
        </is>
      </c>
      <c r="F2316" t="inlineStr">
        <is>
          <t>Holmen skog AB</t>
        </is>
      </c>
      <c r="G2316" t="n">
        <v>11.5</v>
      </c>
      <c r="H2316" t="n">
        <v>0</v>
      </c>
      <c r="I2316" t="n">
        <v>0</v>
      </c>
      <c r="J2316" t="n">
        <v>0</v>
      </c>
      <c r="K2316" t="n">
        <v>0</v>
      </c>
      <c r="L2316" t="n">
        <v>0</v>
      </c>
      <c r="M2316" t="n">
        <v>0</v>
      </c>
      <c r="N2316" t="n">
        <v>0</v>
      </c>
      <c r="O2316" t="n">
        <v>0</v>
      </c>
      <c r="P2316" t="n">
        <v>0</v>
      </c>
      <c r="Q2316" t="n">
        <v>0</v>
      </c>
      <c r="R2316" s="2" t="inlineStr"/>
    </row>
    <row r="2317" ht="15" customHeight="1">
      <c r="A2317" t="inlineStr">
        <is>
          <t>A 52699-2019</t>
        </is>
      </c>
      <c r="B2317" s="1" t="n">
        <v>43738</v>
      </c>
      <c r="C2317" s="1" t="n">
        <v>45204</v>
      </c>
      <c r="D2317" t="inlineStr">
        <is>
          <t>VÄSTERBOTTENS LÄN</t>
        </is>
      </c>
      <c r="E2317" t="inlineStr">
        <is>
          <t>SORSELE</t>
        </is>
      </c>
      <c r="F2317" t="inlineStr">
        <is>
          <t>Övriga statliga verk och myndigheter</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50920-2019</t>
        </is>
      </c>
      <c r="B2318" s="1" t="n">
        <v>43738</v>
      </c>
      <c r="C2318" s="1" t="n">
        <v>45204</v>
      </c>
      <c r="D2318" t="inlineStr">
        <is>
          <t>VÄSTERBOTTENS LÄN</t>
        </is>
      </c>
      <c r="E2318" t="inlineStr">
        <is>
          <t>ÅSELE</t>
        </is>
      </c>
      <c r="F2318" t="inlineStr">
        <is>
          <t>Sveaskog</t>
        </is>
      </c>
      <c r="G2318" t="n">
        <v>7</v>
      </c>
      <c r="H2318" t="n">
        <v>0</v>
      </c>
      <c r="I2318" t="n">
        <v>0</v>
      </c>
      <c r="J2318" t="n">
        <v>0</v>
      </c>
      <c r="K2318" t="n">
        <v>0</v>
      </c>
      <c r="L2318" t="n">
        <v>0</v>
      </c>
      <c r="M2318" t="n">
        <v>0</v>
      </c>
      <c r="N2318" t="n">
        <v>0</v>
      </c>
      <c r="O2318" t="n">
        <v>0</v>
      </c>
      <c r="P2318" t="n">
        <v>0</v>
      </c>
      <c r="Q2318" t="n">
        <v>0</v>
      </c>
      <c r="R2318" s="2" t="inlineStr"/>
    </row>
    <row r="2319" ht="15" customHeight="1">
      <c r="A2319" t="inlineStr">
        <is>
          <t>A 52690-2019</t>
        </is>
      </c>
      <c r="B2319" s="1" t="n">
        <v>43738</v>
      </c>
      <c r="C2319" s="1" t="n">
        <v>45204</v>
      </c>
      <c r="D2319" t="inlineStr">
        <is>
          <t>VÄSTERBOTTENS LÄN</t>
        </is>
      </c>
      <c r="E2319" t="inlineStr">
        <is>
          <t>SORSELE</t>
        </is>
      </c>
      <c r="F2319" t="inlineStr">
        <is>
          <t>Övriga statliga verk och myndigheter</t>
        </is>
      </c>
      <c r="G2319" t="n">
        <v>4.3</v>
      </c>
      <c r="H2319" t="n">
        <v>0</v>
      </c>
      <c r="I2319" t="n">
        <v>0</v>
      </c>
      <c r="J2319" t="n">
        <v>0</v>
      </c>
      <c r="K2319" t="n">
        <v>0</v>
      </c>
      <c r="L2319" t="n">
        <v>0</v>
      </c>
      <c r="M2319" t="n">
        <v>0</v>
      </c>
      <c r="N2319" t="n">
        <v>0</v>
      </c>
      <c r="O2319" t="n">
        <v>0</v>
      </c>
      <c r="P2319" t="n">
        <v>0</v>
      </c>
      <c r="Q2319" t="n">
        <v>0</v>
      </c>
      <c r="R2319" s="2" t="inlineStr"/>
    </row>
    <row r="2320" ht="15" customHeight="1">
      <c r="A2320" t="inlineStr">
        <is>
          <t>A 51087-2019</t>
        </is>
      </c>
      <c r="B2320" s="1" t="n">
        <v>43739</v>
      </c>
      <c r="C2320" s="1" t="n">
        <v>45204</v>
      </c>
      <c r="D2320" t="inlineStr">
        <is>
          <t>VÄSTERBOTTENS LÄN</t>
        </is>
      </c>
      <c r="E2320" t="inlineStr">
        <is>
          <t>UMEÅ</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51135-2019</t>
        </is>
      </c>
      <c r="B2321" s="1" t="n">
        <v>43739</v>
      </c>
      <c r="C2321" s="1" t="n">
        <v>45204</v>
      </c>
      <c r="D2321" t="inlineStr">
        <is>
          <t>VÄSTERBOTTENS LÄN</t>
        </is>
      </c>
      <c r="E2321" t="inlineStr">
        <is>
          <t>LYCKSELE</t>
        </is>
      </c>
      <c r="F2321" t="inlineStr">
        <is>
          <t>Kyrkan</t>
        </is>
      </c>
      <c r="G2321" t="n">
        <v>6.6</v>
      </c>
      <c r="H2321" t="n">
        <v>0</v>
      </c>
      <c r="I2321" t="n">
        <v>0</v>
      </c>
      <c r="J2321" t="n">
        <v>0</v>
      </c>
      <c r="K2321" t="n">
        <v>0</v>
      </c>
      <c r="L2321" t="n">
        <v>0</v>
      </c>
      <c r="M2321" t="n">
        <v>0</v>
      </c>
      <c r="N2321" t="n">
        <v>0</v>
      </c>
      <c r="O2321" t="n">
        <v>0</v>
      </c>
      <c r="P2321" t="n">
        <v>0</v>
      </c>
      <c r="Q2321" t="n">
        <v>0</v>
      </c>
      <c r="R2321" s="2" t="inlineStr"/>
    </row>
    <row r="2322" ht="15" customHeight="1">
      <c r="A2322" t="inlineStr">
        <is>
          <t>A 51155-2019</t>
        </is>
      </c>
      <c r="B2322" s="1" t="n">
        <v>43739</v>
      </c>
      <c r="C2322" s="1" t="n">
        <v>45204</v>
      </c>
      <c r="D2322" t="inlineStr">
        <is>
          <t>VÄSTERBOTTENS LÄN</t>
        </is>
      </c>
      <c r="E2322" t="inlineStr">
        <is>
          <t>LYCKSELE</t>
        </is>
      </c>
      <c r="F2322" t="inlineStr">
        <is>
          <t>Kyrkan</t>
        </is>
      </c>
      <c r="G2322" t="n">
        <v>11.3</v>
      </c>
      <c r="H2322" t="n">
        <v>0</v>
      </c>
      <c r="I2322" t="n">
        <v>0</v>
      </c>
      <c r="J2322" t="n">
        <v>0</v>
      </c>
      <c r="K2322" t="n">
        <v>0</v>
      </c>
      <c r="L2322" t="n">
        <v>0</v>
      </c>
      <c r="M2322" t="n">
        <v>0</v>
      </c>
      <c r="N2322" t="n">
        <v>0</v>
      </c>
      <c r="O2322" t="n">
        <v>0</v>
      </c>
      <c r="P2322" t="n">
        <v>0</v>
      </c>
      <c r="Q2322" t="n">
        <v>0</v>
      </c>
      <c r="R2322" s="2" t="inlineStr"/>
    </row>
    <row r="2323" ht="15" customHeight="1">
      <c r="A2323" t="inlineStr">
        <is>
          <t>A 52767-2019</t>
        </is>
      </c>
      <c r="B2323" s="1" t="n">
        <v>43739</v>
      </c>
      <c r="C2323" s="1" t="n">
        <v>45204</v>
      </c>
      <c r="D2323" t="inlineStr">
        <is>
          <t>VÄSTERBOTTENS LÄN</t>
        </is>
      </c>
      <c r="E2323" t="inlineStr">
        <is>
          <t>NORSJÖ</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53061-2019</t>
        </is>
      </c>
      <c r="B2324" s="1" t="n">
        <v>43739</v>
      </c>
      <c r="C2324" s="1" t="n">
        <v>45204</v>
      </c>
      <c r="D2324" t="inlineStr">
        <is>
          <t>VÄSTERBOTTENS LÄN</t>
        </is>
      </c>
      <c r="E2324" t="inlineStr">
        <is>
          <t>NORSJÖ</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51152-2019</t>
        </is>
      </c>
      <c r="B2325" s="1" t="n">
        <v>43739</v>
      </c>
      <c r="C2325" s="1" t="n">
        <v>45204</v>
      </c>
      <c r="D2325" t="inlineStr">
        <is>
          <t>VÄSTERBOTTENS LÄN</t>
        </is>
      </c>
      <c r="E2325" t="inlineStr">
        <is>
          <t>LYCKSELE</t>
        </is>
      </c>
      <c r="F2325" t="inlineStr">
        <is>
          <t>Kyrkan</t>
        </is>
      </c>
      <c r="G2325" t="n">
        <v>9.800000000000001</v>
      </c>
      <c r="H2325" t="n">
        <v>0</v>
      </c>
      <c r="I2325" t="n">
        <v>0</v>
      </c>
      <c r="J2325" t="n">
        <v>0</v>
      </c>
      <c r="K2325" t="n">
        <v>0</v>
      </c>
      <c r="L2325" t="n">
        <v>0</v>
      </c>
      <c r="M2325" t="n">
        <v>0</v>
      </c>
      <c r="N2325" t="n">
        <v>0</v>
      </c>
      <c r="O2325" t="n">
        <v>0</v>
      </c>
      <c r="P2325" t="n">
        <v>0</v>
      </c>
      <c r="Q2325" t="n">
        <v>0</v>
      </c>
      <c r="R2325" s="2" t="inlineStr"/>
    </row>
    <row r="2326" ht="15" customHeight="1">
      <c r="A2326" t="inlineStr">
        <is>
          <t>A 51144-2019</t>
        </is>
      </c>
      <c r="B2326" s="1" t="n">
        <v>43739</v>
      </c>
      <c r="C2326" s="1" t="n">
        <v>45204</v>
      </c>
      <c r="D2326" t="inlineStr">
        <is>
          <t>VÄSTERBOTTENS LÄN</t>
        </is>
      </c>
      <c r="E2326" t="inlineStr">
        <is>
          <t>LYCKSELE</t>
        </is>
      </c>
      <c r="F2326" t="inlineStr">
        <is>
          <t>Kyrkan</t>
        </is>
      </c>
      <c r="G2326" t="n">
        <v>8.800000000000001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51077-2019</t>
        </is>
      </c>
      <c r="B2327" s="1" t="n">
        <v>43739</v>
      </c>
      <c r="C2327" s="1" t="n">
        <v>45204</v>
      </c>
      <c r="D2327" t="inlineStr">
        <is>
          <t>VÄSTERBOTTENS LÄN</t>
        </is>
      </c>
      <c r="E2327" t="inlineStr">
        <is>
          <t>UMEÅ</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51124-2019</t>
        </is>
      </c>
      <c r="B2328" s="1" t="n">
        <v>43739</v>
      </c>
      <c r="C2328" s="1" t="n">
        <v>45204</v>
      </c>
      <c r="D2328" t="inlineStr">
        <is>
          <t>VÄSTERBOTTENS LÄN</t>
        </is>
      </c>
      <c r="E2328" t="inlineStr">
        <is>
          <t>UMEÅ</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51702-2019</t>
        </is>
      </c>
      <c r="B2329" s="1" t="n">
        <v>43740</v>
      </c>
      <c r="C2329" s="1" t="n">
        <v>45204</v>
      </c>
      <c r="D2329" t="inlineStr">
        <is>
          <t>VÄSTERBOTTENS LÄN</t>
        </is>
      </c>
      <c r="E2329" t="inlineStr">
        <is>
          <t>ÅSELE</t>
        </is>
      </c>
      <c r="G2329" t="n">
        <v>16.6</v>
      </c>
      <c r="H2329" t="n">
        <v>0</v>
      </c>
      <c r="I2329" t="n">
        <v>0</v>
      </c>
      <c r="J2329" t="n">
        <v>0</v>
      </c>
      <c r="K2329" t="n">
        <v>0</v>
      </c>
      <c r="L2329" t="n">
        <v>0</v>
      </c>
      <c r="M2329" t="n">
        <v>0</v>
      </c>
      <c r="N2329" t="n">
        <v>0</v>
      </c>
      <c r="O2329" t="n">
        <v>0</v>
      </c>
      <c r="P2329" t="n">
        <v>0</v>
      </c>
      <c r="Q2329" t="n">
        <v>0</v>
      </c>
      <c r="R2329" s="2" t="inlineStr"/>
    </row>
    <row r="2330" ht="15" customHeight="1">
      <c r="A2330" t="inlineStr">
        <is>
          <t>A 53557-2019</t>
        </is>
      </c>
      <c r="B2330" s="1" t="n">
        <v>43740</v>
      </c>
      <c r="C2330" s="1" t="n">
        <v>45204</v>
      </c>
      <c r="D2330" t="inlineStr">
        <is>
          <t>VÄSTERBOTTENS LÄN</t>
        </is>
      </c>
      <c r="E2330" t="inlineStr">
        <is>
          <t>SKELLEFTEÅ</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53311-2019</t>
        </is>
      </c>
      <c r="B2331" s="1" t="n">
        <v>43740</v>
      </c>
      <c r="C2331" s="1" t="n">
        <v>45204</v>
      </c>
      <c r="D2331" t="inlineStr">
        <is>
          <t>VÄSTERBOTTENS LÄN</t>
        </is>
      </c>
      <c r="E2331" t="inlineStr">
        <is>
          <t>SKELLEFTEÅ</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51895-2019</t>
        </is>
      </c>
      <c r="B2332" s="1" t="n">
        <v>43741</v>
      </c>
      <c r="C2332" s="1" t="n">
        <v>45204</v>
      </c>
      <c r="D2332" t="inlineStr">
        <is>
          <t>VÄSTERBOTTENS LÄN</t>
        </is>
      </c>
      <c r="E2332" t="inlineStr">
        <is>
          <t>VILHELMINA</t>
        </is>
      </c>
      <c r="F2332" t="inlineStr">
        <is>
          <t>Allmännings- och besparingsskogar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51717-2019</t>
        </is>
      </c>
      <c r="B2333" s="1" t="n">
        <v>43741</v>
      </c>
      <c r="C2333" s="1" t="n">
        <v>45204</v>
      </c>
      <c r="D2333" t="inlineStr">
        <is>
          <t>VÄSTERBOTTENS LÄN</t>
        </is>
      </c>
      <c r="E2333" t="inlineStr">
        <is>
          <t>ROBERTSFORS</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51767-2019</t>
        </is>
      </c>
      <c r="B2334" s="1" t="n">
        <v>43741</v>
      </c>
      <c r="C2334" s="1" t="n">
        <v>45204</v>
      </c>
      <c r="D2334" t="inlineStr">
        <is>
          <t>VÄSTERBOTTENS LÄN</t>
        </is>
      </c>
      <c r="E2334" t="inlineStr">
        <is>
          <t>UMEÅ</t>
        </is>
      </c>
      <c r="F2334" t="inlineStr">
        <is>
          <t>Holmen skog AB</t>
        </is>
      </c>
      <c r="G2334" t="n">
        <v>12.4</v>
      </c>
      <c r="H2334" t="n">
        <v>0</v>
      </c>
      <c r="I2334" t="n">
        <v>0</v>
      </c>
      <c r="J2334" t="n">
        <v>0</v>
      </c>
      <c r="K2334" t="n">
        <v>0</v>
      </c>
      <c r="L2334" t="n">
        <v>0</v>
      </c>
      <c r="M2334" t="n">
        <v>0</v>
      </c>
      <c r="N2334" t="n">
        <v>0</v>
      </c>
      <c r="O2334" t="n">
        <v>0</v>
      </c>
      <c r="P2334" t="n">
        <v>0</v>
      </c>
      <c r="Q2334" t="n">
        <v>0</v>
      </c>
      <c r="R2334" s="2" t="inlineStr"/>
    </row>
    <row r="2335" ht="15" customHeight="1">
      <c r="A2335" t="inlineStr">
        <is>
          <t>A 53860-2019</t>
        </is>
      </c>
      <c r="B2335" s="1" t="n">
        <v>43741</v>
      </c>
      <c r="C2335" s="1" t="n">
        <v>45204</v>
      </c>
      <c r="D2335" t="inlineStr">
        <is>
          <t>VÄSTERBOTTENS LÄN</t>
        </is>
      </c>
      <c r="E2335" t="inlineStr">
        <is>
          <t>ROBERTSFORS</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54004-2019</t>
        </is>
      </c>
      <c r="B2336" s="1" t="n">
        <v>43742</v>
      </c>
      <c r="C2336" s="1" t="n">
        <v>45204</v>
      </c>
      <c r="D2336" t="inlineStr">
        <is>
          <t>VÄSTERBOTTENS LÄN</t>
        </is>
      </c>
      <c r="E2336" t="inlineStr">
        <is>
          <t>SKELLEFTEÅ</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52024-2019</t>
        </is>
      </c>
      <c r="B2337" s="1" t="n">
        <v>43742</v>
      </c>
      <c r="C2337" s="1" t="n">
        <v>45204</v>
      </c>
      <c r="D2337" t="inlineStr">
        <is>
          <t>VÄSTERBOTTENS LÄN</t>
        </is>
      </c>
      <c r="E2337" t="inlineStr">
        <is>
          <t>UMEÅ</t>
        </is>
      </c>
      <c r="G2337" t="n">
        <v>7.2</v>
      </c>
      <c r="H2337" t="n">
        <v>0</v>
      </c>
      <c r="I2337" t="n">
        <v>0</v>
      </c>
      <c r="J2337" t="n">
        <v>0</v>
      </c>
      <c r="K2337" t="n">
        <v>0</v>
      </c>
      <c r="L2337" t="n">
        <v>0</v>
      </c>
      <c r="M2337" t="n">
        <v>0</v>
      </c>
      <c r="N2337" t="n">
        <v>0</v>
      </c>
      <c r="O2337" t="n">
        <v>0</v>
      </c>
      <c r="P2337" t="n">
        <v>0</v>
      </c>
      <c r="Q2337" t="n">
        <v>0</v>
      </c>
      <c r="R2337" s="2" t="inlineStr"/>
    </row>
    <row r="2338" ht="15" customHeight="1">
      <c r="A2338" t="inlineStr">
        <is>
          <t>A 52019-2019</t>
        </is>
      </c>
      <c r="B2338" s="1" t="n">
        <v>43742</v>
      </c>
      <c r="C2338" s="1" t="n">
        <v>45204</v>
      </c>
      <c r="D2338" t="inlineStr">
        <is>
          <t>VÄSTERBOTTENS LÄN</t>
        </is>
      </c>
      <c r="E2338" t="inlineStr">
        <is>
          <t>SKELLEFTEÅ</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53980-2019</t>
        </is>
      </c>
      <c r="B2339" s="1" t="n">
        <v>43742</v>
      </c>
      <c r="C2339" s="1" t="n">
        <v>45204</v>
      </c>
      <c r="D2339" t="inlineStr">
        <is>
          <t>VÄSTERBOTTENS LÄN</t>
        </is>
      </c>
      <c r="E2339" t="inlineStr">
        <is>
          <t>SKELLEFTEÅ</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52437-2019</t>
        </is>
      </c>
      <c r="B2340" s="1" t="n">
        <v>43745</v>
      </c>
      <c r="C2340" s="1" t="n">
        <v>45204</v>
      </c>
      <c r="D2340" t="inlineStr">
        <is>
          <t>VÄSTERBOTTENS LÄN</t>
        </is>
      </c>
      <c r="E2340" t="inlineStr">
        <is>
          <t>LYCKSELE</t>
        </is>
      </c>
      <c r="F2340" t="inlineStr">
        <is>
          <t>Kyrkan</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52469-2019</t>
        </is>
      </c>
      <c r="B2341" s="1" t="n">
        <v>43745</v>
      </c>
      <c r="C2341" s="1" t="n">
        <v>45204</v>
      </c>
      <c r="D2341" t="inlineStr">
        <is>
          <t>VÄSTERBOTTENS LÄN</t>
        </is>
      </c>
      <c r="E2341" t="inlineStr">
        <is>
          <t>SKELLEFTEÅ</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52475-2019</t>
        </is>
      </c>
      <c r="B2342" s="1" t="n">
        <v>43745</v>
      </c>
      <c r="C2342" s="1" t="n">
        <v>45204</v>
      </c>
      <c r="D2342" t="inlineStr">
        <is>
          <t>VÄSTERBOTTENS LÄN</t>
        </is>
      </c>
      <c r="E2342" t="inlineStr">
        <is>
          <t>UMEÅ</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52546-2019</t>
        </is>
      </c>
      <c r="B2343" s="1" t="n">
        <v>43745</v>
      </c>
      <c r="C2343" s="1" t="n">
        <v>45204</v>
      </c>
      <c r="D2343" t="inlineStr">
        <is>
          <t>VÄSTERBOTTENS LÄN</t>
        </is>
      </c>
      <c r="E2343" t="inlineStr">
        <is>
          <t>SKELLEFTEÅ</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52472-2019</t>
        </is>
      </c>
      <c r="B2344" s="1" t="n">
        <v>43745</v>
      </c>
      <c r="C2344" s="1" t="n">
        <v>45204</v>
      </c>
      <c r="D2344" t="inlineStr">
        <is>
          <t>VÄSTERBOTTENS LÄN</t>
        </is>
      </c>
      <c r="E2344" t="inlineStr">
        <is>
          <t>ROBERTSFORS</t>
        </is>
      </c>
      <c r="F2344" t="inlineStr">
        <is>
          <t>Sveaskog</t>
        </is>
      </c>
      <c r="G2344" t="n">
        <v>12.7</v>
      </c>
      <c r="H2344" t="n">
        <v>0</v>
      </c>
      <c r="I2344" t="n">
        <v>0</v>
      </c>
      <c r="J2344" t="n">
        <v>0</v>
      </c>
      <c r="K2344" t="n">
        <v>0</v>
      </c>
      <c r="L2344" t="n">
        <v>0</v>
      </c>
      <c r="M2344" t="n">
        <v>0</v>
      </c>
      <c r="N2344" t="n">
        <v>0</v>
      </c>
      <c r="O2344" t="n">
        <v>0</v>
      </c>
      <c r="P2344" t="n">
        <v>0</v>
      </c>
      <c r="Q2344" t="n">
        <v>0</v>
      </c>
      <c r="R2344" s="2" t="inlineStr"/>
    </row>
    <row r="2345" ht="15" customHeight="1">
      <c r="A2345" t="inlineStr">
        <is>
          <t>A 52471-2019</t>
        </is>
      </c>
      <c r="B2345" s="1" t="n">
        <v>43745</v>
      </c>
      <c r="C2345" s="1" t="n">
        <v>45204</v>
      </c>
      <c r="D2345" t="inlineStr">
        <is>
          <t>VÄSTERBOTTENS LÄN</t>
        </is>
      </c>
      <c r="E2345" t="inlineStr">
        <is>
          <t>SKELLEFTEÅ</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52484-2019</t>
        </is>
      </c>
      <c r="B2346" s="1" t="n">
        <v>43745</v>
      </c>
      <c r="C2346" s="1" t="n">
        <v>45204</v>
      </c>
      <c r="D2346" t="inlineStr">
        <is>
          <t>VÄSTERBOTTENS LÄN</t>
        </is>
      </c>
      <c r="E2346" t="inlineStr">
        <is>
          <t>SKELLEFTEÅ</t>
        </is>
      </c>
      <c r="G2346" t="n">
        <v>9</v>
      </c>
      <c r="H2346" t="n">
        <v>0</v>
      </c>
      <c r="I2346" t="n">
        <v>0</v>
      </c>
      <c r="J2346" t="n">
        <v>0</v>
      </c>
      <c r="K2346" t="n">
        <v>0</v>
      </c>
      <c r="L2346" t="n">
        <v>0</v>
      </c>
      <c r="M2346" t="n">
        <v>0</v>
      </c>
      <c r="N2346" t="n">
        <v>0</v>
      </c>
      <c r="O2346" t="n">
        <v>0</v>
      </c>
      <c r="P2346" t="n">
        <v>0</v>
      </c>
      <c r="Q2346" t="n">
        <v>0</v>
      </c>
      <c r="R2346" s="2" t="inlineStr"/>
    </row>
    <row r="2347" ht="15" customHeight="1">
      <c r="A2347" t="inlineStr">
        <is>
          <t>A 54694-2019</t>
        </is>
      </c>
      <c r="B2347" s="1" t="n">
        <v>43746</v>
      </c>
      <c r="C2347" s="1" t="n">
        <v>45204</v>
      </c>
      <c r="D2347" t="inlineStr">
        <is>
          <t>VÄSTERBOTTENS LÄN</t>
        </is>
      </c>
      <c r="E2347" t="inlineStr">
        <is>
          <t>NORDMALING</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54689-2019</t>
        </is>
      </c>
      <c r="B2348" s="1" t="n">
        <v>43746</v>
      </c>
      <c r="C2348" s="1" t="n">
        <v>45204</v>
      </c>
      <c r="D2348" t="inlineStr">
        <is>
          <t>VÄSTERBOTTENS LÄN</t>
        </is>
      </c>
      <c r="E2348" t="inlineStr">
        <is>
          <t>NORDMALING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52603-2019</t>
        </is>
      </c>
      <c r="B2349" s="1" t="n">
        <v>43746</v>
      </c>
      <c r="C2349" s="1" t="n">
        <v>45204</v>
      </c>
      <c r="D2349" t="inlineStr">
        <is>
          <t>VÄSTERBOTTENS LÄN</t>
        </is>
      </c>
      <c r="E2349" t="inlineStr">
        <is>
          <t>LYCKSELE</t>
        </is>
      </c>
      <c r="F2349" t="inlineStr">
        <is>
          <t>Sveaskog</t>
        </is>
      </c>
      <c r="G2349" t="n">
        <v>6.8</v>
      </c>
      <c r="H2349" t="n">
        <v>0</v>
      </c>
      <c r="I2349" t="n">
        <v>0</v>
      </c>
      <c r="J2349" t="n">
        <v>0</v>
      </c>
      <c r="K2349" t="n">
        <v>0</v>
      </c>
      <c r="L2349" t="n">
        <v>0</v>
      </c>
      <c r="M2349" t="n">
        <v>0</v>
      </c>
      <c r="N2349" t="n">
        <v>0</v>
      </c>
      <c r="O2349" t="n">
        <v>0</v>
      </c>
      <c r="P2349" t="n">
        <v>0</v>
      </c>
      <c r="Q2349" t="n">
        <v>0</v>
      </c>
      <c r="R2349" s="2" t="inlineStr"/>
    </row>
    <row r="2350" ht="15" customHeight="1">
      <c r="A2350" t="inlineStr">
        <is>
          <t>A 52630-2019</t>
        </is>
      </c>
      <c r="B2350" s="1" t="n">
        <v>43746</v>
      </c>
      <c r="C2350" s="1" t="n">
        <v>45204</v>
      </c>
      <c r="D2350" t="inlineStr">
        <is>
          <t>VÄSTERBOTTENS LÄN</t>
        </is>
      </c>
      <c r="E2350" t="inlineStr">
        <is>
          <t>LYCKSELE</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54688-2019</t>
        </is>
      </c>
      <c r="B2351" s="1" t="n">
        <v>43746</v>
      </c>
      <c r="C2351" s="1" t="n">
        <v>45204</v>
      </c>
      <c r="D2351" t="inlineStr">
        <is>
          <t>VÄSTERBOTTENS LÄN</t>
        </is>
      </c>
      <c r="E2351" t="inlineStr">
        <is>
          <t>NORDMALING</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52621-2019</t>
        </is>
      </c>
      <c r="B2352" s="1" t="n">
        <v>43746</v>
      </c>
      <c r="C2352" s="1" t="n">
        <v>45204</v>
      </c>
      <c r="D2352" t="inlineStr">
        <is>
          <t>VÄSTERBOTTENS LÄN</t>
        </is>
      </c>
      <c r="E2352" t="inlineStr">
        <is>
          <t>LYCKSELE</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52683-2019</t>
        </is>
      </c>
      <c r="B2353" s="1" t="n">
        <v>43746</v>
      </c>
      <c r="C2353" s="1" t="n">
        <v>45204</v>
      </c>
      <c r="D2353" t="inlineStr">
        <is>
          <t>VÄSTERBOTTENS LÄN</t>
        </is>
      </c>
      <c r="E2353" t="inlineStr">
        <is>
          <t>ROBERTSFORS</t>
        </is>
      </c>
      <c r="F2353" t="inlineStr">
        <is>
          <t>Holmen skog AB</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54070-2019</t>
        </is>
      </c>
      <c r="B2354" s="1" t="n">
        <v>43746</v>
      </c>
      <c r="C2354" s="1" t="n">
        <v>45204</v>
      </c>
      <c r="D2354" t="inlineStr">
        <is>
          <t>VÄSTERBOTTENS LÄN</t>
        </is>
      </c>
      <c r="E2354" t="inlineStr">
        <is>
          <t>VILHELMINA</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54355-2019</t>
        </is>
      </c>
      <c r="B2355" s="1" t="n">
        <v>43746</v>
      </c>
      <c r="C2355" s="1" t="n">
        <v>45204</v>
      </c>
      <c r="D2355" t="inlineStr">
        <is>
          <t>VÄSTERBOTTENS LÄN</t>
        </is>
      </c>
      <c r="E2355" t="inlineStr">
        <is>
          <t>VÄNNÄS</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52933-2019</t>
        </is>
      </c>
      <c r="B2356" s="1" t="n">
        <v>43747</v>
      </c>
      <c r="C2356" s="1" t="n">
        <v>45204</v>
      </c>
      <c r="D2356" t="inlineStr">
        <is>
          <t>VÄSTERBOTTENS LÄN</t>
        </is>
      </c>
      <c r="E2356" t="inlineStr">
        <is>
          <t>MALÅ</t>
        </is>
      </c>
      <c r="F2356" t="inlineStr">
        <is>
          <t>Sveaskog</t>
        </is>
      </c>
      <c r="G2356" t="n">
        <v>27.5</v>
      </c>
      <c r="H2356" t="n">
        <v>0</v>
      </c>
      <c r="I2356" t="n">
        <v>0</v>
      </c>
      <c r="J2356" t="n">
        <v>0</v>
      </c>
      <c r="K2356" t="n">
        <v>0</v>
      </c>
      <c r="L2356" t="n">
        <v>0</v>
      </c>
      <c r="M2356" t="n">
        <v>0</v>
      </c>
      <c r="N2356" t="n">
        <v>0</v>
      </c>
      <c r="O2356" t="n">
        <v>0</v>
      </c>
      <c r="P2356" t="n">
        <v>0</v>
      </c>
      <c r="Q2356" t="n">
        <v>0</v>
      </c>
      <c r="R2356" s="2" t="inlineStr"/>
    </row>
    <row r="2357" ht="15" customHeight="1">
      <c r="A2357" t="inlineStr">
        <is>
          <t>A 52953-2019</t>
        </is>
      </c>
      <c r="B2357" s="1" t="n">
        <v>43747</v>
      </c>
      <c r="C2357" s="1" t="n">
        <v>45204</v>
      </c>
      <c r="D2357" t="inlineStr">
        <is>
          <t>VÄSTERBOTTENS LÄN</t>
        </is>
      </c>
      <c r="E2357" t="inlineStr">
        <is>
          <t>SKELLEFTEÅ</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53154-2019</t>
        </is>
      </c>
      <c r="B2358" s="1" t="n">
        <v>43747</v>
      </c>
      <c r="C2358" s="1" t="n">
        <v>45204</v>
      </c>
      <c r="D2358" t="inlineStr">
        <is>
          <t>VÄSTERBOTTENS LÄN</t>
        </is>
      </c>
      <c r="E2358" t="inlineStr">
        <is>
          <t>BJURHOLM</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54435-2019</t>
        </is>
      </c>
      <c r="B2359" s="1" t="n">
        <v>43747</v>
      </c>
      <c r="C2359" s="1" t="n">
        <v>45204</v>
      </c>
      <c r="D2359" t="inlineStr">
        <is>
          <t>VÄSTERBOTTENS LÄN</t>
        </is>
      </c>
      <c r="E2359" t="inlineStr">
        <is>
          <t>LYCKSELE</t>
        </is>
      </c>
      <c r="G2359" t="n">
        <v>10.5</v>
      </c>
      <c r="H2359" t="n">
        <v>0</v>
      </c>
      <c r="I2359" t="n">
        <v>0</v>
      </c>
      <c r="J2359" t="n">
        <v>0</v>
      </c>
      <c r="K2359" t="n">
        <v>0</v>
      </c>
      <c r="L2359" t="n">
        <v>0</v>
      </c>
      <c r="M2359" t="n">
        <v>0</v>
      </c>
      <c r="N2359" t="n">
        <v>0</v>
      </c>
      <c r="O2359" t="n">
        <v>0</v>
      </c>
      <c r="P2359" t="n">
        <v>0</v>
      </c>
      <c r="Q2359" t="n">
        <v>0</v>
      </c>
      <c r="R2359" s="2" t="inlineStr"/>
    </row>
    <row r="2360" ht="15" customHeight="1">
      <c r="A2360" t="inlineStr">
        <is>
          <t>A 52939-2019</t>
        </is>
      </c>
      <c r="B2360" s="1" t="n">
        <v>43747</v>
      </c>
      <c r="C2360" s="1" t="n">
        <v>45204</v>
      </c>
      <c r="D2360" t="inlineStr">
        <is>
          <t>VÄSTERBOTTENS LÄN</t>
        </is>
      </c>
      <c r="E2360" t="inlineStr">
        <is>
          <t>NORDMALING</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53378-2019</t>
        </is>
      </c>
      <c r="B2361" s="1" t="n">
        <v>43748</v>
      </c>
      <c r="C2361" s="1" t="n">
        <v>45204</v>
      </c>
      <c r="D2361" t="inlineStr">
        <is>
          <t>VÄSTERBOTTENS LÄN</t>
        </is>
      </c>
      <c r="E2361" t="inlineStr">
        <is>
          <t>BJURHOLM</t>
        </is>
      </c>
      <c r="G2361" t="n">
        <v>10.9</v>
      </c>
      <c r="H2361" t="n">
        <v>0</v>
      </c>
      <c r="I2361" t="n">
        <v>0</v>
      </c>
      <c r="J2361" t="n">
        <v>0</v>
      </c>
      <c r="K2361" t="n">
        <v>0</v>
      </c>
      <c r="L2361" t="n">
        <v>0</v>
      </c>
      <c r="M2361" t="n">
        <v>0</v>
      </c>
      <c r="N2361" t="n">
        <v>0</v>
      </c>
      <c r="O2361" t="n">
        <v>0</v>
      </c>
      <c r="P2361" t="n">
        <v>0</v>
      </c>
      <c r="Q2361" t="n">
        <v>0</v>
      </c>
      <c r="R2361" s="2" t="inlineStr"/>
    </row>
    <row r="2362" ht="15" customHeight="1">
      <c r="A2362" t="inlineStr">
        <is>
          <t>A 53302-2019</t>
        </is>
      </c>
      <c r="B2362" s="1" t="n">
        <v>43748</v>
      </c>
      <c r="C2362" s="1" t="n">
        <v>45204</v>
      </c>
      <c r="D2362" t="inlineStr">
        <is>
          <t>VÄSTERBOTTENS LÄN</t>
        </is>
      </c>
      <c r="E2362" t="inlineStr">
        <is>
          <t>MALÅ</t>
        </is>
      </c>
      <c r="F2362" t="inlineStr">
        <is>
          <t>Sveaskog</t>
        </is>
      </c>
      <c r="G2362" t="n">
        <v>4.9</v>
      </c>
      <c r="H2362" t="n">
        <v>0</v>
      </c>
      <c r="I2362" t="n">
        <v>0</v>
      </c>
      <c r="J2362" t="n">
        <v>0</v>
      </c>
      <c r="K2362" t="n">
        <v>0</v>
      </c>
      <c r="L2362" t="n">
        <v>0</v>
      </c>
      <c r="M2362" t="n">
        <v>0</v>
      </c>
      <c r="N2362" t="n">
        <v>0</v>
      </c>
      <c r="O2362" t="n">
        <v>0</v>
      </c>
      <c r="P2362" t="n">
        <v>0</v>
      </c>
      <c r="Q2362" t="n">
        <v>0</v>
      </c>
      <c r="R2362" s="2" t="inlineStr"/>
    </row>
    <row r="2363" ht="15" customHeight="1">
      <c r="A2363" t="inlineStr">
        <is>
          <t>A 54742-2019</t>
        </is>
      </c>
      <c r="B2363" s="1" t="n">
        <v>43748</v>
      </c>
      <c r="C2363" s="1" t="n">
        <v>45204</v>
      </c>
      <c r="D2363" t="inlineStr">
        <is>
          <t>VÄSTERBOTTENS LÄN</t>
        </is>
      </c>
      <c r="E2363" t="inlineStr">
        <is>
          <t>SKELLEFTEÅ</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53268-2019</t>
        </is>
      </c>
      <c r="B2364" s="1" t="n">
        <v>43748</v>
      </c>
      <c r="C2364" s="1" t="n">
        <v>45204</v>
      </c>
      <c r="D2364" t="inlineStr">
        <is>
          <t>VÄSTERBOTTENS LÄN</t>
        </is>
      </c>
      <c r="E2364" t="inlineStr">
        <is>
          <t>UMEÅ</t>
        </is>
      </c>
      <c r="G2364" t="n">
        <v>1.5</v>
      </c>
      <c r="H2364" t="n">
        <v>0</v>
      </c>
      <c r="I2364" t="n">
        <v>0</v>
      </c>
      <c r="J2364" t="n">
        <v>0</v>
      </c>
      <c r="K2364" t="n">
        <v>0</v>
      </c>
      <c r="L2364" t="n">
        <v>0</v>
      </c>
      <c r="M2364" t="n">
        <v>0</v>
      </c>
      <c r="N2364" t="n">
        <v>0</v>
      </c>
      <c r="O2364" t="n">
        <v>0</v>
      </c>
      <c r="P2364" t="n">
        <v>0</v>
      </c>
      <c r="Q2364" t="n">
        <v>0</v>
      </c>
      <c r="R2364" s="2" t="inlineStr"/>
    </row>
    <row r="2365" ht="15" customHeight="1">
      <c r="A2365" t="inlineStr">
        <is>
          <t>A 53279-2019</t>
        </is>
      </c>
      <c r="B2365" s="1" t="n">
        <v>43748</v>
      </c>
      <c r="C2365" s="1" t="n">
        <v>45204</v>
      </c>
      <c r="D2365" t="inlineStr">
        <is>
          <t>VÄSTERBOTTENS LÄN</t>
        </is>
      </c>
      <c r="E2365" t="inlineStr">
        <is>
          <t>NORDMALING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53478-2019</t>
        </is>
      </c>
      <c r="B2366" s="1" t="n">
        <v>43748</v>
      </c>
      <c r="C2366" s="1" t="n">
        <v>45204</v>
      </c>
      <c r="D2366" t="inlineStr">
        <is>
          <t>VÄSTERBOTTENS LÄN</t>
        </is>
      </c>
      <c r="E2366" t="inlineStr">
        <is>
          <t>ÅSELE</t>
        </is>
      </c>
      <c r="F2366" t="inlineStr">
        <is>
          <t>SCA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53584-2019</t>
        </is>
      </c>
      <c r="B2367" s="1" t="n">
        <v>43749</v>
      </c>
      <c r="C2367" s="1" t="n">
        <v>45204</v>
      </c>
      <c r="D2367" t="inlineStr">
        <is>
          <t>VÄSTERBOTTENS LÄN</t>
        </is>
      </c>
      <c r="E2367" t="inlineStr">
        <is>
          <t>SKELLEFTEÅ</t>
        </is>
      </c>
      <c r="G2367" t="n">
        <v>11.4</v>
      </c>
      <c r="H2367" t="n">
        <v>0</v>
      </c>
      <c r="I2367" t="n">
        <v>0</v>
      </c>
      <c r="J2367" t="n">
        <v>0</v>
      </c>
      <c r="K2367" t="n">
        <v>0</v>
      </c>
      <c r="L2367" t="n">
        <v>0</v>
      </c>
      <c r="M2367" t="n">
        <v>0</v>
      </c>
      <c r="N2367" t="n">
        <v>0</v>
      </c>
      <c r="O2367" t="n">
        <v>0</v>
      </c>
      <c r="P2367" t="n">
        <v>0</v>
      </c>
      <c r="Q2367" t="n">
        <v>0</v>
      </c>
      <c r="R2367" s="2" t="inlineStr"/>
    </row>
    <row r="2368" ht="15" customHeight="1">
      <c r="A2368" t="inlineStr">
        <is>
          <t>A 53754-2019</t>
        </is>
      </c>
      <c r="B2368" s="1" t="n">
        <v>43749</v>
      </c>
      <c r="C2368" s="1" t="n">
        <v>45204</v>
      </c>
      <c r="D2368" t="inlineStr">
        <is>
          <t>VÄSTERBOTTENS LÄN</t>
        </is>
      </c>
      <c r="E2368" t="inlineStr">
        <is>
          <t>DOROTEA</t>
        </is>
      </c>
      <c r="F2368" t="inlineStr">
        <is>
          <t>SCA</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54894-2019</t>
        </is>
      </c>
      <c r="B2369" s="1" t="n">
        <v>43749</v>
      </c>
      <c r="C2369" s="1" t="n">
        <v>45204</v>
      </c>
      <c r="D2369" t="inlineStr">
        <is>
          <t>VÄSTERBOTTENS LÄN</t>
        </is>
      </c>
      <c r="E2369" t="inlineStr">
        <is>
          <t>ROBERTSFORS</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54935-2019</t>
        </is>
      </c>
      <c r="B2370" s="1" t="n">
        <v>43749</v>
      </c>
      <c r="C2370" s="1" t="n">
        <v>45204</v>
      </c>
      <c r="D2370" t="inlineStr">
        <is>
          <t>VÄSTERBOTTENS LÄN</t>
        </is>
      </c>
      <c r="E2370" t="inlineStr">
        <is>
          <t>SKELLEFTEÅ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53659-2019</t>
        </is>
      </c>
      <c r="B2371" s="1" t="n">
        <v>43749</v>
      </c>
      <c r="C2371" s="1" t="n">
        <v>45204</v>
      </c>
      <c r="D2371" t="inlineStr">
        <is>
          <t>VÄSTERBOTTENS LÄN</t>
        </is>
      </c>
      <c r="E2371" t="inlineStr">
        <is>
          <t>VINDELN</t>
        </is>
      </c>
      <c r="F2371" t="inlineStr">
        <is>
          <t>Holmen skog AB</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53725-2019</t>
        </is>
      </c>
      <c r="B2372" s="1" t="n">
        <v>43749</v>
      </c>
      <c r="C2372" s="1" t="n">
        <v>45204</v>
      </c>
      <c r="D2372" t="inlineStr">
        <is>
          <t>VÄSTERBOTTENS LÄN</t>
        </is>
      </c>
      <c r="E2372" t="inlineStr">
        <is>
          <t>VINDELN</t>
        </is>
      </c>
      <c r="F2372" t="inlineStr">
        <is>
          <t>Sveaskog</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54939-2019</t>
        </is>
      </c>
      <c r="B2373" s="1" t="n">
        <v>43749</v>
      </c>
      <c r="C2373" s="1" t="n">
        <v>45204</v>
      </c>
      <c r="D2373" t="inlineStr">
        <is>
          <t>VÄSTERBOTTENS LÄN</t>
        </is>
      </c>
      <c r="E2373" t="inlineStr">
        <is>
          <t>SKELLEFTEÅ</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53750-2019</t>
        </is>
      </c>
      <c r="B2374" s="1" t="n">
        <v>43749</v>
      </c>
      <c r="C2374" s="1" t="n">
        <v>45204</v>
      </c>
      <c r="D2374" t="inlineStr">
        <is>
          <t>VÄSTERBOTTENS LÄN</t>
        </is>
      </c>
      <c r="E2374" t="inlineStr">
        <is>
          <t>VILHELMINA</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54920-2019</t>
        </is>
      </c>
      <c r="B2375" s="1" t="n">
        <v>43749</v>
      </c>
      <c r="C2375" s="1" t="n">
        <v>45204</v>
      </c>
      <c r="D2375" t="inlineStr">
        <is>
          <t>VÄSTERBOTTENS LÄN</t>
        </is>
      </c>
      <c r="E2375" t="inlineStr">
        <is>
          <t>SKELLEFTEÅ</t>
        </is>
      </c>
      <c r="G2375" t="n">
        <v>24.3</v>
      </c>
      <c r="H2375" t="n">
        <v>0</v>
      </c>
      <c r="I2375" t="n">
        <v>0</v>
      </c>
      <c r="J2375" t="n">
        <v>0</v>
      </c>
      <c r="K2375" t="n">
        <v>0</v>
      </c>
      <c r="L2375" t="n">
        <v>0</v>
      </c>
      <c r="M2375" t="n">
        <v>0</v>
      </c>
      <c r="N2375" t="n">
        <v>0</v>
      </c>
      <c r="O2375" t="n">
        <v>0</v>
      </c>
      <c r="P2375" t="n">
        <v>0</v>
      </c>
      <c r="Q2375" t="n">
        <v>0</v>
      </c>
      <c r="R2375" s="2" t="inlineStr"/>
    </row>
    <row r="2376" ht="15" customHeight="1">
      <c r="A2376" t="inlineStr">
        <is>
          <t>A 53757-2019</t>
        </is>
      </c>
      <c r="B2376" s="1" t="n">
        <v>43749</v>
      </c>
      <c r="C2376" s="1" t="n">
        <v>45204</v>
      </c>
      <c r="D2376" t="inlineStr">
        <is>
          <t>VÄSTERBOTTENS LÄN</t>
        </is>
      </c>
      <c r="E2376" t="inlineStr">
        <is>
          <t>VILHELMINA</t>
        </is>
      </c>
      <c r="F2376" t="inlineStr">
        <is>
          <t>SCA</t>
        </is>
      </c>
      <c r="G2376" t="n">
        <v>12.4</v>
      </c>
      <c r="H2376" t="n">
        <v>0</v>
      </c>
      <c r="I2376" t="n">
        <v>0</v>
      </c>
      <c r="J2376" t="n">
        <v>0</v>
      </c>
      <c r="K2376" t="n">
        <v>0</v>
      </c>
      <c r="L2376" t="n">
        <v>0</v>
      </c>
      <c r="M2376" t="n">
        <v>0</v>
      </c>
      <c r="N2376" t="n">
        <v>0</v>
      </c>
      <c r="O2376" t="n">
        <v>0</v>
      </c>
      <c r="P2376" t="n">
        <v>0</v>
      </c>
      <c r="Q2376" t="n">
        <v>0</v>
      </c>
      <c r="R2376" s="2" t="inlineStr"/>
    </row>
    <row r="2377" ht="15" customHeight="1">
      <c r="A2377" t="inlineStr">
        <is>
          <t>A 53813-2019</t>
        </is>
      </c>
      <c r="B2377" s="1" t="n">
        <v>43751</v>
      </c>
      <c r="C2377" s="1" t="n">
        <v>45204</v>
      </c>
      <c r="D2377" t="inlineStr">
        <is>
          <t>VÄSTERBOTTENS LÄN</t>
        </is>
      </c>
      <c r="E2377" t="inlineStr">
        <is>
          <t>UMEÅ</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54135-2019</t>
        </is>
      </c>
      <c r="B2378" s="1" t="n">
        <v>43752</v>
      </c>
      <c r="C2378" s="1" t="n">
        <v>45204</v>
      </c>
      <c r="D2378" t="inlineStr">
        <is>
          <t>VÄSTERBOTTENS LÄN</t>
        </is>
      </c>
      <c r="E2378" t="inlineStr">
        <is>
          <t>MALÅ</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55102-2019</t>
        </is>
      </c>
      <c r="B2379" s="1" t="n">
        <v>43752</v>
      </c>
      <c r="C2379" s="1" t="n">
        <v>45204</v>
      </c>
      <c r="D2379" t="inlineStr">
        <is>
          <t>VÄSTERBOTTENS LÄN</t>
        </is>
      </c>
      <c r="E2379" t="inlineStr">
        <is>
          <t>SORSELE</t>
        </is>
      </c>
      <c r="G2379" t="n">
        <v>5.6</v>
      </c>
      <c r="H2379" t="n">
        <v>0</v>
      </c>
      <c r="I2379" t="n">
        <v>0</v>
      </c>
      <c r="J2379" t="n">
        <v>0</v>
      </c>
      <c r="K2379" t="n">
        <v>0</v>
      </c>
      <c r="L2379" t="n">
        <v>0</v>
      </c>
      <c r="M2379" t="n">
        <v>0</v>
      </c>
      <c r="N2379" t="n">
        <v>0</v>
      </c>
      <c r="O2379" t="n">
        <v>0</v>
      </c>
      <c r="P2379" t="n">
        <v>0</v>
      </c>
      <c r="Q2379" t="n">
        <v>0</v>
      </c>
      <c r="R2379" s="2" t="inlineStr"/>
    </row>
    <row r="2380" ht="15" customHeight="1">
      <c r="A2380" t="inlineStr">
        <is>
          <t>A 54111-2019</t>
        </is>
      </c>
      <c r="B2380" s="1" t="n">
        <v>43752</v>
      </c>
      <c r="C2380" s="1" t="n">
        <v>45204</v>
      </c>
      <c r="D2380" t="inlineStr">
        <is>
          <t>VÄSTERBOTTENS LÄN</t>
        </is>
      </c>
      <c r="E2380" t="inlineStr">
        <is>
          <t>SKELLEFTEÅ</t>
        </is>
      </c>
      <c r="F2380" t="inlineStr">
        <is>
          <t>Sveaskog</t>
        </is>
      </c>
      <c r="G2380" t="n">
        <v>30.6</v>
      </c>
      <c r="H2380" t="n">
        <v>0</v>
      </c>
      <c r="I2380" t="n">
        <v>0</v>
      </c>
      <c r="J2380" t="n">
        <v>0</v>
      </c>
      <c r="K2380" t="n">
        <v>0</v>
      </c>
      <c r="L2380" t="n">
        <v>0</v>
      </c>
      <c r="M2380" t="n">
        <v>0</v>
      </c>
      <c r="N2380" t="n">
        <v>0</v>
      </c>
      <c r="O2380" t="n">
        <v>0</v>
      </c>
      <c r="P2380" t="n">
        <v>0</v>
      </c>
      <c r="Q2380" t="n">
        <v>0</v>
      </c>
      <c r="R2380" s="2" t="inlineStr"/>
    </row>
    <row r="2381" ht="15" customHeight="1">
      <c r="A2381" t="inlineStr">
        <is>
          <t>A 53925-2019</t>
        </is>
      </c>
      <c r="B2381" s="1" t="n">
        <v>43752</v>
      </c>
      <c r="C2381" s="1" t="n">
        <v>45204</v>
      </c>
      <c r="D2381" t="inlineStr">
        <is>
          <t>VÄSTERBOTTENS LÄN</t>
        </is>
      </c>
      <c r="E2381" t="inlineStr">
        <is>
          <t>SKELLEFTEÅ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55156-2019</t>
        </is>
      </c>
      <c r="B2382" s="1" t="n">
        <v>43752</v>
      </c>
      <c r="C2382" s="1" t="n">
        <v>45204</v>
      </c>
      <c r="D2382" t="inlineStr">
        <is>
          <t>VÄSTERBOTTENS LÄN</t>
        </is>
      </c>
      <c r="E2382" t="inlineStr">
        <is>
          <t>ÅSELE</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53828-2019</t>
        </is>
      </c>
      <c r="B2383" s="1" t="n">
        <v>43752</v>
      </c>
      <c r="C2383" s="1" t="n">
        <v>45204</v>
      </c>
      <c r="D2383" t="inlineStr">
        <is>
          <t>VÄSTERBOTTENS LÄN</t>
        </is>
      </c>
      <c r="E2383" t="inlineStr">
        <is>
          <t>BJURHOLM</t>
        </is>
      </c>
      <c r="G2383" t="n">
        <v>5.8</v>
      </c>
      <c r="H2383" t="n">
        <v>0</v>
      </c>
      <c r="I2383" t="n">
        <v>0</v>
      </c>
      <c r="J2383" t="n">
        <v>0</v>
      </c>
      <c r="K2383" t="n">
        <v>0</v>
      </c>
      <c r="L2383" t="n">
        <v>0</v>
      </c>
      <c r="M2383" t="n">
        <v>0</v>
      </c>
      <c r="N2383" t="n">
        <v>0</v>
      </c>
      <c r="O2383" t="n">
        <v>0</v>
      </c>
      <c r="P2383" t="n">
        <v>0</v>
      </c>
      <c r="Q2383" t="n">
        <v>0</v>
      </c>
      <c r="R2383" s="2" t="inlineStr"/>
    </row>
    <row r="2384" ht="15" customHeight="1">
      <c r="A2384" t="inlineStr">
        <is>
          <t>A 54146-2019</t>
        </is>
      </c>
      <c r="B2384" s="1" t="n">
        <v>43753</v>
      </c>
      <c r="C2384" s="1" t="n">
        <v>45204</v>
      </c>
      <c r="D2384" t="inlineStr">
        <is>
          <t>VÄSTERBOTTENS LÄN</t>
        </is>
      </c>
      <c r="E2384" t="inlineStr">
        <is>
          <t>SKELLEFTEÅ</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55275-2019</t>
        </is>
      </c>
      <c r="B2385" s="1" t="n">
        <v>43753</v>
      </c>
      <c r="C2385" s="1" t="n">
        <v>45204</v>
      </c>
      <c r="D2385" t="inlineStr">
        <is>
          <t>VÄSTERBOTTENS LÄN</t>
        </is>
      </c>
      <c r="E2385" t="inlineStr">
        <is>
          <t>UMEÅ</t>
        </is>
      </c>
      <c r="G2385" t="n">
        <v>5.4</v>
      </c>
      <c r="H2385" t="n">
        <v>0</v>
      </c>
      <c r="I2385" t="n">
        <v>0</v>
      </c>
      <c r="J2385" t="n">
        <v>0</v>
      </c>
      <c r="K2385" t="n">
        <v>0</v>
      </c>
      <c r="L2385" t="n">
        <v>0</v>
      </c>
      <c r="M2385" t="n">
        <v>0</v>
      </c>
      <c r="N2385" t="n">
        <v>0</v>
      </c>
      <c r="O2385" t="n">
        <v>0</v>
      </c>
      <c r="P2385" t="n">
        <v>0</v>
      </c>
      <c r="Q2385" t="n">
        <v>0</v>
      </c>
      <c r="R2385" s="2" t="inlineStr"/>
    </row>
    <row r="2386" ht="15" customHeight="1">
      <c r="A2386" t="inlineStr">
        <is>
          <t>A 54368-2019</t>
        </is>
      </c>
      <c r="B2386" s="1" t="n">
        <v>43753</v>
      </c>
      <c r="C2386" s="1" t="n">
        <v>45204</v>
      </c>
      <c r="D2386" t="inlineStr">
        <is>
          <t>VÄSTERBOTTENS LÄN</t>
        </is>
      </c>
      <c r="E2386" t="inlineStr">
        <is>
          <t>ÅSELE</t>
        </is>
      </c>
      <c r="F2386" t="inlineStr">
        <is>
          <t>SCA</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54426-2019</t>
        </is>
      </c>
      <c r="B2387" s="1" t="n">
        <v>43754</v>
      </c>
      <c r="C2387" s="1" t="n">
        <v>45204</v>
      </c>
      <c r="D2387" t="inlineStr">
        <is>
          <t>VÄSTERBOTTENS LÄN</t>
        </is>
      </c>
      <c r="E2387" t="inlineStr">
        <is>
          <t>DOROTEA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54666-2019</t>
        </is>
      </c>
      <c r="B2388" s="1" t="n">
        <v>43754</v>
      </c>
      <c r="C2388" s="1" t="n">
        <v>45204</v>
      </c>
      <c r="D2388" t="inlineStr">
        <is>
          <t>VÄSTERBOTTENS LÄN</t>
        </is>
      </c>
      <c r="E2388" t="inlineStr">
        <is>
          <t>SKELLEFTEÅ</t>
        </is>
      </c>
      <c r="F2388" t="inlineStr">
        <is>
          <t>Sveaskog</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54408-2019</t>
        </is>
      </c>
      <c r="B2389" s="1" t="n">
        <v>43754</v>
      </c>
      <c r="C2389" s="1" t="n">
        <v>45204</v>
      </c>
      <c r="D2389" t="inlineStr">
        <is>
          <t>VÄSTERBOTTENS LÄN</t>
        </is>
      </c>
      <c r="E2389" t="inlineStr">
        <is>
          <t>ÅSELE</t>
        </is>
      </c>
      <c r="F2389" t="inlineStr">
        <is>
          <t>Holmen skog AB</t>
        </is>
      </c>
      <c r="G2389" t="n">
        <v>15.2</v>
      </c>
      <c r="H2389" t="n">
        <v>0</v>
      </c>
      <c r="I2389" t="n">
        <v>0</v>
      </c>
      <c r="J2389" t="n">
        <v>0</v>
      </c>
      <c r="K2389" t="n">
        <v>0</v>
      </c>
      <c r="L2389" t="n">
        <v>0</v>
      </c>
      <c r="M2389" t="n">
        <v>0</v>
      </c>
      <c r="N2389" t="n">
        <v>0</v>
      </c>
      <c r="O2389" t="n">
        <v>0</v>
      </c>
      <c r="P2389" t="n">
        <v>0</v>
      </c>
      <c r="Q2389" t="n">
        <v>0</v>
      </c>
      <c r="R2389" s="2" t="inlineStr"/>
    </row>
    <row r="2390" ht="15" customHeight="1">
      <c r="A2390" t="inlineStr">
        <is>
          <t>A 55240-2019</t>
        </is>
      </c>
      <c r="B2390" s="1" t="n">
        <v>43754</v>
      </c>
      <c r="C2390" s="1" t="n">
        <v>45204</v>
      </c>
      <c r="D2390" t="inlineStr">
        <is>
          <t>VÄSTERBOTTENS LÄN</t>
        </is>
      </c>
      <c r="E2390" t="inlineStr">
        <is>
          <t>SORSELE</t>
        </is>
      </c>
      <c r="G2390" t="n">
        <v>13.5</v>
      </c>
      <c r="H2390" t="n">
        <v>0</v>
      </c>
      <c r="I2390" t="n">
        <v>0</v>
      </c>
      <c r="J2390" t="n">
        <v>0</v>
      </c>
      <c r="K2390" t="n">
        <v>0</v>
      </c>
      <c r="L2390" t="n">
        <v>0</v>
      </c>
      <c r="M2390" t="n">
        <v>0</v>
      </c>
      <c r="N2390" t="n">
        <v>0</v>
      </c>
      <c r="O2390" t="n">
        <v>0</v>
      </c>
      <c r="P2390" t="n">
        <v>0</v>
      </c>
      <c r="Q2390" t="n">
        <v>0</v>
      </c>
      <c r="R2390" s="2" t="inlineStr"/>
    </row>
    <row r="2391" ht="15" customHeight="1">
      <c r="A2391" t="inlineStr">
        <is>
          <t>A 54390-2019</t>
        </is>
      </c>
      <c r="B2391" s="1" t="n">
        <v>43754</v>
      </c>
      <c r="C2391" s="1" t="n">
        <v>45204</v>
      </c>
      <c r="D2391" t="inlineStr">
        <is>
          <t>VÄSTERBOTTENS LÄN</t>
        </is>
      </c>
      <c r="E2391" t="inlineStr">
        <is>
          <t>VINDELN</t>
        </is>
      </c>
      <c r="F2391" t="inlineStr">
        <is>
          <t>Holmen skog AB</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54667-2019</t>
        </is>
      </c>
      <c r="B2392" s="1" t="n">
        <v>43754</v>
      </c>
      <c r="C2392" s="1" t="n">
        <v>45204</v>
      </c>
      <c r="D2392" t="inlineStr">
        <is>
          <t>VÄSTERBOTTENS LÄN</t>
        </is>
      </c>
      <c r="E2392" t="inlineStr">
        <is>
          <t>SKELLEFTEÅ</t>
        </is>
      </c>
      <c r="F2392" t="inlineStr">
        <is>
          <t>Sveaskog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54901-2019</t>
        </is>
      </c>
      <c r="B2393" s="1" t="n">
        <v>43755</v>
      </c>
      <c r="C2393" s="1" t="n">
        <v>45204</v>
      </c>
      <c r="D2393" t="inlineStr">
        <is>
          <t>VÄSTERBOTTENS LÄN</t>
        </is>
      </c>
      <c r="E2393" t="inlineStr">
        <is>
          <t>ROBERTSFORS</t>
        </is>
      </c>
      <c r="F2393" t="inlineStr">
        <is>
          <t>Holmen skog AB</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54985-2019</t>
        </is>
      </c>
      <c r="B2394" s="1" t="n">
        <v>43755</v>
      </c>
      <c r="C2394" s="1" t="n">
        <v>45204</v>
      </c>
      <c r="D2394" t="inlineStr">
        <is>
          <t>VÄSTERBOTTENS LÄN</t>
        </is>
      </c>
      <c r="E2394" t="inlineStr">
        <is>
          <t>VILHELMINA</t>
        </is>
      </c>
      <c r="G2394" t="n">
        <v>12.2</v>
      </c>
      <c r="H2394" t="n">
        <v>0</v>
      </c>
      <c r="I2394" t="n">
        <v>0</v>
      </c>
      <c r="J2394" t="n">
        <v>0</v>
      </c>
      <c r="K2394" t="n">
        <v>0</v>
      </c>
      <c r="L2394" t="n">
        <v>0</v>
      </c>
      <c r="M2394" t="n">
        <v>0</v>
      </c>
      <c r="N2394" t="n">
        <v>0</v>
      </c>
      <c r="O2394" t="n">
        <v>0</v>
      </c>
      <c r="P2394" t="n">
        <v>0</v>
      </c>
      <c r="Q2394" t="n">
        <v>0</v>
      </c>
      <c r="R2394" s="2" t="inlineStr"/>
    </row>
    <row r="2395" ht="15" customHeight="1">
      <c r="A2395" t="inlineStr">
        <is>
          <t>A 55251-2019</t>
        </is>
      </c>
      <c r="B2395" s="1" t="n">
        <v>43755</v>
      </c>
      <c r="C2395" s="1" t="n">
        <v>45204</v>
      </c>
      <c r="D2395" t="inlineStr">
        <is>
          <t>VÄSTERBOTTENS LÄN</t>
        </is>
      </c>
      <c r="E2395" t="inlineStr">
        <is>
          <t>DOROTEA</t>
        </is>
      </c>
      <c r="F2395" t="inlineStr">
        <is>
          <t>SCA</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55507-2019</t>
        </is>
      </c>
      <c r="B2396" s="1" t="n">
        <v>43755</v>
      </c>
      <c r="C2396" s="1" t="n">
        <v>45204</v>
      </c>
      <c r="D2396" t="inlineStr">
        <is>
          <t>VÄSTERBOTTENS LÄN</t>
        </is>
      </c>
      <c r="E2396" t="inlineStr">
        <is>
          <t>NORSJÖ</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55946-2019</t>
        </is>
      </c>
      <c r="B2397" s="1" t="n">
        <v>43755</v>
      </c>
      <c r="C2397" s="1" t="n">
        <v>45204</v>
      </c>
      <c r="D2397" t="inlineStr">
        <is>
          <t>VÄSTERBOTTENS LÄN</t>
        </is>
      </c>
      <c r="E2397" t="inlineStr">
        <is>
          <t>ROBERTSFORS</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54682-2019</t>
        </is>
      </c>
      <c r="B2398" s="1" t="n">
        <v>43755</v>
      </c>
      <c r="C2398" s="1" t="n">
        <v>45204</v>
      </c>
      <c r="D2398" t="inlineStr">
        <is>
          <t>VÄSTERBOTTENS LÄN</t>
        </is>
      </c>
      <c r="E2398" t="inlineStr">
        <is>
          <t>MALÅ</t>
        </is>
      </c>
      <c r="F2398" t="inlineStr">
        <is>
          <t>Sveaskog</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54880-2019</t>
        </is>
      </c>
      <c r="B2399" s="1" t="n">
        <v>43755</v>
      </c>
      <c r="C2399" s="1" t="n">
        <v>45204</v>
      </c>
      <c r="D2399" t="inlineStr">
        <is>
          <t>VÄSTERBOTTENS LÄN</t>
        </is>
      </c>
      <c r="E2399" t="inlineStr">
        <is>
          <t>UMEÅ</t>
        </is>
      </c>
      <c r="F2399" t="inlineStr">
        <is>
          <t>Holmen skog AB</t>
        </is>
      </c>
      <c r="G2399" t="n">
        <v>5.7</v>
      </c>
      <c r="H2399" t="n">
        <v>0</v>
      </c>
      <c r="I2399" t="n">
        <v>0</v>
      </c>
      <c r="J2399" t="n">
        <v>0</v>
      </c>
      <c r="K2399" t="n">
        <v>0</v>
      </c>
      <c r="L2399" t="n">
        <v>0</v>
      </c>
      <c r="M2399" t="n">
        <v>0</v>
      </c>
      <c r="N2399" t="n">
        <v>0</v>
      </c>
      <c r="O2399" t="n">
        <v>0</v>
      </c>
      <c r="P2399" t="n">
        <v>0</v>
      </c>
      <c r="Q2399" t="n">
        <v>0</v>
      </c>
      <c r="R2399" s="2" t="inlineStr"/>
    </row>
    <row r="2400" ht="15" customHeight="1">
      <c r="A2400" t="inlineStr">
        <is>
          <t>A 54919-2019</t>
        </is>
      </c>
      <c r="B2400" s="1" t="n">
        <v>43755</v>
      </c>
      <c r="C2400" s="1" t="n">
        <v>45204</v>
      </c>
      <c r="D2400" t="inlineStr">
        <is>
          <t>VÄSTERBOTTENS LÄN</t>
        </is>
      </c>
      <c r="E2400" t="inlineStr">
        <is>
          <t>MALÅ</t>
        </is>
      </c>
      <c r="F2400" t="inlineStr">
        <is>
          <t>Sveaskog</t>
        </is>
      </c>
      <c r="G2400" t="n">
        <v>4.6</v>
      </c>
      <c r="H2400" t="n">
        <v>0</v>
      </c>
      <c r="I2400" t="n">
        <v>0</v>
      </c>
      <c r="J2400" t="n">
        <v>0</v>
      </c>
      <c r="K2400" t="n">
        <v>0</v>
      </c>
      <c r="L2400" t="n">
        <v>0</v>
      </c>
      <c r="M2400" t="n">
        <v>0</v>
      </c>
      <c r="N2400" t="n">
        <v>0</v>
      </c>
      <c r="O2400" t="n">
        <v>0</v>
      </c>
      <c r="P2400" t="n">
        <v>0</v>
      </c>
      <c r="Q2400" t="n">
        <v>0</v>
      </c>
      <c r="R2400" s="2" t="inlineStr"/>
    </row>
    <row r="2401" ht="15" customHeight="1">
      <c r="A2401" t="inlineStr">
        <is>
          <t>A 54752-2019</t>
        </is>
      </c>
      <c r="B2401" s="1" t="n">
        <v>43755</v>
      </c>
      <c r="C2401" s="1" t="n">
        <v>45204</v>
      </c>
      <c r="D2401" t="inlineStr">
        <is>
          <t>VÄSTERBOTTENS LÄN</t>
        </is>
      </c>
      <c r="E2401" t="inlineStr">
        <is>
          <t>VINDELN</t>
        </is>
      </c>
      <c r="G2401" t="n">
        <v>2.8</v>
      </c>
      <c r="H2401" t="n">
        <v>0</v>
      </c>
      <c r="I2401" t="n">
        <v>0</v>
      </c>
      <c r="J2401" t="n">
        <v>0</v>
      </c>
      <c r="K2401" t="n">
        <v>0</v>
      </c>
      <c r="L2401" t="n">
        <v>0</v>
      </c>
      <c r="M2401" t="n">
        <v>0</v>
      </c>
      <c r="N2401" t="n">
        <v>0</v>
      </c>
      <c r="O2401" t="n">
        <v>0</v>
      </c>
      <c r="P2401" t="n">
        <v>0</v>
      </c>
      <c r="Q2401" t="n">
        <v>0</v>
      </c>
      <c r="R2401" s="2" t="inlineStr"/>
    </row>
    <row r="2402" ht="15" customHeight="1">
      <c r="A2402" t="inlineStr">
        <is>
          <t>A 54916-2019</t>
        </is>
      </c>
      <c r="B2402" s="1" t="n">
        <v>43755</v>
      </c>
      <c r="C2402" s="1" t="n">
        <v>45204</v>
      </c>
      <c r="D2402" t="inlineStr">
        <is>
          <t>VÄSTERBOTTENS LÄN</t>
        </is>
      </c>
      <c r="E2402" t="inlineStr">
        <is>
          <t>MALÅ</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55906-2019</t>
        </is>
      </c>
      <c r="B2403" s="1" t="n">
        <v>43755</v>
      </c>
      <c r="C2403" s="1" t="n">
        <v>45204</v>
      </c>
      <c r="D2403" t="inlineStr">
        <is>
          <t>VÄSTERBOTTENS LÄN</t>
        </is>
      </c>
      <c r="E2403" t="inlineStr">
        <is>
          <t>UMEÅ</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54931-2019</t>
        </is>
      </c>
      <c r="B2404" s="1" t="n">
        <v>43755</v>
      </c>
      <c r="C2404" s="1" t="n">
        <v>45204</v>
      </c>
      <c r="D2404" t="inlineStr">
        <is>
          <t>VÄSTERBOTTENS LÄN</t>
        </is>
      </c>
      <c r="E2404" t="inlineStr">
        <is>
          <t>ÅSELE</t>
        </is>
      </c>
      <c r="F2404" t="inlineStr">
        <is>
          <t>Holmen skog AB</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56088-2019</t>
        </is>
      </c>
      <c r="B2405" s="1" t="n">
        <v>43755</v>
      </c>
      <c r="C2405" s="1" t="n">
        <v>45204</v>
      </c>
      <c r="D2405" t="inlineStr">
        <is>
          <t>VÄSTERBOTTENS LÄN</t>
        </is>
      </c>
      <c r="E2405" t="inlineStr">
        <is>
          <t>UMEÅ</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55363-2019</t>
        </is>
      </c>
      <c r="B2406" s="1" t="n">
        <v>43756</v>
      </c>
      <c r="C2406" s="1" t="n">
        <v>45204</v>
      </c>
      <c r="D2406" t="inlineStr">
        <is>
          <t>VÄSTERBOTTENS LÄN</t>
        </is>
      </c>
      <c r="E2406" t="inlineStr">
        <is>
          <t>SKELLEFTEÅ</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55329-2019</t>
        </is>
      </c>
      <c r="B2407" s="1" t="n">
        <v>43756</v>
      </c>
      <c r="C2407" s="1" t="n">
        <v>45204</v>
      </c>
      <c r="D2407" t="inlineStr">
        <is>
          <t>VÄSTERBOTTENS LÄN</t>
        </is>
      </c>
      <c r="E2407" t="inlineStr">
        <is>
          <t>LYCKSELE</t>
        </is>
      </c>
      <c r="F2407" t="inlineStr">
        <is>
          <t>Sveaskog</t>
        </is>
      </c>
      <c r="G2407" t="n">
        <v>7.4</v>
      </c>
      <c r="H2407" t="n">
        <v>0</v>
      </c>
      <c r="I2407" t="n">
        <v>0</v>
      </c>
      <c r="J2407" t="n">
        <v>0</v>
      </c>
      <c r="K2407" t="n">
        <v>0</v>
      </c>
      <c r="L2407" t="n">
        <v>0</v>
      </c>
      <c r="M2407" t="n">
        <v>0</v>
      </c>
      <c r="N2407" t="n">
        <v>0</v>
      </c>
      <c r="O2407" t="n">
        <v>0</v>
      </c>
      <c r="P2407" t="n">
        <v>0</v>
      </c>
      <c r="Q2407" t="n">
        <v>0</v>
      </c>
      <c r="R2407" s="2" t="inlineStr"/>
    </row>
    <row r="2408" ht="15" customHeight="1">
      <c r="A2408" t="inlineStr">
        <is>
          <t>A 56258-2019</t>
        </is>
      </c>
      <c r="B2408" s="1" t="n">
        <v>43756</v>
      </c>
      <c r="C2408" s="1" t="n">
        <v>45204</v>
      </c>
      <c r="D2408" t="inlineStr">
        <is>
          <t>VÄSTERBOTTENS LÄN</t>
        </is>
      </c>
      <c r="E2408" t="inlineStr">
        <is>
          <t>ROBERTSFORS</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56278-2019</t>
        </is>
      </c>
      <c r="B2409" s="1" t="n">
        <v>43756</v>
      </c>
      <c r="C2409" s="1" t="n">
        <v>45204</v>
      </c>
      <c r="D2409" t="inlineStr">
        <is>
          <t>VÄSTERBOTTENS LÄN</t>
        </is>
      </c>
      <c r="E2409" t="inlineStr">
        <is>
          <t>STORUMAN</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55424-2019</t>
        </is>
      </c>
      <c r="B2410" s="1" t="n">
        <v>43758</v>
      </c>
      <c r="C2410" s="1" t="n">
        <v>45204</v>
      </c>
      <c r="D2410" t="inlineStr">
        <is>
          <t>VÄSTERBOTTENS LÄN</t>
        </is>
      </c>
      <c r="E2410" t="inlineStr">
        <is>
          <t>SORSELE</t>
        </is>
      </c>
      <c r="G2410" t="n">
        <v>15.5</v>
      </c>
      <c r="H2410" t="n">
        <v>0</v>
      </c>
      <c r="I2410" t="n">
        <v>0</v>
      </c>
      <c r="J2410" t="n">
        <v>0</v>
      </c>
      <c r="K2410" t="n">
        <v>0</v>
      </c>
      <c r="L2410" t="n">
        <v>0</v>
      </c>
      <c r="M2410" t="n">
        <v>0</v>
      </c>
      <c r="N2410" t="n">
        <v>0</v>
      </c>
      <c r="O2410" t="n">
        <v>0</v>
      </c>
      <c r="P2410" t="n">
        <v>0</v>
      </c>
      <c r="Q2410" t="n">
        <v>0</v>
      </c>
      <c r="R2410" s="2" t="inlineStr"/>
    </row>
    <row r="2411" ht="15" customHeight="1">
      <c r="A2411" t="inlineStr">
        <is>
          <t>A 55395-2019</t>
        </is>
      </c>
      <c r="B2411" s="1" t="n">
        <v>43758</v>
      </c>
      <c r="C2411" s="1" t="n">
        <v>45204</v>
      </c>
      <c r="D2411" t="inlineStr">
        <is>
          <t>VÄSTERBOTTENS LÄN</t>
        </is>
      </c>
      <c r="E2411" t="inlineStr">
        <is>
          <t>LYCKSELE</t>
        </is>
      </c>
      <c r="F2411" t="inlineStr">
        <is>
          <t>Sveaskog</t>
        </is>
      </c>
      <c r="G2411" t="n">
        <v>8.800000000000001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55396-2019</t>
        </is>
      </c>
      <c r="B2412" s="1" t="n">
        <v>43758</v>
      </c>
      <c r="C2412" s="1" t="n">
        <v>45204</v>
      </c>
      <c r="D2412" t="inlineStr">
        <is>
          <t>VÄSTERBOTTENS LÄN</t>
        </is>
      </c>
      <c r="E2412" t="inlineStr">
        <is>
          <t>LYCKSELE</t>
        </is>
      </c>
      <c r="F2412" t="inlineStr">
        <is>
          <t>Sveaskog</t>
        </is>
      </c>
      <c r="G2412" t="n">
        <v>17.5</v>
      </c>
      <c r="H2412" t="n">
        <v>0</v>
      </c>
      <c r="I2412" t="n">
        <v>0</v>
      </c>
      <c r="J2412" t="n">
        <v>0</v>
      </c>
      <c r="K2412" t="n">
        <v>0</v>
      </c>
      <c r="L2412" t="n">
        <v>0</v>
      </c>
      <c r="M2412" t="n">
        <v>0</v>
      </c>
      <c r="N2412" t="n">
        <v>0</v>
      </c>
      <c r="O2412" t="n">
        <v>0</v>
      </c>
      <c r="P2412" t="n">
        <v>0</v>
      </c>
      <c r="Q2412" t="n">
        <v>0</v>
      </c>
      <c r="R2412" s="2" t="inlineStr"/>
    </row>
    <row r="2413" ht="15" customHeight="1">
      <c r="A2413" t="inlineStr">
        <is>
          <t>A 55480-2019</t>
        </is>
      </c>
      <c r="B2413" s="1" t="n">
        <v>43759</v>
      </c>
      <c r="C2413" s="1" t="n">
        <v>45204</v>
      </c>
      <c r="D2413" t="inlineStr">
        <is>
          <t>VÄSTERBOTTENS LÄN</t>
        </is>
      </c>
      <c r="E2413" t="inlineStr">
        <is>
          <t>ROBERTSFORS</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55489-2019</t>
        </is>
      </c>
      <c r="B2414" s="1" t="n">
        <v>43759</v>
      </c>
      <c r="C2414" s="1" t="n">
        <v>45204</v>
      </c>
      <c r="D2414" t="inlineStr">
        <is>
          <t>VÄSTERBOTTENS LÄN</t>
        </is>
      </c>
      <c r="E2414" t="inlineStr">
        <is>
          <t>SKELLEFTEÅ</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56679-2019</t>
        </is>
      </c>
      <c r="B2415" s="1" t="n">
        <v>43759</v>
      </c>
      <c r="C2415" s="1" t="n">
        <v>45204</v>
      </c>
      <c r="D2415" t="inlineStr">
        <is>
          <t>VÄSTERBOTTENS LÄN</t>
        </is>
      </c>
      <c r="E2415" t="inlineStr">
        <is>
          <t>LYCKSELE</t>
        </is>
      </c>
      <c r="G2415" t="n">
        <v>10.3</v>
      </c>
      <c r="H2415" t="n">
        <v>0</v>
      </c>
      <c r="I2415" t="n">
        <v>0</v>
      </c>
      <c r="J2415" t="n">
        <v>0</v>
      </c>
      <c r="K2415" t="n">
        <v>0</v>
      </c>
      <c r="L2415" t="n">
        <v>0</v>
      </c>
      <c r="M2415" t="n">
        <v>0</v>
      </c>
      <c r="N2415" t="n">
        <v>0</v>
      </c>
      <c r="O2415" t="n">
        <v>0</v>
      </c>
      <c r="P2415" t="n">
        <v>0</v>
      </c>
      <c r="Q2415" t="n">
        <v>0</v>
      </c>
      <c r="R2415" s="2" t="inlineStr"/>
    </row>
    <row r="2416" ht="15" customHeight="1">
      <c r="A2416" t="inlineStr">
        <is>
          <t>A 56972-2019</t>
        </is>
      </c>
      <c r="B2416" s="1" t="n">
        <v>43759</v>
      </c>
      <c r="C2416" s="1" t="n">
        <v>45204</v>
      </c>
      <c r="D2416" t="inlineStr">
        <is>
          <t>VÄSTERBOTTENS LÄN</t>
        </is>
      </c>
      <c r="E2416" t="inlineStr">
        <is>
          <t>VINDELN</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57264-2019</t>
        </is>
      </c>
      <c r="B2417" s="1" t="n">
        <v>43759</v>
      </c>
      <c r="C2417" s="1" t="n">
        <v>45204</v>
      </c>
      <c r="D2417" t="inlineStr">
        <is>
          <t>VÄSTERBOTTENS LÄN</t>
        </is>
      </c>
      <c r="E2417" t="inlineStr">
        <is>
          <t>DOROTEA</t>
        </is>
      </c>
      <c r="F2417" t="inlineStr">
        <is>
          <t>SCA</t>
        </is>
      </c>
      <c r="G2417" t="n">
        <v>41.4</v>
      </c>
      <c r="H2417" t="n">
        <v>0</v>
      </c>
      <c r="I2417" t="n">
        <v>0</v>
      </c>
      <c r="J2417" t="n">
        <v>0</v>
      </c>
      <c r="K2417" t="n">
        <v>0</v>
      </c>
      <c r="L2417" t="n">
        <v>0</v>
      </c>
      <c r="M2417" t="n">
        <v>0</v>
      </c>
      <c r="N2417" t="n">
        <v>0</v>
      </c>
      <c r="O2417" t="n">
        <v>0</v>
      </c>
      <c r="P2417" t="n">
        <v>0</v>
      </c>
      <c r="Q2417" t="n">
        <v>0</v>
      </c>
      <c r="R2417" s="2" t="inlineStr"/>
    </row>
    <row r="2418" ht="15" customHeight="1">
      <c r="A2418" t="inlineStr">
        <is>
          <t>A 55459-2019</t>
        </is>
      </c>
      <c r="B2418" s="1" t="n">
        <v>43759</v>
      </c>
      <c r="C2418" s="1" t="n">
        <v>45204</v>
      </c>
      <c r="D2418" t="inlineStr">
        <is>
          <t>VÄSTERBOTTENS LÄN</t>
        </is>
      </c>
      <c r="E2418" t="inlineStr">
        <is>
          <t>SKELLEFTEÅ</t>
        </is>
      </c>
      <c r="G2418" t="n">
        <v>14.5</v>
      </c>
      <c r="H2418" t="n">
        <v>0</v>
      </c>
      <c r="I2418" t="n">
        <v>0</v>
      </c>
      <c r="J2418" t="n">
        <v>0</v>
      </c>
      <c r="K2418" t="n">
        <v>0</v>
      </c>
      <c r="L2418" t="n">
        <v>0</v>
      </c>
      <c r="M2418" t="n">
        <v>0</v>
      </c>
      <c r="N2418" t="n">
        <v>0</v>
      </c>
      <c r="O2418" t="n">
        <v>0</v>
      </c>
      <c r="P2418" t="n">
        <v>0</v>
      </c>
      <c r="Q2418" t="n">
        <v>0</v>
      </c>
      <c r="R2418" s="2" t="inlineStr"/>
    </row>
    <row r="2419" ht="15" customHeight="1">
      <c r="A2419" t="inlineStr">
        <is>
          <t>A 56685-2019</t>
        </is>
      </c>
      <c r="B2419" s="1" t="n">
        <v>43759</v>
      </c>
      <c r="C2419" s="1" t="n">
        <v>45204</v>
      </c>
      <c r="D2419" t="inlineStr">
        <is>
          <t>VÄSTERBOTTENS LÄN</t>
        </is>
      </c>
      <c r="E2419" t="inlineStr">
        <is>
          <t>LYCKSELE</t>
        </is>
      </c>
      <c r="G2419" t="n">
        <v>9.6</v>
      </c>
      <c r="H2419" t="n">
        <v>0</v>
      </c>
      <c r="I2419" t="n">
        <v>0</v>
      </c>
      <c r="J2419" t="n">
        <v>0</v>
      </c>
      <c r="K2419" t="n">
        <v>0</v>
      </c>
      <c r="L2419" t="n">
        <v>0</v>
      </c>
      <c r="M2419" t="n">
        <v>0</v>
      </c>
      <c r="N2419" t="n">
        <v>0</v>
      </c>
      <c r="O2419" t="n">
        <v>0</v>
      </c>
      <c r="P2419" t="n">
        <v>0</v>
      </c>
      <c r="Q2419" t="n">
        <v>0</v>
      </c>
      <c r="R2419" s="2" t="inlineStr"/>
    </row>
    <row r="2420" ht="15" customHeight="1">
      <c r="A2420" t="inlineStr">
        <is>
          <t>A 57129-2019</t>
        </is>
      </c>
      <c r="B2420" s="1" t="n">
        <v>43759</v>
      </c>
      <c r="C2420" s="1" t="n">
        <v>45204</v>
      </c>
      <c r="D2420" t="inlineStr">
        <is>
          <t>VÄSTERBOTTENS LÄN</t>
        </is>
      </c>
      <c r="E2420" t="inlineStr">
        <is>
          <t>DOROTEA</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55475-2019</t>
        </is>
      </c>
      <c r="B2421" s="1" t="n">
        <v>43759</v>
      </c>
      <c r="C2421" s="1" t="n">
        <v>45204</v>
      </c>
      <c r="D2421" t="inlineStr">
        <is>
          <t>VÄSTERBOTTENS LÄN</t>
        </is>
      </c>
      <c r="E2421" t="inlineStr">
        <is>
          <t>ROBERTSFORS</t>
        </is>
      </c>
      <c r="G2421" t="n">
        <v>6.6</v>
      </c>
      <c r="H2421" t="n">
        <v>0</v>
      </c>
      <c r="I2421" t="n">
        <v>0</v>
      </c>
      <c r="J2421" t="n">
        <v>0</v>
      </c>
      <c r="K2421" t="n">
        <v>0</v>
      </c>
      <c r="L2421" t="n">
        <v>0</v>
      </c>
      <c r="M2421" t="n">
        <v>0</v>
      </c>
      <c r="N2421" t="n">
        <v>0</v>
      </c>
      <c r="O2421" t="n">
        <v>0</v>
      </c>
      <c r="P2421" t="n">
        <v>0</v>
      </c>
      <c r="Q2421" t="n">
        <v>0</v>
      </c>
      <c r="R2421" s="2" t="inlineStr"/>
    </row>
    <row r="2422" ht="15" customHeight="1">
      <c r="A2422" t="inlineStr">
        <is>
          <t>A 55432-2019</t>
        </is>
      </c>
      <c r="B2422" s="1" t="n">
        <v>43760</v>
      </c>
      <c r="C2422" s="1" t="n">
        <v>45204</v>
      </c>
      <c r="D2422" t="inlineStr">
        <is>
          <t>VÄSTERBOTTENS LÄN</t>
        </is>
      </c>
      <c r="E2422" t="inlineStr">
        <is>
          <t>ÅSELE</t>
        </is>
      </c>
      <c r="G2422" t="n">
        <v>8.800000000000001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55684-2019</t>
        </is>
      </c>
      <c r="B2423" s="1" t="n">
        <v>43760</v>
      </c>
      <c r="C2423" s="1" t="n">
        <v>45204</v>
      </c>
      <c r="D2423" t="inlineStr">
        <is>
          <t>VÄSTERBOTTENS LÄN</t>
        </is>
      </c>
      <c r="E2423" t="inlineStr">
        <is>
          <t>NORDMALING</t>
        </is>
      </c>
      <c r="F2423" t="inlineStr">
        <is>
          <t>SCA</t>
        </is>
      </c>
      <c r="G2423" t="n">
        <v>3</v>
      </c>
      <c r="H2423" t="n">
        <v>0</v>
      </c>
      <c r="I2423" t="n">
        <v>0</v>
      </c>
      <c r="J2423" t="n">
        <v>0</v>
      </c>
      <c r="K2423" t="n">
        <v>0</v>
      </c>
      <c r="L2423" t="n">
        <v>0</v>
      </c>
      <c r="M2423" t="n">
        <v>0</v>
      </c>
      <c r="N2423" t="n">
        <v>0</v>
      </c>
      <c r="O2423" t="n">
        <v>0</v>
      </c>
      <c r="P2423" t="n">
        <v>0</v>
      </c>
      <c r="Q2423" t="n">
        <v>0</v>
      </c>
      <c r="R2423" s="2" t="inlineStr"/>
    </row>
    <row r="2424" ht="15" customHeight="1">
      <c r="A2424" t="inlineStr">
        <is>
          <t>A 55899-2019</t>
        </is>
      </c>
      <c r="B2424" s="1" t="n">
        <v>43761</v>
      </c>
      <c r="C2424" s="1" t="n">
        <v>45204</v>
      </c>
      <c r="D2424" t="inlineStr">
        <is>
          <t>VÄSTERBOTTENS LÄN</t>
        </is>
      </c>
      <c r="E2424" t="inlineStr">
        <is>
          <t>DOROTEA</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56191-2019</t>
        </is>
      </c>
      <c r="B2425" s="1" t="n">
        <v>43761</v>
      </c>
      <c r="C2425" s="1" t="n">
        <v>45204</v>
      </c>
      <c r="D2425" t="inlineStr">
        <is>
          <t>VÄSTERBOTTENS LÄN</t>
        </is>
      </c>
      <c r="E2425" t="inlineStr">
        <is>
          <t>LYCKSELE</t>
        </is>
      </c>
      <c r="F2425" t="inlineStr">
        <is>
          <t>SCA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55885-2019</t>
        </is>
      </c>
      <c r="B2426" s="1" t="n">
        <v>43761</v>
      </c>
      <c r="C2426" s="1" t="n">
        <v>45204</v>
      </c>
      <c r="D2426" t="inlineStr">
        <is>
          <t>VÄSTERBOTTENS LÄN</t>
        </is>
      </c>
      <c r="E2426" t="inlineStr">
        <is>
          <t>ÅSELE</t>
        </is>
      </c>
      <c r="G2426" t="n">
        <v>4.1</v>
      </c>
      <c r="H2426" t="n">
        <v>0</v>
      </c>
      <c r="I2426" t="n">
        <v>0</v>
      </c>
      <c r="J2426" t="n">
        <v>0</v>
      </c>
      <c r="K2426" t="n">
        <v>0</v>
      </c>
      <c r="L2426" t="n">
        <v>0</v>
      </c>
      <c r="M2426" t="n">
        <v>0</v>
      </c>
      <c r="N2426" t="n">
        <v>0</v>
      </c>
      <c r="O2426" t="n">
        <v>0</v>
      </c>
      <c r="P2426" t="n">
        <v>0</v>
      </c>
      <c r="Q2426" t="n">
        <v>0</v>
      </c>
      <c r="R2426" s="2" t="inlineStr"/>
    </row>
    <row r="2427" ht="15" customHeight="1">
      <c r="A2427" t="inlineStr">
        <is>
          <t>A 55897-2019</t>
        </is>
      </c>
      <c r="B2427" s="1" t="n">
        <v>43761</v>
      </c>
      <c r="C2427" s="1" t="n">
        <v>45204</v>
      </c>
      <c r="D2427" t="inlineStr">
        <is>
          <t>VÄSTERBOTTENS LÄN</t>
        </is>
      </c>
      <c r="E2427" t="inlineStr">
        <is>
          <t>MALÅ</t>
        </is>
      </c>
      <c r="F2427" t="inlineStr">
        <is>
          <t>Sveaskog</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55895-2019</t>
        </is>
      </c>
      <c r="B2428" s="1" t="n">
        <v>43761</v>
      </c>
      <c r="C2428" s="1" t="n">
        <v>45204</v>
      </c>
      <c r="D2428" t="inlineStr">
        <is>
          <t>VÄSTERBOTTENS LÄN</t>
        </is>
      </c>
      <c r="E2428" t="inlineStr">
        <is>
          <t>DOROTEA</t>
        </is>
      </c>
      <c r="G2428" t="n">
        <v>8.1</v>
      </c>
      <c r="H2428" t="n">
        <v>0</v>
      </c>
      <c r="I2428" t="n">
        <v>0</v>
      </c>
      <c r="J2428" t="n">
        <v>0</v>
      </c>
      <c r="K2428" t="n">
        <v>0</v>
      </c>
      <c r="L2428" t="n">
        <v>0</v>
      </c>
      <c r="M2428" t="n">
        <v>0</v>
      </c>
      <c r="N2428" t="n">
        <v>0</v>
      </c>
      <c r="O2428" t="n">
        <v>0</v>
      </c>
      <c r="P2428" t="n">
        <v>0</v>
      </c>
      <c r="Q2428" t="n">
        <v>0</v>
      </c>
      <c r="R2428" s="2" t="inlineStr"/>
    </row>
    <row r="2429" ht="15" customHeight="1">
      <c r="A2429" t="inlineStr">
        <is>
          <t>A 55948-2019</t>
        </is>
      </c>
      <c r="B2429" s="1" t="n">
        <v>43761</v>
      </c>
      <c r="C2429" s="1" t="n">
        <v>45204</v>
      </c>
      <c r="D2429" t="inlineStr">
        <is>
          <t>VÄSTERBOTTENS LÄN</t>
        </is>
      </c>
      <c r="E2429" t="inlineStr">
        <is>
          <t>VINDELN</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56120-2019</t>
        </is>
      </c>
      <c r="B2430" s="1" t="n">
        <v>43761</v>
      </c>
      <c r="C2430" s="1" t="n">
        <v>45204</v>
      </c>
      <c r="D2430" t="inlineStr">
        <is>
          <t>VÄSTERBOTTENS LÄN</t>
        </is>
      </c>
      <c r="E2430" t="inlineStr">
        <is>
          <t>DOROTEA</t>
        </is>
      </c>
      <c r="G2430" t="n">
        <v>8.9</v>
      </c>
      <c r="H2430" t="n">
        <v>0</v>
      </c>
      <c r="I2430" t="n">
        <v>0</v>
      </c>
      <c r="J2430" t="n">
        <v>0</v>
      </c>
      <c r="K2430" t="n">
        <v>0</v>
      </c>
      <c r="L2430" t="n">
        <v>0</v>
      </c>
      <c r="M2430" t="n">
        <v>0</v>
      </c>
      <c r="N2430" t="n">
        <v>0</v>
      </c>
      <c r="O2430" t="n">
        <v>0</v>
      </c>
      <c r="P2430" t="n">
        <v>0</v>
      </c>
      <c r="Q2430" t="n">
        <v>0</v>
      </c>
      <c r="R2430" s="2" t="inlineStr"/>
    </row>
    <row r="2431" ht="15" customHeight="1">
      <c r="A2431" t="inlineStr">
        <is>
          <t>A 57652-2019</t>
        </is>
      </c>
      <c r="B2431" s="1" t="n">
        <v>43761</v>
      </c>
      <c r="C2431" s="1" t="n">
        <v>45204</v>
      </c>
      <c r="D2431" t="inlineStr">
        <is>
          <t>VÄSTERBOTTENS LÄN</t>
        </is>
      </c>
      <c r="E2431" t="inlineStr">
        <is>
          <t>NORSJÖ</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56284-2019</t>
        </is>
      </c>
      <c r="B2432" s="1" t="n">
        <v>43762</v>
      </c>
      <c r="C2432" s="1" t="n">
        <v>45204</v>
      </c>
      <c r="D2432" t="inlineStr">
        <is>
          <t>VÄSTERBOTTENS LÄN</t>
        </is>
      </c>
      <c r="E2432" t="inlineStr">
        <is>
          <t>SKELLEFTEÅ</t>
        </is>
      </c>
      <c r="F2432" t="inlineStr">
        <is>
          <t>Holmen skog AB</t>
        </is>
      </c>
      <c r="G2432" t="n">
        <v>2.7</v>
      </c>
      <c r="H2432" t="n">
        <v>0</v>
      </c>
      <c r="I2432" t="n">
        <v>0</v>
      </c>
      <c r="J2432" t="n">
        <v>0</v>
      </c>
      <c r="K2432" t="n">
        <v>0</v>
      </c>
      <c r="L2432" t="n">
        <v>0</v>
      </c>
      <c r="M2432" t="n">
        <v>0</v>
      </c>
      <c r="N2432" t="n">
        <v>0</v>
      </c>
      <c r="O2432" t="n">
        <v>0</v>
      </c>
      <c r="P2432" t="n">
        <v>0</v>
      </c>
      <c r="Q2432" t="n">
        <v>0</v>
      </c>
      <c r="R2432" s="2" t="inlineStr"/>
    </row>
    <row r="2433" ht="15" customHeight="1">
      <c r="A2433" t="inlineStr">
        <is>
          <t>A 57906-2019</t>
        </is>
      </c>
      <c r="B2433" s="1" t="n">
        <v>43762</v>
      </c>
      <c r="C2433" s="1" t="n">
        <v>45204</v>
      </c>
      <c r="D2433" t="inlineStr">
        <is>
          <t>VÄSTERBOTTENS LÄN</t>
        </is>
      </c>
      <c r="E2433" t="inlineStr">
        <is>
          <t>VILHELMINA</t>
        </is>
      </c>
      <c r="F2433" t="inlineStr">
        <is>
          <t>Allmännings- och besparingsskogar</t>
        </is>
      </c>
      <c r="G2433" t="n">
        <v>5.3</v>
      </c>
      <c r="H2433" t="n">
        <v>0</v>
      </c>
      <c r="I2433" t="n">
        <v>0</v>
      </c>
      <c r="J2433" t="n">
        <v>0</v>
      </c>
      <c r="K2433" t="n">
        <v>0</v>
      </c>
      <c r="L2433" t="n">
        <v>0</v>
      </c>
      <c r="M2433" t="n">
        <v>0</v>
      </c>
      <c r="N2433" t="n">
        <v>0</v>
      </c>
      <c r="O2433" t="n">
        <v>0</v>
      </c>
      <c r="P2433" t="n">
        <v>0</v>
      </c>
      <c r="Q2433" t="n">
        <v>0</v>
      </c>
      <c r="R2433" s="2" t="inlineStr"/>
    </row>
    <row r="2434" ht="15" customHeight="1">
      <c r="A2434" t="inlineStr">
        <is>
          <t>A 57974-2019</t>
        </is>
      </c>
      <c r="B2434" s="1" t="n">
        <v>43762</v>
      </c>
      <c r="C2434" s="1" t="n">
        <v>45204</v>
      </c>
      <c r="D2434" t="inlineStr">
        <is>
          <t>VÄSTERBOTTENS LÄN</t>
        </is>
      </c>
      <c r="E2434" t="inlineStr">
        <is>
          <t>SORSELE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56504-2019</t>
        </is>
      </c>
      <c r="B2435" s="1" t="n">
        <v>43762</v>
      </c>
      <c r="C2435" s="1" t="n">
        <v>45204</v>
      </c>
      <c r="D2435" t="inlineStr">
        <is>
          <t>VÄSTERBOTTENS LÄN</t>
        </is>
      </c>
      <c r="E2435" t="inlineStr">
        <is>
          <t>VINDELN</t>
        </is>
      </c>
      <c r="G2435" t="n">
        <v>4.1</v>
      </c>
      <c r="H2435" t="n">
        <v>0</v>
      </c>
      <c r="I2435" t="n">
        <v>0</v>
      </c>
      <c r="J2435" t="n">
        <v>0</v>
      </c>
      <c r="K2435" t="n">
        <v>0</v>
      </c>
      <c r="L2435" t="n">
        <v>0</v>
      </c>
      <c r="M2435" t="n">
        <v>0</v>
      </c>
      <c r="N2435" t="n">
        <v>0</v>
      </c>
      <c r="O2435" t="n">
        <v>0</v>
      </c>
      <c r="P2435" t="n">
        <v>0</v>
      </c>
      <c r="Q2435" t="n">
        <v>0</v>
      </c>
      <c r="R2435" s="2" t="inlineStr"/>
    </row>
    <row r="2436" ht="15" customHeight="1">
      <c r="A2436" t="inlineStr">
        <is>
          <t>A 57972-2019</t>
        </is>
      </c>
      <c r="B2436" s="1" t="n">
        <v>43762</v>
      </c>
      <c r="C2436" s="1" t="n">
        <v>45204</v>
      </c>
      <c r="D2436" t="inlineStr">
        <is>
          <t>VÄSTERBOTTENS LÄN</t>
        </is>
      </c>
      <c r="E2436" t="inlineStr">
        <is>
          <t>LYCKSELE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57940-2019</t>
        </is>
      </c>
      <c r="B2437" s="1" t="n">
        <v>43762</v>
      </c>
      <c r="C2437" s="1" t="n">
        <v>45204</v>
      </c>
      <c r="D2437" t="inlineStr">
        <is>
          <t>VÄSTERBOTTENS LÄN</t>
        </is>
      </c>
      <c r="E2437" t="inlineStr">
        <is>
          <t>VILHELMINA</t>
        </is>
      </c>
      <c r="F2437" t="inlineStr">
        <is>
          <t>Allmännings- och besparingsskogar</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56269-2019</t>
        </is>
      </c>
      <c r="B2438" s="1" t="n">
        <v>43762</v>
      </c>
      <c r="C2438" s="1" t="n">
        <v>45204</v>
      </c>
      <c r="D2438" t="inlineStr">
        <is>
          <t>VÄSTERBOTTENS LÄN</t>
        </is>
      </c>
      <c r="E2438" t="inlineStr">
        <is>
          <t>MALÅ</t>
        </is>
      </c>
      <c r="F2438" t="inlineStr">
        <is>
          <t>Sveaskog</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56786-2019</t>
        </is>
      </c>
      <c r="B2439" s="1" t="n">
        <v>43763</v>
      </c>
      <c r="C2439" s="1" t="n">
        <v>45204</v>
      </c>
      <c r="D2439" t="inlineStr">
        <is>
          <t>VÄSTERBOTTENS LÄN</t>
        </is>
      </c>
      <c r="E2439" t="inlineStr">
        <is>
          <t>SKELLEFTEÅ</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56817-2019</t>
        </is>
      </c>
      <c r="B2440" s="1" t="n">
        <v>43763</v>
      </c>
      <c r="C2440" s="1" t="n">
        <v>45204</v>
      </c>
      <c r="D2440" t="inlineStr">
        <is>
          <t>VÄSTERBOTTENS LÄN</t>
        </is>
      </c>
      <c r="E2440" t="inlineStr">
        <is>
          <t>NORDMALING</t>
        </is>
      </c>
      <c r="F2440" t="inlineStr">
        <is>
          <t>SCA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56648-2019</t>
        </is>
      </c>
      <c r="B2441" s="1" t="n">
        <v>43763</v>
      </c>
      <c r="C2441" s="1" t="n">
        <v>45204</v>
      </c>
      <c r="D2441" t="inlineStr">
        <is>
          <t>VÄSTERBOTTENS LÄN</t>
        </is>
      </c>
      <c r="E2441" t="inlineStr">
        <is>
          <t>ROBERTSFORS</t>
        </is>
      </c>
      <c r="F2441" t="inlineStr">
        <is>
          <t>Holmen skog AB</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56794-2019</t>
        </is>
      </c>
      <c r="B2442" s="1" t="n">
        <v>43763</v>
      </c>
      <c r="C2442" s="1" t="n">
        <v>45204</v>
      </c>
      <c r="D2442" t="inlineStr">
        <is>
          <t>VÄSTERBOTTENS LÄN</t>
        </is>
      </c>
      <c r="E2442" t="inlineStr">
        <is>
          <t>VINDELN</t>
        </is>
      </c>
      <c r="F2442" t="inlineStr">
        <is>
          <t>SCA</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56833-2019</t>
        </is>
      </c>
      <c r="B2443" s="1" t="n">
        <v>43765</v>
      </c>
      <c r="C2443" s="1" t="n">
        <v>45204</v>
      </c>
      <c r="D2443" t="inlineStr">
        <is>
          <t>VÄSTERBOTTENS LÄN</t>
        </is>
      </c>
      <c r="E2443" t="inlineStr">
        <is>
          <t>VILHELMINA</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58561-2019</t>
        </is>
      </c>
      <c r="B2444" s="1" t="n">
        <v>43766</v>
      </c>
      <c r="C2444" s="1" t="n">
        <v>45204</v>
      </c>
      <c r="D2444" t="inlineStr">
        <is>
          <t>VÄSTERBOTTENS LÄN</t>
        </is>
      </c>
      <c r="E2444" t="inlineStr">
        <is>
          <t>SORSELE</t>
        </is>
      </c>
      <c r="G2444" t="n">
        <v>12.3</v>
      </c>
      <c r="H2444" t="n">
        <v>0</v>
      </c>
      <c r="I2444" t="n">
        <v>0</v>
      </c>
      <c r="J2444" t="n">
        <v>0</v>
      </c>
      <c r="K2444" t="n">
        <v>0</v>
      </c>
      <c r="L2444" t="n">
        <v>0</v>
      </c>
      <c r="M2444" t="n">
        <v>0</v>
      </c>
      <c r="N2444" t="n">
        <v>0</v>
      </c>
      <c r="O2444" t="n">
        <v>0</v>
      </c>
      <c r="P2444" t="n">
        <v>0</v>
      </c>
      <c r="Q2444" t="n">
        <v>0</v>
      </c>
      <c r="R2444" s="2" t="inlineStr"/>
    </row>
    <row r="2445" ht="15" customHeight="1">
      <c r="A2445" t="inlineStr">
        <is>
          <t>A 57046-2019</t>
        </is>
      </c>
      <c r="B2445" s="1" t="n">
        <v>43766</v>
      </c>
      <c r="C2445" s="1" t="n">
        <v>45204</v>
      </c>
      <c r="D2445" t="inlineStr">
        <is>
          <t>VÄSTERBOTTENS LÄN</t>
        </is>
      </c>
      <c r="E2445" t="inlineStr">
        <is>
          <t>NORSJÖ</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58541-2019</t>
        </is>
      </c>
      <c r="B2446" s="1" t="n">
        <v>43766</v>
      </c>
      <c r="C2446" s="1" t="n">
        <v>45204</v>
      </c>
      <c r="D2446" t="inlineStr">
        <is>
          <t>VÄSTERBOTTENS LÄN</t>
        </is>
      </c>
      <c r="E2446" t="inlineStr">
        <is>
          <t>NORSJÖ</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58568-2019</t>
        </is>
      </c>
      <c r="B2447" s="1" t="n">
        <v>43766</v>
      </c>
      <c r="C2447" s="1" t="n">
        <v>45204</v>
      </c>
      <c r="D2447" t="inlineStr">
        <is>
          <t>VÄSTERBOTTENS LÄN</t>
        </is>
      </c>
      <c r="E2447" t="inlineStr">
        <is>
          <t>SORSELE</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57205-2019</t>
        </is>
      </c>
      <c r="B2448" s="1" t="n">
        <v>43767</v>
      </c>
      <c r="C2448" s="1" t="n">
        <v>45204</v>
      </c>
      <c r="D2448" t="inlineStr">
        <is>
          <t>VÄSTERBOTTENS LÄN</t>
        </is>
      </c>
      <c r="E2448" t="inlineStr">
        <is>
          <t>MALÅ</t>
        </is>
      </c>
      <c r="F2448" t="inlineStr">
        <is>
          <t>Sveaskog</t>
        </is>
      </c>
      <c r="G2448" t="n">
        <v>18.7</v>
      </c>
      <c r="H2448" t="n">
        <v>0</v>
      </c>
      <c r="I2448" t="n">
        <v>0</v>
      </c>
      <c r="J2448" t="n">
        <v>0</v>
      </c>
      <c r="K2448" t="n">
        <v>0</v>
      </c>
      <c r="L2448" t="n">
        <v>0</v>
      </c>
      <c r="M2448" t="n">
        <v>0</v>
      </c>
      <c r="N2448" t="n">
        <v>0</v>
      </c>
      <c r="O2448" t="n">
        <v>0</v>
      </c>
      <c r="P2448" t="n">
        <v>0</v>
      </c>
      <c r="Q2448" t="n">
        <v>0</v>
      </c>
      <c r="R2448" s="2" t="inlineStr"/>
    </row>
    <row r="2449" ht="15" customHeight="1">
      <c r="A2449" t="inlineStr">
        <is>
          <t>A 57374-2019</t>
        </is>
      </c>
      <c r="B2449" s="1" t="n">
        <v>43767</v>
      </c>
      <c r="C2449" s="1" t="n">
        <v>45204</v>
      </c>
      <c r="D2449" t="inlineStr">
        <is>
          <t>VÄSTERBOTTENS LÄN</t>
        </is>
      </c>
      <c r="E2449" t="inlineStr">
        <is>
          <t>ROBERTSFORS</t>
        </is>
      </c>
      <c r="F2449" t="inlineStr">
        <is>
          <t>Holmen skog AB</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58655-2019</t>
        </is>
      </c>
      <c r="B2450" s="1" t="n">
        <v>43767</v>
      </c>
      <c r="C2450" s="1" t="n">
        <v>45204</v>
      </c>
      <c r="D2450" t="inlineStr">
        <is>
          <t>VÄSTERBOTTENS LÄN</t>
        </is>
      </c>
      <c r="E2450" t="inlineStr">
        <is>
          <t>LYCKSELE</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57206-2019</t>
        </is>
      </c>
      <c r="B2451" s="1" t="n">
        <v>43767</v>
      </c>
      <c r="C2451" s="1" t="n">
        <v>45204</v>
      </c>
      <c r="D2451" t="inlineStr">
        <is>
          <t>VÄSTERBOTTENS LÄN</t>
        </is>
      </c>
      <c r="E2451" t="inlineStr">
        <is>
          <t>ROBERTSFORS</t>
        </is>
      </c>
      <c r="F2451" t="inlineStr">
        <is>
          <t>Holmen skog AB</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57312-2019</t>
        </is>
      </c>
      <c r="B2452" s="1" t="n">
        <v>43767</v>
      </c>
      <c r="C2452" s="1" t="n">
        <v>45204</v>
      </c>
      <c r="D2452" t="inlineStr">
        <is>
          <t>VÄSTERBOTTENS LÄN</t>
        </is>
      </c>
      <c r="E2452" t="inlineStr">
        <is>
          <t>ROBERTSFORS</t>
        </is>
      </c>
      <c r="F2452" t="inlineStr">
        <is>
          <t>Holmen skog AB</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57697-2019</t>
        </is>
      </c>
      <c r="B2453" s="1" t="n">
        <v>43768</v>
      </c>
      <c r="C2453" s="1" t="n">
        <v>45204</v>
      </c>
      <c r="D2453" t="inlineStr">
        <is>
          <t>VÄSTERBOTTENS LÄN</t>
        </is>
      </c>
      <c r="E2453" t="inlineStr">
        <is>
          <t>ÅSELE</t>
        </is>
      </c>
      <c r="F2453" t="inlineStr">
        <is>
          <t>Sveaskog</t>
        </is>
      </c>
      <c r="G2453" t="n">
        <v>2.5</v>
      </c>
      <c r="H2453" t="n">
        <v>0</v>
      </c>
      <c r="I2453" t="n">
        <v>0</v>
      </c>
      <c r="J2453" t="n">
        <v>0</v>
      </c>
      <c r="K2453" t="n">
        <v>0</v>
      </c>
      <c r="L2453" t="n">
        <v>0</v>
      </c>
      <c r="M2453" t="n">
        <v>0</v>
      </c>
      <c r="N2453" t="n">
        <v>0</v>
      </c>
      <c r="O2453" t="n">
        <v>0</v>
      </c>
      <c r="P2453" t="n">
        <v>0</v>
      </c>
      <c r="Q2453" t="n">
        <v>0</v>
      </c>
      <c r="R2453" s="2" t="inlineStr"/>
    </row>
    <row r="2454" ht="15" customHeight="1">
      <c r="A2454" t="inlineStr">
        <is>
          <t>A 58741-2019</t>
        </is>
      </c>
      <c r="B2454" s="1" t="n">
        <v>43768</v>
      </c>
      <c r="C2454" s="1" t="n">
        <v>45204</v>
      </c>
      <c r="D2454" t="inlineStr">
        <is>
          <t>VÄSTERBOTTENS LÄN</t>
        </is>
      </c>
      <c r="E2454" t="inlineStr">
        <is>
          <t>VINDELN</t>
        </is>
      </c>
      <c r="G2454" t="n">
        <v>5.7</v>
      </c>
      <c r="H2454" t="n">
        <v>0</v>
      </c>
      <c r="I2454" t="n">
        <v>0</v>
      </c>
      <c r="J2454" t="n">
        <v>0</v>
      </c>
      <c r="K2454" t="n">
        <v>0</v>
      </c>
      <c r="L2454" t="n">
        <v>0</v>
      </c>
      <c r="M2454" t="n">
        <v>0</v>
      </c>
      <c r="N2454" t="n">
        <v>0</v>
      </c>
      <c r="O2454" t="n">
        <v>0</v>
      </c>
      <c r="P2454" t="n">
        <v>0</v>
      </c>
      <c r="Q2454" t="n">
        <v>0</v>
      </c>
      <c r="R2454" s="2" t="inlineStr"/>
    </row>
    <row r="2455" ht="15" customHeight="1">
      <c r="A2455" t="inlineStr">
        <is>
          <t>A 58959-2019</t>
        </is>
      </c>
      <c r="B2455" s="1" t="n">
        <v>43768</v>
      </c>
      <c r="C2455" s="1" t="n">
        <v>45204</v>
      </c>
      <c r="D2455" t="inlineStr">
        <is>
          <t>VÄSTERBOTTENS LÄN</t>
        </is>
      </c>
      <c r="E2455" t="inlineStr">
        <is>
          <t>STORUMAN</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57878-2019</t>
        </is>
      </c>
      <c r="B2456" s="1" t="n">
        <v>43768</v>
      </c>
      <c r="C2456" s="1" t="n">
        <v>45204</v>
      </c>
      <c r="D2456" t="inlineStr">
        <is>
          <t>VÄSTERBOTTENS LÄN</t>
        </is>
      </c>
      <c r="E2456" t="inlineStr">
        <is>
          <t>ÅSELE</t>
        </is>
      </c>
      <c r="F2456" t="inlineStr">
        <is>
          <t>SCA</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58648-2019</t>
        </is>
      </c>
      <c r="B2457" s="1" t="n">
        <v>43768</v>
      </c>
      <c r="C2457" s="1" t="n">
        <v>45204</v>
      </c>
      <c r="D2457" t="inlineStr">
        <is>
          <t>VÄSTERBOTTENS LÄN</t>
        </is>
      </c>
      <c r="E2457" t="inlineStr">
        <is>
          <t>LYCKSELE</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58819-2019</t>
        </is>
      </c>
      <c r="B2458" s="1" t="n">
        <v>43768</v>
      </c>
      <c r="C2458" s="1" t="n">
        <v>45204</v>
      </c>
      <c r="D2458" t="inlineStr">
        <is>
          <t>VÄSTERBOTTENS LÄN</t>
        </is>
      </c>
      <c r="E2458" t="inlineStr">
        <is>
          <t>NORDMALING</t>
        </is>
      </c>
      <c r="G2458" t="n">
        <v>8.4</v>
      </c>
      <c r="H2458" t="n">
        <v>0</v>
      </c>
      <c r="I2458" t="n">
        <v>0</v>
      </c>
      <c r="J2458" t="n">
        <v>0</v>
      </c>
      <c r="K2458" t="n">
        <v>0</v>
      </c>
      <c r="L2458" t="n">
        <v>0</v>
      </c>
      <c r="M2458" t="n">
        <v>0</v>
      </c>
      <c r="N2458" t="n">
        <v>0</v>
      </c>
      <c r="O2458" t="n">
        <v>0</v>
      </c>
      <c r="P2458" t="n">
        <v>0</v>
      </c>
      <c r="Q2458" t="n">
        <v>0</v>
      </c>
      <c r="R2458" s="2" t="inlineStr"/>
    </row>
    <row r="2459" ht="15" customHeight="1">
      <c r="A2459" t="inlineStr">
        <is>
          <t>A 59008-2019</t>
        </is>
      </c>
      <c r="B2459" s="1" t="n">
        <v>43768</v>
      </c>
      <c r="C2459" s="1" t="n">
        <v>45204</v>
      </c>
      <c r="D2459" t="inlineStr">
        <is>
          <t>VÄSTERBOTTENS LÄN</t>
        </is>
      </c>
      <c r="E2459" t="inlineStr">
        <is>
          <t>DOROTEA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57803-2019</t>
        </is>
      </c>
      <c r="B2460" s="1" t="n">
        <v>43768</v>
      </c>
      <c r="C2460" s="1" t="n">
        <v>45204</v>
      </c>
      <c r="D2460" t="inlineStr">
        <is>
          <t>VÄSTERBOTTENS LÄN</t>
        </is>
      </c>
      <c r="E2460" t="inlineStr">
        <is>
          <t>SKELLEFTEÅ</t>
        </is>
      </c>
      <c r="F2460" t="inlineStr">
        <is>
          <t>Sveaskog</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57838-2019</t>
        </is>
      </c>
      <c r="B2461" s="1" t="n">
        <v>43768</v>
      </c>
      <c r="C2461" s="1" t="n">
        <v>45204</v>
      </c>
      <c r="D2461" t="inlineStr">
        <is>
          <t>VÄSTERBOTTENS LÄN</t>
        </is>
      </c>
      <c r="E2461" t="inlineStr">
        <is>
          <t>LYCKSELE</t>
        </is>
      </c>
      <c r="F2461" t="inlineStr">
        <is>
          <t>Holmen skog AB</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58736-2019</t>
        </is>
      </c>
      <c r="B2462" s="1" t="n">
        <v>43768</v>
      </c>
      <c r="C2462" s="1" t="n">
        <v>45204</v>
      </c>
      <c r="D2462" t="inlineStr">
        <is>
          <t>VÄSTERBOTTENS LÄN</t>
        </is>
      </c>
      <c r="E2462" t="inlineStr">
        <is>
          <t>VINDELN</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59130-2019</t>
        </is>
      </c>
      <c r="B2463" s="1" t="n">
        <v>43769</v>
      </c>
      <c r="C2463" s="1" t="n">
        <v>45204</v>
      </c>
      <c r="D2463" t="inlineStr">
        <is>
          <t>VÄSTERBOTTENS LÄN</t>
        </is>
      </c>
      <c r="E2463" t="inlineStr">
        <is>
          <t>ÅSELE</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58063-2019</t>
        </is>
      </c>
      <c r="B2464" s="1" t="n">
        <v>43769</v>
      </c>
      <c r="C2464" s="1" t="n">
        <v>45204</v>
      </c>
      <c r="D2464" t="inlineStr">
        <is>
          <t>VÄSTERBOTTENS LÄN</t>
        </is>
      </c>
      <c r="E2464" t="inlineStr">
        <is>
          <t>ROBERTSFORS</t>
        </is>
      </c>
      <c r="F2464" t="inlineStr">
        <is>
          <t>Holmen skog AB</t>
        </is>
      </c>
      <c r="G2464" t="n">
        <v>4.6</v>
      </c>
      <c r="H2464" t="n">
        <v>0</v>
      </c>
      <c r="I2464" t="n">
        <v>0</v>
      </c>
      <c r="J2464" t="n">
        <v>0</v>
      </c>
      <c r="K2464" t="n">
        <v>0</v>
      </c>
      <c r="L2464" t="n">
        <v>0</v>
      </c>
      <c r="M2464" t="n">
        <v>0</v>
      </c>
      <c r="N2464" t="n">
        <v>0</v>
      </c>
      <c r="O2464" t="n">
        <v>0</v>
      </c>
      <c r="P2464" t="n">
        <v>0</v>
      </c>
      <c r="Q2464" t="n">
        <v>0</v>
      </c>
      <c r="R2464" s="2" t="inlineStr"/>
    </row>
    <row r="2465" ht="15" customHeight="1">
      <c r="A2465" t="inlineStr">
        <is>
          <t>A 58075-2019</t>
        </is>
      </c>
      <c r="B2465" s="1" t="n">
        <v>43769</v>
      </c>
      <c r="C2465" s="1" t="n">
        <v>45204</v>
      </c>
      <c r="D2465" t="inlineStr">
        <is>
          <t>VÄSTERBOTTENS LÄN</t>
        </is>
      </c>
      <c r="E2465" t="inlineStr">
        <is>
          <t>ÅSELE</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58341-2019</t>
        </is>
      </c>
      <c r="B2466" s="1" t="n">
        <v>43770</v>
      </c>
      <c r="C2466" s="1" t="n">
        <v>45204</v>
      </c>
      <c r="D2466" t="inlineStr">
        <is>
          <t>VÄSTERBOTTENS LÄN</t>
        </is>
      </c>
      <c r="E2466" t="inlineStr">
        <is>
          <t>MALÅ</t>
        </is>
      </c>
      <c r="F2466" t="inlineStr">
        <is>
          <t>Sveaskog</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58338-2019</t>
        </is>
      </c>
      <c r="B2467" s="1" t="n">
        <v>43770</v>
      </c>
      <c r="C2467" s="1" t="n">
        <v>45204</v>
      </c>
      <c r="D2467" t="inlineStr">
        <is>
          <t>VÄSTERBOTTENS LÄN</t>
        </is>
      </c>
      <c r="E2467" t="inlineStr">
        <is>
          <t>UMEÅ</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58333-2019</t>
        </is>
      </c>
      <c r="B2468" s="1" t="n">
        <v>43770</v>
      </c>
      <c r="C2468" s="1" t="n">
        <v>45204</v>
      </c>
      <c r="D2468" t="inlineStr">
        <is>
          <t>VÄSTERBOTTENS LÄN</t>
        </is>
      </c>
      <c r="E2468" t="inlineStr">
        <is>
          <t>MALÅ</t>
        </is>
      </c>
      <c r="F2468" t="inlineStr">
        <is>
          <t>Sveaskog</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58340-2019</t>
        </is>
      </c>
      <c r="B2469" s="1" t="n">
        <v>43770</v>
      </c>
      <c r="C2469" s="1" t="n">
        <v>45204</v>
      </c>
      <c r="D2469" t="inlineStr">
        <is>
          <t>VÄSTERBOTTENS LÄN</t>
        </is>
      </c>
      <c r="E2469" t="inlineStr">
        <is>
          <t>VINDELN</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59250-2019</t>
        </is>
      </c>
      <c r="B2470" s="1" t="n">
        <v>43773</v>
      </c>
      <c r="C2470" s="1" t="n">
        <v>45204</v>
      </c>
      <c r="D2470" t="inlineStr">
        <is>
          <t>VÄSTERBOTTENS LÄN</t>
        </is>
      </c>
      <c r="E2470" t="inlineStr">
        <is>
          <t>MALÅ</t>
        </is>
      </c>
      <c r="G2470" t="n">
        <v>6.9</v>
      </c>
      <c r="H2470" t="n">
        <v>0</v>
      </c>
      <c r="I2470" t="n">
        <v>0</v>
      </c>
      <c r="J2470" t="n">
        <v>0</v>
      </c>
      <c r="K2470" t="n">
        <v>0</v>
      </c>
      <c r="L2470" t="n">
        <v>0</v>
      </c>
      <c r="M2470" t="n">
        <v>0</v>
      </c>
      <c r="N2470" t="n">
        <v>0</v>
      </c>
      <c r="O2470" t="n">
        <v>0</v>
      </c>
      <c r="P2470" t="n">
        <v>0</v>
      </c>
      <c r="Q2470" t="n">
        <v>0</v>
      </c>
      <c r="R2470" s="2" t="inlineStr"/>
    </row>
    <row r="2471" ht="15" customHeight="1">
      <c r="A2471" t="inlineStr">
        <is>
          <t>A 59546-2019</t>
        </is>
      </c>
      <c r="B2471" s="1" t="n">
        <v>43773</v>
      </c>
      <c r="C2471" s="1" t="n">
        <v>45204</v>
      </c>
      <c r="D2471" t="inlineStr">
        <is>
          <t>VÄSTERBOTTENS LÄN</t>
        </is>
      </c>
      <c r="E2471" t="inlineStr">
        <is>
          <t>NORSJÖ</t>
        </is>
      </c>
      <c r="G2471" t="n">
        <v>7.3</v>
      </c>
      <c r="H2471" t="n">
        <v>0</v>
      </c>
      <c r="I2471" t="n">
        <v>0</v>
      </c>
      <c r="J2471" t="n">
        <v>0</v>
      </c>
      <c r="K2471" t="n">
        <v>0</v>
      </c>
      <c r="L2471" t="n">
        <v>0</v>
      </c>
      <c r="M2471" t="n">
        <v>0</v>
      </c>
      <c r="N2471" t="n">
        <v>0</v>
      </c>
      <c r="O2471" t="n">
        <v>0</v>
      </c>
      <c r="P2471" t="n">
        <v>0</v>
      </c>
      <c r="Q2471" t="n">
        <v>0</v>
      </c>
      <c r="R2471" s="2" t="inlineStr"/>
    </row>
    <row r="2472" ht="15" customHeight="1">
      <c r="A2472" t="inlineStr">
        <is>
          <t>A 58511-2019</t>
        </is>
      </c>
      <c r="B2472" s="1" t="n">
        <v>43773</v>
      </c>
      <c r="C2472" s="1" t="n">
        <v>45204</v>
      </c>
      <c r="D2472" t="inlineStr">
        <is>
          <t>VÄSTERBOTTENS LÄN</t>
        </is>
      </c>
      <c r="E2472" t="inlineStr">
        <is>
          <t>SORSELE</t>
        </is>
      </c>
      <c r="F2472" t="inlineStr">
        <is>
          <t>Sveaskog</t>
        </is>
      </c>
      <c r="G2472" t="n">
        <v>6.3</v>
      </c>
      <c r="H2472" t="n">
        <v>0</v>
      </c>
      <c r="I2472" t="n">
        <v>0</v>
      </c>
      <c r="J2472" t="n">
        <v>0</v>
      </c>
      <c r="K2472" t="n">
        <v>0</v>
      </c>
      <c r="L2472" t="n">
        <v>0</v>
      </c>
      <c r="M2472" t="n">
        <v>0</v>
      </c>
      <c r="N2472" t="n">
        <v>0</v>
      </c>
      <c r="O2472" t="n">
        <v>0</v>
      </c>
      <c r="P2472" t="n">
        <v>0</v>
      </c>
      <c r="Q2472" t="n">
        <v>0</v>
      </c>
      <c r="R2472" s="2" t="inlineStr"/>
    </row>
    <row r="2473" ht="15" customHeight="1">
      <c r="A2473" t="inlineStr">
        <is>
          <t>A 58546-2019</t>
        </is>
      </c>
      <c r="B2473" s="1" t="n">
        <v>43773</v>
      </c>
      <c r="C2473" s="1" t="n">
        <v>45204</v>
      </c>
      <c r="D2473" t="inlineStr">
        <is>
          <t>VÄSTERBOTTENS LÄN</t>
        </is>
      </c>
      <c r="E2473" t="inlineStr">
        <is>
          <t>SKELLEFTEÅ</t>
        </is>
      </c>
      <c r="F2473" t="inlineStr">
        <is>
          <t>Sveaskog</t>
        </is>
      </c>
      <c r="G2473" t="n">
        <v>27.6</v>
      </c>
      <c r="H2473" t="n">
        <v>0</v>
      </c>
      <c r="I2473" t="n">
        <v>0</v>
      </c>
      <c r="J2473" t="n">
        <v>0</v>
      </c>
      <c r="K2473" t="n">
        <v>0</v>
      </c>
      <c r="L2473" t="n">
        <v>0</v>
      </c>
      <c r="M2473" t="n">
        <v>0</v>
      </c>
      <c r="N2473" t="n">
        <v>0</v>
      </c>
      <c r="O2473" t="n">
        <v>0</v>
      </c>
      <c r="P2473" t="n">
        <v>0</v>
      </c>
      <c r="Q2473" t="n">
        <v>0</v>
      </c>
      <c r="R2473" s="2" t="inlineStr"/>
    </row>
    <row r="2474" ht="15" customHeight="1">
      <c r="A2474" t="inlineStr">
        <is>
          <t>A 58580-2019</t>
        </is>
      </c>
      <c r="B2474" s="1" t="n">
        <v>43773</v>
      </c>
      <c r="C2474" s="1" t="n">
        <v>45204</v>
      </c>
      <c r="D2474" t="inlineStr">
        <is>
          <t>VÄSTERBOTTENS LÄN</t>
        </is>
      </c>
      <c r="E2474" t="inlineStr">
        <is>
          <t>SORSELE</t>
        </is>
      </c>
      <c r="F2474" t="inlineStr">
        <is>
          <t>Sveaskog</t>
        </is>
      </c>
      <c r="G2474" t="n">
        <v>8.6</v>
      </c>
      <c r="H2474" t="n">
        <v>0</v>
      </c>
      <c r="I2474" t="n">
        <v>0</v>
      </c>
      <c r="J2474" t="n">
        <v>0</v>
      </c>
      <c r="K2474" t="n">
        <v>0</v>
      </c>
      <c r="L2474" t="n">
        <v>0</v>
      </c>
      <c r="M2474" t="n">
        <v>0</v>
      </c>
      <c r="N2474" t="n">
        <v>0</v>
      </c>
      <c r="O2474" t="n">
        <v>0</v>
      </c>
      <c r="P2474" t="n">
        <v>0</v>
      </c>
      <c r="Q2474" t="n">
        <v>0</v>
      </c>
      <c r="R2474" s="2" t="inlineStr"/>
    </row>
    <row r="2475" ht="15" customHeight="1">
      <c r="A2475" t="inlineStr">
        <is>
          <t>A 59255-2019</t>
        </is>
      </c>
      <c r="B2475" s="1" t="n">
        <v>43773</v>
      </c>
      <c r="C2475" s="1" t="n">
        <v>45204</v>
      </c>
      <c r="D2475" t="inlineStr">
        <is>
          <t>VÄSTERBOTTENS LÄN</t>
        </is>
      </c>
      <c r="E2475" t="inlineStr">
        <is>
          <t>SKELLEFTEÅ</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58890-2019</t>
        </is>
      </c>
      <c r="B2476" s="1" t="n">
        <v>43774</v>
      </c>
      <c r="C2476" s="1" t="n">
        <v>45204</v>
      </c>
      <c r="D2476" t="inlineStr">
        <is>
          <t>VÄSTERBOTTENS LÄN</t>
        </is>
      </c>
      <c r="E2476" t="inlineStr">
        <is>
          <t>NORSJÖ</t>
        </is>
      </c>
      <c r="F2476" t="inlineStr">
        <is>
          <t>Sveaskog</t>
        </is>
      </c>
      <c r="G2476" t="n">
        <v>6.4</v>
      </c>
      <c r="H2476" t="n">
        <v>0</v>
      </c>
      <c r="I2476" t="n">
        <v>0</v>
      </c>
      <c r="J2476" t="n">
        <v>0</v>
      </c>
      <c r="K2476" t="n">
        <v>0</v>
      </c>
      <c r="L2476" t="n">
        <v>0</v>
      </c>
      <c r="M2476" t="n">
        <v>0</v>
      </c>
      <c r="N2476" t="n">
        <v>0</v>
      </c>
      <c r="O2476" t="n">
        <v>0</v>
      </c>
      <c r="P2476" t="n">
        <v>0</v>
      </c>
      <c r="Q2476" t="n">
        <v>0</v>
      </c>
      <c r="R2476" s="2" t="inlineStr"/>
    </row>
    <row r="2477" ht="15" customHeight="1">
      <c r="A2477" t="inlineStr">
        <is>
          <t>A 58901-2019</t>
        </is>
      </c>
      <c r="B2477" s="1" t="n">
        <v>43774</v>
      </c>
      <c r="C2477" s="1" t="n">
        <v>45204</v>
      </c>
      <c r="D2477" t="inlineStr">
        <is>
          <t>VÄSTERBOTTENS LÄN</t>
        </is>
      </c>
      <c r="E2477" t="inlineStr">
        <is>
          <t>SKELLEFTEÅ</t>
        </is>
      </c>
      <c r="F2477" t="inlineStr">
        <is>
          <t>Sveaskog</t>
        </is>
      </c>
      <c r="G2477" t="n">
        <v>4.8</v>
      </c>
      <c r="H2477" t="n">
        <v>0</v>
      </c>
      <c r="I2477" t="n">
        <v>0</v>
      </c>
      <c r="J2477" t="n">
        <v>0</v>
      </c>
      <c r="K2477" t="n">
        <v>0</v>
      </c>
      <c r="L2477" t="n">
        <v>0</v>
      </c>
      <c r="M2477" t="n">
        <v>0</v>
      </c>
      <c r="N2477" t="n">
        <v>0</v>
      </c>
      <c r="O2477" t="n">
        <v>0</v>
      </c>
      <c r="P2477" t="n">
        <v>0</v>
      </c>
      <c r="Q2477" t="n">
        <v>0</v>
      </c>
      <c r="R2477" s="2" t="inlineStr"/>
    </row>
    <row r="2478" ht="15" customHeight="1">
      <c r="A2478" t="inlineStr">
        <is>
          <t>A 58891-2019</t>
        </is>
      </c>
      <c r="B2478" s="1" t="n">
        <v>43774</v>
      </c>
      <c r="C2478" s="1" t="n">
        <v>45204</v>
      </c>
      <c r="D2478" t="inlineStr">
        <is>
          <t>VÄSTERBOTTENS LÄN</t>
        </is>
      </c>
      <c r="E2478" t="inlineStr">
        <is>
          <t>NORSJÖ</t>
        </is>
      </c>
      <c r="F2478" t="inlineStr">
        <is>
          <t>Sveaskog</t>
        </is>
      </c>
      <c r="G2478" t="n">
        <v>7.8</v>
      </c>
      <c r="H2478" t="n">
        <v>0</v>
      </c>
      <c r="I2478" t="n">
        <v>0</v>
      </c>
      <c r="J2478" t="n">
        <v>0</v>
      </c>
      <c r="K2478" t="n">
        <v>0</v>
      </c>
      <c r="L2478" t="n">
        <v>0</v>
      </c>
      <c r="M2478" t="n">
        <v>0</v>
      </c>
      <c r="N2478" t="n">
        <v>0</v>
      </c>
      <c r="O2478" t="n">
        <v>0</v>
      </c>
      <c r="P2478" t="n">
        <v>0</v>
      </c>
      <c r="Q2478" t="n">
        <v>0</v>
      </c>
      <c r="R2478" s="2" t="inlineStr"/>
    </row>
    <row r="2479" ht="15" customHeight="1">
      <c r="A2479" t="inlineStr">
        <is>
          <t>A 58905-2019</t>
        </is>
      </c>
      <c r="B2479" s="1" t="n">
        <v>43774</v>
      </c>
      <c r="C2479" s="1" t="n">
        <v>45204</v>
      </c>
      <c r="D2479" t="inlineStr">
        <is>
          <t>VÄSTERBOTTENS LÄN</t>
        </is>
      </c>
      <c r="E2479" t="inlineStr">
        <is>
          <t>SKELLEFTEÅ</t>
        </is>
      </c>
      <c r="F2479" t="inlineStr">
        <is>
          <t>Sveaskog</t>
        </is>
      </c>
      <c r="G2479" t="n">
        <v>26.4</v>
      </c>
      <c r="H2479" t="n">
        <v>0</v>
      </c>
      <c r="I2479" t="n">
        <v>0</v>
      </c>
      <c r="J2479" t="n">
        <v>0</v>
      </c>
      <c r="K2479" t="n">
        <v>0</v>
      </c>
      <c r="L2479" t="n">
        <v>0</v>
      </c>
      <c r="M2479" t="n">
        <v>0</v>
      </c>
      <c r="N2479" t="n">
        <v>0</v>
      </c>
      <c r="O2479" t="n">
        <v>0</v>
      </c>
      <c r="P2479" t="n">
        <v>0</v>
      </c>
      <c r="Q2479" t="n">
        <v>0</v>
      </c>
      <c r="R2479" s="2" t="inlineStr"/>
    </row>
    <row r="2480" ht="15" customHeight="1">
      <c r="A2480" t="inlineStr">
        <is>
          <t>A 58962-2019</t>
        </is>
      </c>
      <c r="B2480" s="1" t="n">
        <v>43774</v>
      </c>
      <c r="C2480" s="1" t="n">
        <v>45204</v>
      </c>
      <c r="D2480" t="inlineStr">
        <is>
          <t>VÄSTERBOTTENS LÄN</t>
        </is>
      </c>
      <c r="E2480" t="inlineStr">
        <is>
          <t>VILHELMINA</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59021-2019</t>
        </is>
      </c>
      <c r="B2481" s="1" t="n">
        <v>43774</v>
      </c>
      <c r="C2481" s="1" t="n">
        <v>45204</v>
      </c>
      <c r="D2481" t="inlineStr">
        <is>
          <t>VÄSTERBOTTENS LÄN</t>
        </is>
      </c>
      <c r="E2481" t="inlineStr">
        <is>
          <t>VILHELMINA</t>
        </is>
      </c>
      <c r="G2481" t="n">
        <v>6.8</v>
      </c>
      <c r="H2481" t="n">
        <v>0</v>
      </c>
      <c r="I2481" t="n">
        <v>0</v>
      </c>
      <c r="J2481" t="n">
        <v>0</v>
      </c>
      <c r="K2481" t="n">
        <v>0</v>
      </c>
      <c r="L2481" t="n">
        <v>0</v>
      </c>
      <c r="M2481" t="n">
        <v>0</v>
      </c>
      <c r="N2481" t="n">
        <v>0</v>
      </c>
      <c r="O2481" t="n">
        <v>0</v>
      </c>
      <c r="P2481" t="n">
        <v>0</v>
      </c>
      <c r="Q2481" t="n">
        <v>0</v>
      </c>
      <c r="R2481" s="2" t="inlineStr"/>
    </row>
    <row r="2482" ht="15" customHeight="1">
      <c r="A2482" t="inlineStr">
        <is>
          <t>A 59631-2019</t>
        </is>
      </c>
      <c r="B2482" s="1" t="n">
        <v>43774</v>
      </c>
      <c r="C2482" s="1" t="n">
        <v>45204</v>
      </c>
      <c r="D2482" t="inlineStr">
        <is>
          <t>VÄSTERBOTTENS LÄN</t>
        </is>
      </c>
      <c r="E2482" t="inlineStr">
        <is>
          <t>STORUMAN</t>
        </is>
      </c>
      <c r="G2482" t="n">
        <v>9.699999999999999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58893-2019</t>
        </is>
      </c>
      <c r="B2483" s="1" t="n">
        <v>43774</v>
      </c>
      <c r="C2483" s="1" t="n">
        <v>45204</v>
      </c>
      <c r="D2483" t="inlineStr">
        <is>
          <t>VÄSTERBOTTENS LÄN</t>
        </is>
      </c>
      <c r="E2483" t="inlineStr">
        <is>
          <t>NORSJÖ</t>
        </is>
      </c>
      <c r="F2483" t="inlineStr">
        <is>
          <t>Sveaskog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59052-2019</t>
        </is>
      </c>
      <c r="B2484" s="1" t="n">
        <v>43774</v>
      </c>
      <c r="C2484" s="1" t="n">
        <v>45204</v>
      </c>
      <c r="D2484" t="inlineStr">
        <is>
          <t>VÄSTERBOTTENS LÄN</t>
        </is>
      </c>
      <c r="E2484" t="inlineStr">
        <is>
          <t>VILHELMINA</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59071-2019</t>
        </is>
      </c>
      <c r="B2485" s="1" t="n">
        <v>43774</v>
      </c>
      <c r="C2485" s="1" t="n">
        <v>45204</v>
      </c>
      <c r="D2485" t="inlineStr">
        <is>
          <t>VÄSTERBOTTENS LÄN</t>
        </is>
      </c>
      <c r="E2485" t="inlineStr">
        <is>
          <t>DOROTEA</t>
        </is>
      </c>
      <c r="F2485" t="inlineStr">
        <is>
          <t>SCA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59637-2019</t>
        </is>
      </c>
      <c r="B2486" s="1" t="n">
        <v>43774</v>
      </c>
      <c r="C2486" s="1" t="n">
        <v>45204</v>
      </c>
      <c r="D2486" t="inlineStr">
        <is>
          <t>VÄSTERBOTTENS LÄN</t>
        </is>
      </c>
      <c r="E2486" t="inlineStr">
        <is>
          <t>STORUMAN</t>
        </is>
      </c>
      <c r="G2486" t="n">
        <v>17.3</v>
      </c>
      <c r="H2486" t="n">
        <v>0</v>
      </c>
      <c r="I2486" t="n">
        <v>0</v>
      </c>
      <c r="J2486" t="n">
        <v>0</v>
      </c>
      <c r="K2486" t="n">
        <v>0</v>
      </c>
      <c r="L2486" t="n">
        <v>0</v>
      </c>
      <c r="M2486" t="n">
        <v>0</v>
      </c>
      <c r="N2486" t="n">
        <v>0</v>
      </c>
      <c r="O2486" t="n">
        <v>0</v>
      </c>
      <c r="P2486" t="n">
        <v>0</v>
      </c>
      <c r="Q2486" t="n">
        <v>0</v>
      </c>
      <c r="R2486" s="2" t="inlineStr"/>
    </row>
    <row r="2487" ht="15" customHeight="1">
      <c r="A2487" t="inlineStr">
        <is>
          <t>A 58817-2019</t>
        </is>
      </c>
      <c r="B2487" s="1" t="n">
        <v>43774</v>
      </c>
      <c r="C2487" s="1" t="n">
        <v>45204</v>
      </c>
      <c r="D2487" t="inlineStr">
        <is>
          <t>VÄSTERBOTTENS LÄN</t>
        </is>
      </c>
      <c r="E2487" t="inlineStr">
        <is>
          <t>SKELLEFTEÅ</t>
        </is>
      </c>
      <c r="F2487" t="inlineStr">
        <is>
          <t>Holmen skog AB</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59611-2019</t>
        </is>
      </c>
      <c r="B2488" s="1" t="n">
        <v>43774</v>
      </c>
      <c r="C2488" s="1" t="n">
        <v>45204</v>
      </c>
      <c r="D2488" t="inlineStr">
        <is>
          <t>VÄSTERBOTTENS LÄN</t>
        </is>
      </c>
      <c r="E2488" t="inlineStr">
        <is>
          <t>SKELLEFTEÅ</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59165-2019</t>
        </is>
      </c>
      <c r="B2489" s="1" t="n">
        <v>43775</v>
      </c>
      <c r="C2489" s="1" t="n">
        <v>45204</v>
      </c>
      <c r="D2489" t="inlineStr">
        <is>
          <t>VÄSTERBOTTENS LÄN</t>
        </is>
      </c>
      <c r="E2489" t="inlineStr">
        <is>
          <t>VILHELMINA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59248-2019</t>
        </is>
      </c>
      <c r="B2490" s="1" t="n">
        <v>43775</v>
      </c>
      <c r="C2490" s="1" t="n">
        <v>45204</v>
      </c>
      <c r="D2490" t="inlineStr">
        <is>
          <t>VÄSTERBOTTENS LÄN</t>
        </is>
      </c>
      <c r="E2490" t="inlineStr">
        <is>
          <t>STORUMAN</t>
        </is>
      </c>
      <c r="F2490" t="inlineStr">
        <is>
          <t>Sveaskog</t>
        </is>
      </c>
      <c r="G2490" t="n">
        <v>11.6</v>
      </c>
      <c r="H2490" t="n">
        <v>0</v>
      </c>
      <c r="I2490" t="n">
        <v>0</v>
      </c>
      <c r="J2490" t="n">
        <v>0</v>
      </c>
      <c r="K2490" t="n">
        <v>0</v>
      </c>
      <c r="L2490" t="n">
        <v>0</v>
      </c>
      <c r="M2490" t="n">
        <v>0</v>
      </c>
      <c r="N2490" t="n">
        <v>0</v>
      </c>
      <c r="O2490" t="n">
        <v>0</v>
      </c>
      <c r="P2490" t="n">
        <v>0</v>
      </c>
      <c r="Q2490" t="n">
        <v>0</v>
      </c>
      <c r="R2490" s="2" t="inlineStr"/>
    </row>
    <row r="2491" ht="15" customHeight="1">
      <c r="A2491" t="inlineStr">
        <is>
          <t>A 59249-2019</t>
        </is>
      </c>
      <c r="B2491" s="1" t="n">
        <v>43775</v>
      </c>
      <c r="C2491" s="1" t="n">
        <v>45204</v>
      </c>
      <c r="D2491" t="inlineStr">
        <is>
          <t>VÄSTERBOTTENS LÄN</t>
        </is>
      </c>
      <c r="E2491" t="inlineStr">
        <is>
          <t>STORUMAN</t>
        </is>
      </c>
      <c r="F2491" t="inlineStr">
        <is>
          <t>Sveaskog</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59632-2019</t>
        </is>
      </c>
      <c r="B2492" s="1" t="n">
        <v>43776</v>
      </c>
      <c r="C2492" s="1" t="n">
        <v>45204</v>
      </c>
      <c r="D2492" t="inlineStr">
        <is>
          <t>VÄSTERBOTTENS LÄN</t>
        </is>
      </c>
      <c r="E2492" t="inlineStr">
        <is>
          <t>LYCKSELE</t>
        </is>
      </c>
      <c r="F2492" t="inlineStr">
        <is>
          <t>Sveaskog</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60378-2019</t>
        </is>
      </c>
      <c r="B2493" s="1" t="n">
        <v>43776</v>
      </c>
      <c r="C2493" s="1" t="n">
        <v>45204</v>
      </c>
      <c r="D2493" t="inlineStr">
        <is>
          <t>VÄSTERBOTTENS LÄN</t>
        </is>
      </c>
      <c r="E2493" t="inlineStr">
        <is>
          <t>SKELLEFTEÅ</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59757-2019</t>
        </is>
      </c>
      <c r="B2494" s="1" t="n">
        <v>43776</v>
      </c>
      <c r="C2494" s="1" t="n">
        <v>45204</v>
      </c>
      <c r="D2494" t="inlineStr">
        <is>
          <t>VÄSTERBOTTENS LÄN</t>
        </is>
      </c>
      <c r="E2494" t="inlineStr">
        <is>
          <t>UMEÅ</t>
        </is>
      </c>
      <c r="F2494" t="inlineStr">
        <is>
          <t>Holmen skog AB</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60289-2019</t>
        </is>
      </c>
      <c r="B2495" s="1" t="n">
        <v>43776</v>
      </c>
      <c r="C2495" s="1" t="n">
        <v>45204</v>
      </c>
      <c r="D2495" t="inlineStr">
        <is>
          <t>VÄSTERBOTTENS LÄN</t>
        </is>
      </c>
      <c r="E2495" t="inlineStr">
        <is>
          <t>SKELLEFTEÅ</t>
        </is>
      </c>
      <c r="G2495" t="n">
        <v>3.3</v>
      </c>
      <c r="H2495" t="n">
        <v>0</v>
      </c>
      <c r="I2495" t="n">
        <v>0</v>
      </c>
      <c r="J2495" t="n">
        <v>0</v>
      </c>
      <c r="K2495" t="n">
        <v>0</v>
      </c>
      <c r="L2495" t="n">
        <v>0</v>
      </c>
      <c r="M2495" t="n">
        <v>0</v>
      </c>
      <c r="N2495" t="n">
        <v>0</v>
      </c>
      <c r="O2495" t="n">
        <v>0</v>
      </c>
      <c r="P2495" t="n">
        <v>0</v>
      </c>
      <c r="Q2495" t="n">
        <v>0</v>
      </c>
      <c r="R2495" s="2" t="inlineStr"/>
    </row>
    <row r="2496" ht="15" customHeight="1">
      <c r="A2496" t="inlineStr">
        <is>
          <t>A 59459-2019</t>
        </is>
      </c>
      <c r="B2496" s="1" t="n">
        <v>43776</v>
      </c>
      <c r="C2496" s="1" t="n">
        <v>45204</v>
      </c>
      <c r="D2496" t="inlineStr">
        <is>
          <t>VÄSTERBOTTENS LÄN</t>
        </is>
      </c>
      <c r="E2496" t="inlineStr">
        <is>
          <t>UMEÅ</t>
        </is>
      </c>
      <c r="G2496" t="n">
        <v>3.2</v>
      </c>
      <c r="H2496" t="n">
        <v>0</v>
      </c>
      <c r="I2496" t="n">
        <v>0</v>
      </c>
      <c r="J2496" t="n">
        <v>0</v>
      </c>
      <c r="K2496" t="n">
        <v>0</v>
      </c>
      <c r="L2496" t="n">
        <v>0</v>
      </c>
      <c r="M2496" t="n">
        <v>0</v>
      </c>
      <c r="N2496" t="n">
        <v>0</v>
      </c>
      <c r="O2496" t="n">
        <v>0</v>
      </c>
      <c r="P2496" t="n">
        <v>0</v>
      </c>
      <c r="Q2496" t="n">
        <v>0</v>
      </c>
      <c r="R2496" s="2" t="inlineStr"/>
    </row>
    <row r="2497" ht="15" customHeight="1">
      <c r="A2497" t="inlineStr">
        <is>
          <t>A 60023-2019</t>
        </is>
      </c>
      <c r="B2497" s="1" t="n">
        <v>43777</v>
      </c>
      <c r="C2497" s="1" t="n">
        <v>45204</v>
      </c>
      <c r="D2497" t="inlineStr">
        <is>
          <t>VÄSTERBOTTENS LÄN</t>
        </is>
      </c>
      <c r="E2497" t="inlineStr">
        <is>
          <t>BJURHOLM</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60107-2019</t>
        </is>
      </c>
      <c r="B2498" s="1" t="n">
        <v>43777</v>
      </c>
      <c r="C2498" s="1" t="n">
        <v>45204</v>
      </c>
      <c r="D2498" t="inlineStr">
        <is>
          <t>VÄSTERBOTTENS LÄN</t>
        </is>
      </c>
      <c r="E2498" t="inlineStr">
        <is>
          <t>DOROTEA</t>
        </is>
      </c>
      <c r="F2498" t="inlineStr">
        <is>
          <t>SCA</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60179-2019</t>
        </is>
      </c>
      <c r="B2499" s="1" t="n">
        <v>43780</v>
      </c>
      <c r="C2499" s="1" t="n">
        <v>45204</v>
      </c>
      <c r="D2499" t="inlineStr">
        <is>
          <t>VÄSTERBOTTENS LÄN</t>
        </is>
      </c>
      <c r="E2499" t="inlineStr">
        <is>
          <t>ROBERTSFORS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61413-2019</t>
        </is>
      </c>
      <c r="B2500" s="1" t="n">
        <v>43780</v>
      </c>
      <c r="C2500" s="1" t="n">
        <v>45204</v>
      </c>
      <c r="D2500" t="inlineStr">
        <is>
          <t>VÄSTERBOTTENS LÄN</t>
        </is>
      </c>
      <c r="E2500" t="inlineStr">
        <is>
          <t>BJURHOLM</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61459-2019</t>
        </is>
      </c>
      <c r="B2501" s="1" t="n">
        <v>43780</v>
      </c>
      <c r="C2501" s="1" t="n">
        <v>45204</v>
      </c>
      <c r="D2501" t="inlineStr">
        <is>
          <t>VÄSTERBOTTENS LÄN</t>
        </is>
      </c>
      <c r="E2501" t="inlineStr">
        <is>
          <t>VINDELN</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60290-2019</t>
        </is>
      </c>
      <c r="B2502" s="1" t="n">
        <v>43780</v>
      </c>
      <c r="C2502" s="1" t="n">
        <v>45204</v>
      </c>
      <c r="D2502" t="inlineStr">
        <is>
          <t>VÄSTERBOTTENS LÄN</t>
        </is>
      </c>
      <c r="E2502" t="inlineStr">
        <is>
          <t>MALÅ</t>
        </is>
      </c>
      <c r="F2502" t="inlineStr">
        <is>
          <t>Sveaskog</t>
        </is>
      </c>
      <c r="G2502" t="n">
        <v>4.3</v>
      </c>
      <c r="H2502" t="n">
        <v>0</v>
      </c>
      <c r="I2502" t="n">
        <v>0</v>
      </c>
      <c r="J2502" t="n">
        <v>0</v>
      </c>
      <c r="K2502" t="n">
        <v>0</v>
      </c>
      <c r="L2502" t="n">
        <v>0</v>
      </c>
      <c r="M2502" t="n">
        <v>0</v>
      </c>
      <c r="N2502" t="n">
        <v>0</v>
      </c>
      <c r="O2502" t="n">
        <v>0</v>
      </c>
      <c r="P2502" t="n">
        <v>0</v>
      </c>
      <c r="Q2502" t="n">
        <v>0</v>
      </c>
      <c r="R2502" s="2" t="inlineStr"/>
    </row>
    <row r="2503" ht="15" customHeight="1">
      <c r="A2503" t="inlineStr">
        <is>
          <t>A 61860-2019</t>
        </is>
      </c>
      <c r="B2503" s="1" t="n">
        <v>43780</v>
      </c>
      <c r="C2503" s="1" t="n">
        <v>45204</v>
      </c>
      <c r="D2503" t="inlineStr">
        <is>
          <t>VÄSTERBOTTENS LÄN</t>
        </is>
      </c>
      <c r="E2503" t="inlineStr">
        <is>
          <t>STORUMAN</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60265-2019</t>
        </is>
      </c>
      <c r="B2504" s="1" t="n">
        <v>43780</v>
      </c>
      <c r="C2504" s="1" t="n">
        <v>45204</v>
      </c>
      <c r="D2504" t="inlineStr">
        <is>
          <t>VÄSTERBOTTENS LÄN</t>
        </is>
      </c>
      <c r="E2504" t="inlineStr">
        <is>
          <t>NORSJÖ</t>
        </is>
      </c>
      <c r="F2504" t="inlineStr">
        <is>
          <t>Sveaskog</t>
        </is>
      </c>
      <c r="G2504" t="n">
        <v>16.3</v>
      </c>
      <c r="H2504" t="n">
        <v>0</v>
      </c>
      <c r="I2504" t="n">
        <v>0</v>
      </c>
      <c r="J2504" t="n">
        <v>0</v>
      </c>
      <c r="K2504" t="n">
        <v>0</v>
      </c>
      <c r="L2504" t="n">
        <v>0</v>
      </c>
      <c r="M2504" t="n">
        <v>0</v>
      </c>
      <c r="N2504" t="n">
        <v>0</v>
      </c>
      <c r="O2504" t="n">
        <v>0</v>
      </c>
      <c r="P2504" t="n">
        <v>0</v>
      </c>
      <c r="Q2504" t="n">
        <v>0</v>
      </c>
      <c r="R2504" s="2" t="inlineStr"/>
    </row>
    <row r="2505" ht="15" customHeight="1">
      <c r="A2505" t="inlineStr">
        <is>
          <t>A 60438-2019</t>
        </is>
      </c>
      <c r="B2505" s="1" t="n">
        <v>43780</v>
      </c>
      <c r="C2505" s="1" t="n">
        <v>45204</v>
      </c>
      <c r="D2505" t="inlineStr">
        <is>
          <t>VÄSTERBOTTENS LÄN</t>
        </is>
      </c>
      <c r="E2505" t="inlineStr">
        <is>
          <t>LYCKSELE</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60878-2019</t>
        </is>
      </c>
      <c r="B2506" s="1" t="n">
        <v>43781</v>
      </c>
      <c r="C2506" s="1" t="n">
        <v>45204</v>
      </c>
      <c r="D2506" t="inlineStr">
        <is>
          <t>VÄSTERBOTTENS LÄN</t>
        </is>
      </c>
      <c r="E2506" t="inlineStr">
        <is>
          <t>ROBERTSFORS</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61929-2019</t>
        </is>
      </c>
      <c r="B2507" s="1" t="n">
        <v>43781</v>
      </c>
      <c r="C2507" s="1" t="n">
        <v>45204</v>
      </c>
      <c r="D2507" t="inlineStr">
        <is>
          <t>VÄSTERBOTTENS LÄN</t>
        </is>
      </c>
      <c r="E2507" t="inlineStr">
        <is>
          <t>SKELLEFTEÅ</t>
        </is>
      </c>
      <c r="G2507" t="n">
        <v>0.3</v>
      </c>
      <c r="H2507" t="n">
        <v>0</v>
      </c>
      <c r="I2507" t="n">
        <v>0</v>
      </c>
      <c r="J2507" t="n">
        <v>0</v>
      </c>
      <c r="K2507" t="n">
        <v>0</v>
      </c>
      <c r="L2507" t="n">
        <v>0</v>
      </c>
      <c r="M2507" t="n">
        <v>0</v>
      </c>
      <c r="N2507" t="n">
        <v>0</v>
      </c>
      <c r="O2507" t="n">
        <v>0</v>
      </c>
      <c r="P2507" t="n">
        <v>0</v>
      </c>
      <c r="Q2507" t="n">
        <v>0</v>
      </c>
      <c r="R2507" s="2" t="inlineStr"/>
    </row>
    <row r="2508" ht="15" customHeight="1">
      <c r="A2508" t="inlineStr">
        <is>
          <t>A 61984-2019</t>
        </is>
      </c>
      <c r="B2508" s="1" t="n">
        <v>43781</v>
      </c>
      <c r="C2508" s="1" t="n">
        <v>45204</v>
      </c>
      <c r="D2508" t="inlineStr">
        <is>
          <t>VÄSTERBOTTENS LÄN</t>
        </is>
      </c>
      <c r="E2508" t="inlineStr">
        <is>
          <t>NORDMALING</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60567-2019</t>
        </is>
      </c>
      <c r="B2509" s="1" t="n">
        <v>43781</v>
      </c>
      <c r="C2509" s="1" t="n">
        <v>45204</v>
      </c>
      <c r="D2509" t="inlineStr">
        <is>
          <t>VÄSTERBOTTENS LÄN</t>
        </is>
      </c>
      <c r="E2509" t="inlineStr">
        <is>
          <t>LYCKSELE</t>
        </is>
      </c>
      <c r="F2509" t="inlineStr">
        <is>
          <t>Sveaskog</t>
        </is>
      </c>
      <c r="G2509" t="n">
        <v>4.4</v>
      </c>
      <c r="H2509" t="n">
        <v>0</v>
      </c>
      <c r="I2509" t="n">
        <v>0</v>
      </c>
      <c r="J2509" t="n">
        <v>0</v>
      </c>
      <c r="K2509" t="n">
        <v>0</v>
      </c>
      <c r="L2509" t="n">
        <v>0</v>
      </c>
      <c r="M2509" t="n">
        <v>0</v>
      </c>
      <c r="N2509" t="n">
        <v>0</v>
      </c>
      <c r="O2509" t="n">
        <v>0</v>
      </c>
      <c r="P2509" t="n">
        <v>0</v>
      </c>
      <c r="Q2509" t="n">
        <v>0</v>
      </c>
      <c r="R2509" s="2" t="inlineStr"/>
    </row>
    <row r="2510" ht="15" customHeight="1">
      <c r="A2510" t="inlineStr">
        <is>
          <t>A 60602-2019</t>
        </is>
      </c>
      <c r="B2510" s="1" t="n">
        <v>43781</v>
      </c>
      <c r="C2510" s="1" t="n">
        <v>45204</v>
      </c>
      <c r="D2510" t="inlineStr">
        <is>
          <t>VÄSTERBOTTENS LÄN</t>
        </is>
      </c>
      <c r="E2510" t="inlineStr">
        <is>
          <t>VÄNNÄS</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60898-2019</t>
        </is>
      </c>
      <c r="B2511" s="1" t="n">
        <v>43781</v>
      </c>
      <c r="C2511" s="1" t="n">
        <v>45204</v>
      </c>
      <c r="D2511" t="inlineStr">
        <is>
          <t>VÄSTERBOTTENS LÄN</t>
        </is>
      </c>
      <c r="E2511" t="inlineStr">
        <is>
          <t>VINDELN</t>
        </is>
      </c>
      <c r="F2511" t="inlineStr">
        <is>
          <t>SCA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60939-2019</t>
        </is>
      </c>
      <c r="B2512" s="1" t="n">
        <v>43782</v>
      </c>
      <c r="C2512" s="1" t="n">
        <v>45204</v>
      </c>
      <c r="D2512" t="inlineStr">
        <is>
          <t>VÄSTERBOTTENS LÄN</t>
        </is>
      </c>
      <c r="E2512" t="inlineStr">
        <is>
          <t>VÄNNÄS</t>
        </is>
      </c>
      <c r="F2512" t="inlineStr">
        <is>
          <t>Holmen skog AB</t>
        </is>
      </c>
      <c r="G2512" t="n">
        <v>4.9</v>
      </c>
      <c r="H2512" t="n">
        <v>0</v>
      </c>
      <c r="I2512" t="n">
        <v>0</v>
      </c>
      <c r="J2512" t="n">
        <v>0</v>
      </c>
      <c r="K2512" t="n">
        <v>0</v>
      </c>
      <c r="L2512" t="n">
        <v>0</v>
      </c>
      <c r="M2512" t="n">
        <v>0</v>
      </c>
      <c r="N2512" t="n">
        <v>0</v>
      </c>
      <c r="O2512" t="n">
        <v>0</v>
      </c>
      <c r="P2512" t="n">
        <v>0</v>
      </c>
      <c r="Q2512" t="n">
        <v>0</v>
      </c>
      <c r="R2512" s="2" t="inlineStr"/>
    </row>
    <row r="2513" ht="15" customHeight="1">
      <c r="A2513" t="inlineStr">
        <is>
          <t>A 62298-2019</t>
        </is>
      </c>
      <c r="B2513" s="1" t="n">
        <v>43782</v>
      </c>
      <c r="C2513" s="1" t="n">
        <v>45204</v>
      </c>
      <c r="D2513" t="inlineStr">
        <is>
          <t>VÄSTERBOTTENS LÄN</t>
        </is>
      </c>
      <c r="E2513" t="inlineStr">
        <is>
          <t>UMEÅ</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61179-2019</t>
        </is>
      </c>
      <c r="B2514" s="1" t="n">
        <v>43782</v>
      </c>
      <c r="C2514" s="1" t="n">
        <v>45204</v>
      </c>
      <c r="D2514" t="inlineStr">
        <is>
          <t>VÄSTERBOTTENS LÄN</t>
        </is>
      </c>
      <c r="E2514" t="inlineStr">
        <is>
          <t>VINDELN</t>
        </is>
      </c>
      <c r="G2514" t="n">
        <v>4.6</v>
      </c>
      <c r="H2514" t="n">
        <v>0</v>
      </c>
      <c r="I2514" t="n">
        <v>0</v>
      </c>
      <c r="J2514" t="n">
        <v>0</v>
      </c>
      <c r="K2514" t="n">
        <v>0</v>
      </c>
      <c r="L2514" t="n">
        <v>0</v>
      </c>
      <c r="M2514" t="n">
        <v>0</v>
      </c>
      <c r="N2514" t="n">
        <v>0</v>
      </c>
      <c r="O2514" t="n">
        <v>0</v>
      </c>
      <c r="P2514" t="n">
        <v>0</v>
      </c>
      <c r="Q2514" t="n">
        <v>0</v>
      </c>
      <c r="R2514" s="2" t="inlineStr"/>
    </row>
    <row r="2515" ht="15" customHeight="1">
      <c r="A2515" t="inlineStr">
        <is>
          <t>A 60965-2019</t>
        </is>
      </c>
      <c r="B2515" s="1" t="n">
        <v>43782</v>
      </c>
      <c r="C2515" s="1" t="n">
        <v>45204</v>
      </c>
      <c r="D2515" t="inlineStr">
        <is>
          <t>VÄSTERBOTTENS LÄN</t>
        </is>
      </c>
      <c r="E2515" t="inlineStr">
        <is>
          <t>NORDMALING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61013-2019</t>
        </is>
      </c>
      <c r="B2516" s="1" t="n">
        <v>43782</v>
      </c>
      <c r="C2516" s="1" t="n">
        <v>45204</v>
      </c>
      <c r="D2516" t="inlineStr">
        <is>
          <t>VÄSTERBOTTENS LÄN</t>
        </is>
      </c>
      <c r="E2516" t="inlineStr">
        <is>
          <t>ROBERTSFORS</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61019-2019</t>
        </is>
      </c>
      <c r="B2517" s="1" t="n">
        <v>43782</v>
      </c>
      <c r="C2517" s="1" t="n">
        <v>45204</v>
      </c>
      <c r="D2517" t="inlineStr">
        <is>
          <t>VÄSTERBOTTENS LÄN</t>
        </is>
      </c>
      <c r="E2517" t="inlineStr">
        <is>
          <t>STORUMAN</t>
        </is>
      </c>
      <c r="F2517" t="inlineStr">
        <is>
          <t>Sveaskog</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61231-2019</t>
        </is>
      </c>
      <c r="B2518" s="1" t="n">
        <v>43782</v>
      </c>
      <c r="C2518" s="1" t="n">
        <v>45204</v>
      </c>
      <c r="D2518" t="inlineStr">
        <is>
          <t>VÄSTERBOTTENS LÄN</t>
        </is>
      </c>
      <c r="E2518" t="inlineStr">
        <is>
          <t>UMEÅ</t>
        </is>
      </c>
      <c r="G2518" t="n">
        <v>5.6</v>
      </c>
      <c r="H2518" t="n">
        <v>0</v>
      </c>
      <c r="I2518" t="n">
        <v>0</v>
      </c>
      <c r="J2518" t="n">
        <v>0</v>
      </c>
      <c r="K2518" t="n">
        <v>0</v>
      </c>
      <c r="L2518" t="n">
        <v>0</v>
      </c>
      <c r="M2518" t="n">
        <v>0</v>
      </c>
      <c r="N2518" t="n">
        <v>0</v>
      </c>
      <c r="O2518" t="n">
        <v>0</v>
      </c>
      <c r="P2518" t="n">
        <v>0</v>
      </c>
      <c r="Q2518" t="n">
        <v>0</v>
      </c>
      <c r="R2518" s="2" t="inlineStr"/>
    </row>
    <row r="2519" ht="15" customHeight="1">
      <c r="A2519" t="inlineStr">
        <is>
          <t>A 62219-2019</t>
        </is>
      </c>
      <c r="B2519" s="1" t="n">
        <v>43782</v>
      </c>
      <c r="C2519" s="1" t="n">
        <v>45204</v>
      </c>
      <c r="D2519" t="inlineStr">
        <is>
          <t>VÄSTERBOTTENS LÄN</t>
        </is>
      </c>
      <c r="E2519" t="inlineStr">
        <is>
          <t>UMEÅ</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60985-2019</t>
        </is>
      </c>
      <c r="B2520" s="1" t="n">
        <v>43782</v>
      </c>
      <c r="C2520" s="1" t="n">
        <v>45204</v>
      </c>
      <c r="D2520" t="inlineStr">
        <is>
          <t>VÄSTERBOTTENS LÄN</t>
        </is>
      </c>
      <c r="E2520" t="inlineStr">
        <is>
          <t>SKELLEFTEÅ</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61048-2019</t>
        </is>
      </c>
      <c r="B2521" s="1" t="n">
        <v>43782</v>
      </c>
      <c r="C2521" s="1" t="n">
        <v>45204</v>
      </c>
      <c r="D2521" t="inlineStr">
        <is>
          <t>VÄSTERBOTTENS LÄN</t>
        </is>
      </c>
      <c r="E2521" t="inlineStr">
        <is>
          <t>ROBERTSFORS</t>
        </is>
      </c>
      <c r="F2521" t="inlineStr">
        <is>
          <t>Holmen skog AB</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61178-2019</t>
        </is>
      </c>
      <c r="B2522" s="1" t="n">
        <v>43782</v>
      </c>
      <c r="C2522" s="1" t="n">
        <v>45204</v>
      </c>
      <c r="D2522" t="inlineStr">
        <is>
          <t>VÄSTERBOTTENS LÄN</t>
        </is>
      </c>
      <c r="E2522" t="inlineStr">
        <is>
          <t>VINDELN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62216-2019</t>
        </is>
      </c>
      <c r="B2523" s="1" t="n">
        <v>43782</v>
      </c>
      <c r="C2523" s="1" t="n">
        <v>45204</v>
      </c>
      <c r="D2523" t="inlineStr">
        <is>
          <t>VÄSTERBOTTENS LÄN</t>
        </is>
      </c>
      <c r="E2523" t="inlineStr">
        <is>
          <t>VÄNNÄS</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61295-2019</t>
        </is>
      </c>
      <c r="B2524" s="1" t="n">
        <v>43783</v>
      </c>
      <c r="C2524" s="1" t="n">
        <v>45204</v>
      </c>
      <c r="D2524" t="inlineStr">
        <is>
          <t>VÄSTERBOTTENS LÄN</t>
        </is>
      </c>
      <c r="E2524" t="inlineStr">
        <is>
          <t>SKELLEFTEÅ</t>
        </is>
      </c>
      <c r="F2524" t="inlineStr">
        <is>
          <t>Holmen skog AB</t>
        </is>
      </c>
      <c r="G2524" t="n">
        <v>11.2</v>
      </c>
      <c r="H2524" t="n">
        <v>0</v>
      </c>
      <c r="I2524" t="n">
        <v>0</v>
      </c>
      <c r="J2524" t="n">
        <v>0</v>
      </c>
      <c r="K2524" t="n">
        <v>0</v>
      </c>
      <c r="L2524" t="n">
        <v>0</v>
      </c>
      <c r="M2524" t="n">
        <v>0</v>
      </c>
      <c r="N2524" t="n">
        <v>0</v>
      </c>
      <c r="O2524" t="n">
        <v>0</v>
      </c>
      <c r="P2524" t="n">
        <v>0</v>
      </c>
      <c r="Q2524" t="n">
        <v>0</v>
      </c>
      <c r="R2524" s="2" t="inlineStr"/>
    </row>
    <row r="2525" ht="15" customHeight="1">
      <c r="A2525" t="inlineStr">
        <is>
          <t>A 61362-2019</t>
        </is>
      </c>
      <c r="B2525" s="1" t="n">
        <v>43783</v>
      </c>
      <c r="C2525" s="1" t="n">
        <v>45204</v>
      </c>
      <c r="D2525" t="inlineStr">
        <is>
          <t>VÄSTERBOTTENS LÄN</t>
        </is>
      </c>
      <c r="E2525" t="inlineStr">
        <is>
          <t>VINDELN</t>
        </is>
      </c>
      <c r="F2525" t="inlineStr">
        <is>
          <t>Sveaskog</t>
        </is>
      </c>
      <c r="G2525" t="n">
        <v>6.4</v>
      </c>
      <c r="H2525" t="n">
        <v>0</v>
      </c>
      <c r="I2525" t="n">
        <v>0</v>
      </c>
      <c r="J2525" t="n">
        <v>0</v>
      </c>
      <c r="K2525" t="n">
        <v>0</v>
      </c>
      <c r="L2525" t="n">
        <v>0</v>
      </c>
      <c r="M2525" t="n">
        <v>0</v>
      </c>
      <c r="N2525" t="n">
        <v>0</v>
      </c>
      <c r="O2525" t="n">
        <v>0</v>
      </c>
      <c r="P2525" t="n">
        <v>0</v>
      </c>
      <c r="Q2525" t="n">
        <v>0</v>
      </c>
      <c r="R2525" s="2" t="inlineStr"/>
    </row>
    <row r="2526" ht="15" customHeight="1">
      <c r="A2526" t="inlineStr">
        <is>
          <t>A 62526-2019</t>
        </is>
      </c>
      <c r="B2526" s="1" t="n">
        <v>43783</v>
      </c>
      <c r="C2526" s="1" t="n">
        <v>45204</v>
      </c>
      <c r="D2526" t="inlineStr">
        <is>
          <t>VÄSTERBOTTENS LÄN</t>
        </is>
      </c>
      <c r="E2526" t="inlineStr">
        <is>
          <t>DOROTEA</t>
        </is>
      </c>
      <c r="G2526" t="n">
        <v>3.7</v>
      </c>
      <c r="H2526" t="n">
        <v>0</v>
      </c>
      <c r="I2526" t="n">
        <v>0</v>
      </c>
      <c r="J2526" t="n">
        <v>0</v>
      </c>
      <c r="K2526" t="n">
        <v>0</v>
      </c>
      <c r="L2526" t="n">
        <v>0</v>
      </c>
      <c r="M2526" t="n">
        <v>0</v>
      </c>
      <c r="N2526" t="n">
        <v>0</v>
      </c>
      <c r="O2526" t="n">
        <v>0</v>
      </c>
      <c r="P2526" t="n">
        <v>0</v>
      </c>
      <c r="Q2526" t="n">
        <v>0</v>
      </c>
      <c r="R2526" s="2" t="inlineStr"/>
    </row>
    <row r="2527" ht="15" customHeight="1">
      <c r="A2527" t="inlineStr">
        <is>
          <t>A 61251-2019</t>
        </is>
      </c>
      <c r="B2527" s="1" t="n">
        <v>43783</v>
      </c>
      <c r="C2527" s="1" t="n">
        <v>45204</v>
      </c>
      <c r="D2527" t="inlineStr">
        <is>
          <t>VÄSTERBOTTENS LÄN</t>
        </is>
      </c>
      <c r="E2527" t="inlineStr">
        <is>
          <t>UMEÅ</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61491-2019</t>
        </is>
      </c>
      <c r="B2528" s="1" t="n">
        <v>43783</v>
      </c>
      <c r="C2528" s="1" t="n">
        <v>45204</v>
      </c>
      <c r="D2528" t="inlineStr">
        <is>
          <t>VÄSTERBOTTENS LÄN</t>
        </is>
      </c>
      <c r="E2528" t="inlineStr">
        <is>
          <t>UMEÅ</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61468-2019</t>
        </is>
      </c>
      <c r="B2529" s="1" t="n">
        <v>43783</v>
      </c>
      <c r="C2529" s="1" t="n">
        <v>45204</v>
      </c>
      <c r="D2529" t="inlineStr">
        <is>
          <t>VÄSTERBOTTENS LÄN</t>
        </is>
      </c>
      <c r="E2529" t="inlineStr">
        <is>
          <t>SKELLEFTEÅ</t>
        </is>
      </c>
      <c r="F2529" t="inlineStr">
        <is>
          <t>Sveaskog</t>
        </is>
      </c>
      <c r="G2529" t="n">
        <v>2.6</v>
      </c>
      <c r="H2529" t="n">
        <v>0</v>
      </c>
      <c r="I2529" t="n">
        <v>0</v>
      </c>
      <c r="J2529" t="n">
        <v>0</v>
      </c>
      <c r="K2529" t="n">
        <v>0</v>
      </c>
      <c r="L2529" t="n">
        <v>0</v>
      </c>
      <c r="M2529" t="n">
        <v>0</v>
      </c>
      <c r="N2529" t="n">
        <v>0</v>
      </c>
      <c r="O2529" t="n">
        <v>0</v>
      </c>
      <c r="P2529" t="n">
        <v>0</v>
      </c>
      <c r="Q2529" t="n">
        <v>0</v>
      </c>
      <c r="R2529" s="2" t="inlineStr"/>
    </row>
    <row r="2530" ht="15" customHeight="1">
      <c r="A2530" t="inlineStr">
        <is>
          <t>A 61485-2019</t>
        </is>
      </c>
      <c r="B2530" s="1" t="n">
        <v>43783</v>
      </c>
      <c r="C2530" s="1" t="n">
        <v>45204</v>
      </c>
      <c r="D2530" t="inlineStr">
        <is>
          <t>VÄSTERBOTTENS LÄN</t>
        </is>
      </c>
      <c r="E2530" t="inlineStr">
        <is>
          <t>UMEÅ</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62404-2019</t>
        </is>
      </c>
      <c r="B2531" s="1" t="n">
        <v>43783</v>
      </c>
      <c r="C2531" s="1" t="n">
        <v>45204</v>
      </c>
      <c r="D2531" t="inlineStr">
        <is>
          <t>VÄSTERBOTTENS LÄN</t>
        </is>
      </c>
      <c r="E2531" t="inlineStr">
        <is>
          <t>STORUMAN</t>
        </is>
      </c>
      <c r="G2531" t="n">
        <v>5.9</v>
      </c>
      <c r="H2531" t="n">
        <v>0</v>
      </c>
      <c r="I2531" t="n">
        <v>0</v>
      </c>
      <c r="J2531" t="n">
        <v>0</v>
      </c>
      <c r="K2531" t="n">
        <v>0</v>
      </c>
      <c r="L2531" t="n">
        <v>0</v>
      </c>
      <c r="M2531" t="n">
        <v>0</v>
      </c>
      <c r="N2531" t="n">
        <v>0</v>
      </c>
      <c r="O2531" t="n">
        <v>0</v>
      </c>
      <c r="P2531" t="n">
        <v>0</v>
      </c>
      <c r="Q2531" t="n">
        <v>0</v>
      </c>
      <c r="R2531" s="2" t="inlineStr"/>
    </row>
    <row r="2532" ht="15" customHeight="1">
      <c r="A2532" t="inlineStr">
        <is>
          <t>A 62542-2019</t>
        </is>
      </c>
      <c r="B2532" s="1" t="n">
        <v>43783</v>
      </c>
      <c r="C2532" s="1" t="n">
        <v>45204</v>
      </c>
      <c r="D2532" t="inlineStr">
        <is>
          <t>VÄSTERBOTTENS LÄN</t>
        </is>
      </c>
      <c r="E2532" t="inlineStr">
        <is>
          <t>VINDELN</t>
        </is>
      </c>
      <c r="F2532" t="inlineStr">
        <is>
          <t>SCA</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62584-2019</t>
        </is>
      </c>
      <c r="B2533" s="1" t="n">
        <v>43784</v>
      </c>
      <c r="C2533" s="1" t="n">
        <v>45204</v>
      </c>
      <c r="D2533" t="inlineStr">
        <is>
          <t>VÄSTERBOTTENS LÄN</t>
        </is>
      </c>
      <c r="E2533" t="inlineStr">
        <is>
          <t>SKELLEFTEÅ</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61615-2019</t>
        </is>
      </c>
      <c r="B2534" s="1" t="n">
        <v>43784</v>
      </c>
      <c r="C2534" s="1" t="n">
        <v>45204</v>
      </c>
      <c r="D2534" t="inlineStr">
        <is>
          <t>VÄSTERBOTTENS LÄN</t>
        </is>
      </c>
      <c r="E2534" t="inlineStr">
        <is>
          <t>ROBERTSFORS</t>
        </is>
      </c>
      <c r="F2534" t="inlineStr">
        <is>
          <t>Holmen skog AB</t>
        </is>
      </c>
      <c r="G2534" t="n">
        <v>3.1</v>
      </c>
      <c r="H2534" t="n">
        <v>0</v>
      </c>
      <c r="I2534" t="n">
        <v>0</v>
      </c>
      <c r="J2534" t="n">
        <v>0</v>
      </c>
      <c r="K2534" t="n">
        <v>0</v>
      </c>
      <c r="L2534" t="n">
        <v>0</v>
      </c>
      <c r="M2534" t="n">
        <v>0</v>
      </c>
      <c r="N2534" t="n">
        <v>0</v>
      </c>
      <c r="O2534" t="n">
        <v>0</v>
      </c>
      <c r="P2534" t="n">
        <v>0</v>
      </c>
      <c r="Q2534" t="n">
        <v>0</v>
      </c>
      <c r="R2534" s="2" t="inlineStr"/>
    </row>
    <row r="2535" ht="15" customHeight="1">
      <c r="A2535" t="inlineStr">
        <is>
          <t>A 62580-2019</t>
        </is>
      </c>
      <c r="B2535" s="1" t="n">
        <v>43784</v>
      </c>
      <c r="C2535" s="1" t="n">
        <v>45204</v>
      </c>
      <c r="D2535" t="inlineStr">
        <is>
          <t>VÄSTERBOTTENS LÄN</t>
        </is>
      </c>
      <c r="E2535" t="inlineStr">
        <is>
          <t>STORUMAN</t>
        </is>
      </c>
      <c r="G2535" t="n">
        <v>7.3</v>
      </c>
      <c r="H2535" t="n">
        <v>0</v>
      </c>
      <c r="I2535" t="n">
        <v>0</v>
      </c>
      <c r="J2535" t="n">
        <v>0</v>
      </c>
      <c r="K2535" t="n">
        <v>0</v>
      </c>
      <c r="L2535" t="n">
        <v>0</v>
      </c>
      <c r="M2535" t="n">
        <v>0</v>
      </c>
      <c r="N2535" t="n">
        <v>0</v>
      </c>
      <c r="O2535" t="n">
        <v>0</v>
      </c>
      <c r="P2535" t="n">
        <v>0</v>
      </c>
      <c r="Q2535" t="n">
        <v>0</v>
      </c>
      <c r="R2535" s="2" t="inlineStr"/>
    </row>
    <row r="2536" ht="15" customHeight="1">
      <c r="A2536" t="inlineStr">
        <is>
          <t>A 62900-2019</t>
        </is>
      </c>
      <c r="B2536" s="1" t="n">
        <v>43784</v>
      </c>
      <c r="C2536" s="1" t="n">
        <v>45204</v>
      </c>
      <c r="D2536" t="inlineStr">
        <is>
          <t>VÄSTERBOTTENS LÄN</t>
        </is>
      </c>
      <c r="E2536" t="inlineStr">
        <is>
          <t>ROBERTSFORS</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61823-2019</t>
        </is>
      </c>
      <c r="B2537" s="1" t="n">
        <v>43786</v>
      </c>
      <c r="C2537" s="1" t="n">
        <v>45204</v>
      </c>
      <c r="D2537" t="inlineStr">
        <is>
          <t>VÄSTERBOTTENS LÄN</t>
        </is>
      </c>
      <c r="E2537" t="inlineStr">
        <is>
          <t>VINDELN</t>
        </is>
      </c>
      <c r="F2537" t="inlineStr">
        <is>
          <t>Holmen skog AB</t>
        </is>
      </c>
      <c r="G2537" t="n">
        <v>8.5</v>
      </c>
      <c r="H2537" t="n">
        <v>0</v>
      </c>
      <c r="I2537" t="n">
        <v>0</v>
      </c>
      <c r="J2537" t="n">
        <v>0</v>
      </c>
      <c r="K2537" t="n">
        <v>0</v>
      </c>
      <c r="L2537" t="n">
        <v>0</v>
      </c>
      <c r="M2537" t="n">
        <v>0</v>
      </c>
      <c r="N2537" t="n">
        <v>0</v>
      </c>
      <c r="O2537" t="n">
        <v>0</v>
      </c>
      <c r="P2537" t="n">
        <v>0</v>
      </c>
      <c r="Q2537" t="n">
        <v>0</v>
      </c>
      <c r="R2537" s="2" t="inlineStr"/>
    </row>
    <row r="2538" ht="15" customHeight="1">
      <c r="A2538" t="inlineStr">
        <is>
          <t>A 63040-2019</t>
        </is>
      </c>
      <c r="B2538" s="1" t="n">
        <v>43787</v>
      </c>
      <c r="C2538" s="1" t="n">
        <v>45204</v>
      </c>
      <c r="D2538" t="inlineStr">
        <is>
          <t>VÄSTERBOTTENS LÄN</t>
        </is>
      </c>
      <c r="E2538" t="inlineStr">
        <is>
          <t>VÄNNÄS</t>
        </is>
      </c>
      <c r="G2538" t="n">
        <v>11.3</v>
      </c>
      <c r="H2538" t="n">
        <v>0</v>
      </c>
      <c r="I2538" t="n">
        <v>0</v>
      </c>
      <c r="J2538" t="n">
        <v>0</v>
      </c>
      <c r="K2538" t="n">
        <v>0</v>
      </c>
      <c r="L2538" t="n">
        <v>0</v>
      </c>
      <c r="M2538" t="n">
        <v>0</v>
      </c>
      <c r="N2538" t="n">
        <v>0</v>
      </c>
      <c r="O2538" t="n">
        <v>0</v>
      </c>
      <c r="P2538" t="n">
        <v>0</v>
      </c>
      <c r="Q2538" t="n">
        <v>0</v>
      </c>
      <c r="R2538" s="2" t="inlineStr"/>
    </row>
    <row r="2539" ht="15" customHeight="1">
      <c r="A2539" t="inlineStr">
        <is>
          <t>A 63402-2019</t>
        </is>
      </c>
      <c r="B2539" s="1" t="n">
        <v>43787</v>
      </c>
      <c r="C2539" s="1" t="n">
        <v>45204</v>
      </c>
      <c r="D2539" t="inlineStr">
        <is>
          <t>VÄSTERBOTTENS LÄN</t>
        </is>
      </c>
      <c r="E2539" t="inlineStr">
        <is>
          <t>ÅSELE</t>
        </is>
      </c>
      <c r="G2539" t="n">
        <v>5.3</v>
      </c>
      <c r="H2539" t="n">
        <v>0</v>
      </c>
      <c r="I2539" t="n">
        <v>0</v>
      </c>
      <c r="J2539" t="n">
        <v>0</v>
      </c>
      <c r="K2539" t="n">
        <v>0</v>
      </c>
      <c r="L2539" t="n">
        <v>0</v>
      </c>
      <c r="M2539" t="n">
        <v>0</v>
      </c>
      <c r="N2539" t="n">
        <v>0</v>
      </c>
      <c r="O2539" t="n">
        <v>0</v>
      </c>
      <c r="P2539" t="n">
        <v>0</v>
      </c>
      <c r="Q2539" t="n">
        <v>0</v>
      </c>
      <c r="R2539" s="2" t="inlineStr"/>
    </row>
    <row r="2540" ht="15" customHeight="1">
      <c r="A2540" t="inlineStr">
        <is>
          <t>A 63434-2019</t>
        </is>
      </c>
      <c r="B2540" s="1" t="n">
        <v>43787</v>
      </c>
      <c r="C2540" s="1" t="n">
        <v>45204</v>
      </c>
      <c r="D2540" t="inlineStr">
        <is>
          <t>VÄSTERBOTTENS LÄN</t>
        </is>
      </c>
      <c r="E2540" t="inlineStr">
        <is>
          <t>ÅSELE</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63352-2019</t>
        </is>
      </c>
      <c r="B2541" s="1" t="n">
        <v>43787</v>
      </c>
      <c r="C2541" s="1" t="n">
        <v>45204</v>
      </c>
      <c r="D2541" t="inlineStr">
        <is>
          <t>VÄSTERBOTTENS LÄN</t>
        </is>
      </c>
      <c r="E2541" t="inlineStr">
        <is>
          <t>MALÅ</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62124-2019</t>
        </is>
      </c>
      <c r="B2542" s="1" t="n">
        <v>43787</v>
      </c>
      <c r="C2542" s="1" t="n">
        <v>45204</v>
      </c>
      <c r="D2542" t="inlineStr">
        <is>
          <t>VÄSTERBOTTENS LÄN</t>
        </is>
      </c>
      <c r="E2542" t="inlineStr">
        <is>
          <t>NORSJÖ</t>
        </is>
      </c>
      <c r="F2542" t="inlineStr">
        <is>
          <t>Sveaskog</t>
        </is>
      </c>
      <c r="G2542" t="n">
        <v>12.2</v>
      </c>
      <c r="H2542" t="n">
        <v>0</v>
      </c>
      <c r="I2542" t="n">
        <v>0</v>
      </c>
      <c r="J2542" t="n">
        <v>0</v>
      </c>
      <c r="K2542" t="n">
        <v>0</v>
      </c>
      <c r="L2542" t="n">
        <v>0</v>
      </c>
      <c r="M2542" t="n">
        <v>0</v>
      </c>
      <c r="N2542" t="n">
        <v>0</v>
      </c>
      <c r="O2542" t="n">
        <v>0</v>
      </c>
      <c r="P2542" t="n">
        <v>0</v>
      </c>
      <c r="Q2542" t="n">
        <v>0</v>
      </c>
      <c r="R2542" s="2" t="inlineStr"/>
    </row>
    <row r="2543" ht="15" customHeight="1">
      <c r="A2543" t="inlineStr">
        <is>
          <t>A 63313-2019</t>
        </is>
      </c>
      <c r="B2543" s="1" t="n">
        <v>43787</v>
      </c>
      <c r="C2543" s="1" t="n">
        <v>45204</v>
      </c>
      <c r="D2543" t="inlineStr">
        <is>
          <t>VÄSTERBOTTENS LÄN</t>
        </is>
      </c>
      <c r="E2543" t="inlineStr">
        <is>
          <t>LYCKSELE</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63346-2019</t>
        </is>
      </c>
      <c r="B2544" s="1" t="n">
        <v>43787</v>
      </c>
      <c r="C2544" s="1" t="n">
        <v>45204</v>
      </c>
      <c r="D2544" t="inlineStr">
        <is>
          <t>VÄSTERBOTTENS LÄN</t>
        </is>
      </c>
      <c r="E2544" t="inlineStr">
        <is>
          <t>MALÅ</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63424-2019</t>
        </is>
      </c>
      <c r="B2545" s="1" t="n">
        <v>43787</v>
      </c>
      <c r="C2545" s="1" t="n">
        <v>45204</v>
      </c>
      <c r="D2545" t="inlineStr">
        <is>
          <t>VÄSTERBOTTENS LÄN</t>
        </is>
      </c>
      <c r="E2545" t="inlineStr">
        <is>
          <t>UMEÅ</t>
        </is>
      </c>
      <c r="F2545" t="inlineStr">
        <is>
          <t>SCA</t>
        </is>
      </c>
      <c r="G2545" t="n">
        <v>5.6</v>
      </c>
      <c r="H2545" t="n">
        <v>0</v>
      </c>
      <c r="I2545" t="n">
        <v>0</v>
      </c>
      <c r="J2545" t="n">
        <v>0</v>
      </c>
      <c r="K2545" t="n">
        <v>0</v>
      </c>
      <c r="L2545" t="n">
        <v>0</v>
      </c>
      <c r="M2545" t="n">
        <v>0</v>
      </c>
      <c r="N2545" t="n">
        <v>0</v>
      </c>
      <c r="O2545" t="n">
        <v>0</v>
      </c>
      <c r="P2545" t="n">
        <v>0</v>
      </c>
      <c r="Q2545" t="n">
        <v>0</v>
      </c>
      <c r="R2545" s="2" t="inlineStr"/>
    </row>
    <row r="2546" ht="15" customHeight="1">
      <c r="A2546" t="inlineStr">
        <is>
          <t>A 62097-2019</t>
        </is>
      </c>
      <c r="B2546" s="1" t="n">
        <v>43787</v>
      </c>
      <c r="C2546" s="1" t="n">
        <v>45204</v>
      </c>
      <c r="D2546" t="inlineStr">
        <is>
          <t>VÄSTERBOTTENS LÄN</t>
        </is>
      </c>
      <c r="E2546" t="inlineStr">
        <is>
          <t>BJURHOLM</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63305-2019</t>
        </is>
      </c>
      <c r="B2547" s="1" t="n">
        <v>43787</v>
      </c>
      <c r="C2547" s="1" t="n">
        <v>45204</v>
      </c>
      <c r="D2547" t="inlineStr">
        <is>
          <t>VÄSTERBOTTENS LÄN</t>
        </is>
      </c>
      <c r="E2547" t="inlineStr">
        <is>
          <t>LYCKSELE</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63340-2019</t>
        </is>
      </c>
      <c r="B2548" s="1" t="n">
        <v>43787</v>
      </c>
      <c r="C2548" s="1" t="n">
        <v>45204</v>
      </c>
      <c r="D2548" t="inlineStr">
        <is>
          <t>VÄSTERBOTTENS LÄN</t>
        </is>
      </c>
      <c r="E2548" t="inlineStr">
        <is>
          <t>NORDMALING</t>
        </is>
      </c>
      <c r="F2548" t="inlineStr">
        <is>
          <t>SCA</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63419-2019</t>
        </is>
      </c>
      <c r="B2549" s="1" t="n">
        <v>43787</v>
      </c>
      <c r="C2549" s="1" t="n">
        <v>45204</v>
      </c>
      <c r="D2549" t="inlineStr">
        <is>
          <t>VÄSTERBOTTENS LÄN</t>
        </is>
      </c>
      <c r="E2549" t="inlineStr">
        <is>
          <t>NORDMALING</t>
        </is>
      </c>
      <c r="F2549" t="inlineStr">
        <is>
          <t>SCA</t>
        </is>
      </c>
      <c r="G2549" t="n">
        <v>2.9</v>
      </c>
      <c r="H2549" t="n">
        <v>0</v>
      </c>
      <c r="I2549" t="n">
        <v>0</v>
      </c>
      <c r="J2549" t="n">
        <v>0</v>
      </c>
      <c r="K2549" t="n">
        <v>0</v>
      </c>
      <c r="L2549" t="n">
        <v>0</v>
      </c>
      <c r="M2549" t="n">
        <v>0</v>
      </c>
      <c r="N2549" t="n">
        <v>0</v>
      </c>
      <c r="O2549" t="n">
        <v>0</v>
      </c>
      <c r="P2549" t="n">
        <v>0</v>
      </c>
      <c r="Q2549" t="n">
        <v>0</v>
      </c>
      <c r="R2549" s="2" t="inlineStr"/>
    </row>
    <row r="2550" ht="15" customHeight="1">
      <c r="A2550" t="inlineStr">
        <is>
          <t>A 62228-2019</t>
        </is>
      </c>
      <c r="B2550" s="1" t="n">
        <v>43788</v>
      </c>
      <c r="C2550" s="1" t="n">
        <v>45204</v>
      </c>
      <c r="D2550" t="inlineStr">
        <is>
          <t>VÄSTERBOTTENS LÄN</t>
        </is>
      </c>
      <c r="E2550" t="inlineStr">
        <is>
          <t>UMEÅ</t>
        </is>
      </c>
      <c r="G2550" t="n">
        <v>5.7</v>
      </c>
      <c r="H2550" t="n">
        <v>0</v>
      </c>
      <c r="I2550" t="n">
        <v>0</v>
      </c>
      <c r="J2550" t="n">
        <v>0</v>
      </c>
      <c r="K2550" t="n">
        <v>0</v>
      </c>
      <c r="L2550" t="n">
        <v>0</v>
      </c>
      <c r="M2550" t="n">
        <v>0</v>
      </c>
      <c r="N2550" t="n">
        <v>0</v>
      </c>
      <c r="O2550" t="n">
        <v>0</v>
      </c>
      <c r="P2550" t="n">
        <v>0</v>
      </c>
      <c r="Q2550" t="n">
        <v>0</v>
      </c>
      <c r="R2550" s="2" t="inlineStr"/>
    </row>
    <row r="2551" ht="15" customHeight="1">
      <c r="A2551" t="inlineStr">
        <is>
          <t>A 62358-2019</t>
        </is>
      </c>
      <c r="B2551" s="1" t="n">
        <v>43788</v>
      </c>
      <c r="C2551" s="1" t="n">
        <v>45204</v>
      </c>
      <c r="D2551" t="inlineStr">
        <is>
          <t>VÄSTERBOTTENS LÄN</t>
        </is>
      </c>
      <c r="E2551" t="inlineStr">
        <is>
          <t>ROBERTSFORS</t>
        </is>
      </c>
      <c r="F2551" t="inlineStr">
        <is>
          <t>Holmen skog AB</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63506-2019</t>
        </is>
      </c>
      <c r="B2552" s="1" t="n">
        <v>43788</v>
      </c>
      <c r="C2552" s="1" t="n">
        <v>45204</v>
      </c>
      <c r="D2552" t="inlineStr">
        <is>
          <t>VÄSTERBOTTENS LÄN</t>
        </is>
      </c>
      <c r="E2552" t="inlineStr">
        <is>
          <t>LYCKSELE</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62201-2019</t>
        </is>
      </c>
      <c r="B2553" s="1" t="n">
        <v>43788</v>
      </c>
      <c r="C2553" s="1" t="n">
        <v>45204</v>
      </c>
      <c r="D2553" t="inlineStr">
        <is>
          <t>VÄSTERBOTTENS LÄN</t>
        </is>
      </c>
      <c r="E2553" t="inlineStr">
        <is>
          <t>SKELLEFTEÅ</t>
        </is>
      </c>
      <c r="G2553" t="n">
        <v>8.699999999999999</v>
      </c>
      <c r="H2553" t="n">
        <v>0</v>
      </c>
      <c r="I2553" t="n">
        <v>0</v>
      </c>
      <c r="J2553" t="n">
        <v>0</v>
      </c>
      <c r="K2553" t="n">
        <v>0</v>
      </c>
      <c r="L2553" t="n">
        <v>0</v>
      </c>
      <c r="M2553" t="n">
        <v>0</v>
      </c>
      <c r="N2553" t="n">
        <v>0</v>
      </c>
      <c r="O2553" t="n">
        <v>0</v>
      </c>
      <c r="P2553" t="n">
        <v>0</v>
      </c>
      <c r="Q2553" t="n">
        <v>0</v>
      </c>
      <c r="R2553" s="2" t="inlineStr"/>
    </row>
    <row r="2554" ht="15" customHeight="1">
      <c r="A2554" t="inlineStr">
        <is>
          <t>A 62229-2019</t>
        </is>
      </c>
      <c r="B2554" s="1" t="n">
        <v>43788</v>
      </c>
      <c r="C2554" s="1" t="n">
        <v>45204</v>
      </c>
      <c r="D2554" t="inlineStr">
        <is>
          <t>VÄSTERBOTTENS LÄN</t>
        </is>
      </c>
      <c r="E2554" t="inlineStr">
        <is>
          <t>UMEÅ</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62268-2019</t>
        </is>
      </c>
      <c r="B2555" s="1" t="n">
        <v>43788</v>
      </c>
      <c r="C2555" s="1" t="n">
        <v>45204</v>
      </c>
      <c r="D2555" t="inlineStr">
        <is>
          <t>VÄSTERBOTTENS LÄN</t>
        </is>
      </c>
      <c r="E2555" t="inlineStr">
        <is>
          <t>UMEÅ</t>
        </is>
      </c>
      <c r="F2555" t="inlineStr">
        <is>
          <t>Holmen skog AB</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62363-2019</t>
        </is>
      </c>
      <c r="B2556" s="1" t="n">
        <v>43788</v>
      </c>
      <c r="C2556" s="1" t="n">
        <v>45204</v>
      </c>
      <c r="D2556" t="inlineStr">
        <is>
          <t>VÄSTERBOTTENS LÄN</t>
        </is>
      </c>
      <c r="E2556" t="inlineStr">
        <is>
          <t>NORDMALING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62507-2019</t>
        </is>
      </c>
      <c r="B2557" s="1" t="n">
        <v>43788</v>
      </c>
      <c r="C2557" s="1" t="n">
        <v>45204</v>
      </c>
      <c r="D2557" t="inlineStr">
        <is>
          <t>VÄSTERBOTTENS LÄN</t>
        </is>
      </c>
      <c r="E2557" t="inlineStr">
        <is>
          <t>LYCKSELE</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63617-2019</t>
        </is>
      </c>
      <c r="B2558" s="1" t="n">
        <v>43788</v>
      </c>
      <c r="C2558" s="1" t="n">
        <v>45204</v>
      </c>
      <c r="D2558" t="inlineStr">
        <is>
          <t>VÄSTERBOTTENS LÄN</t>
        </is>
      </c>
      <c r="E2558" t="inlineStr">
        <is>
          <t>UMEÅ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63615-2019</t>
        </is>
      </c>
      <c r="B2559" s="1" t="n">
        <v>43789</v>
      </c>
      <c r="C2559" s="1" t="n">
        <v>45204</v>
      </c>
      <c r="D2559" t="inlineStr">
        <is>
          <t>VÄSTERBOTTENS LÄN</t>
        </is>
      </c>
      <c r="E2559" t="inlineStr">
        <is>
          <t>STORUMAN</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62678-2019</t>
        </is>
      </c>
      <c r="B2560" s="1" t="n">
        <v>43789</v>
      </c>
      <c r="C2560" s="1" t="n">
        <v>45204</v>
      </c>
      <c r="D2560" t="inlineStr">
        <is>
          <t>VÄSTERBOTTENS LÄN</t>
        </is>
      </c>
      <c r="E2560" t="inlineStr">
        <is>
          <t>SKELLEFTEÅ</t>
        </is>
      </c>
      <c r="G2560" t="n">
        <v>4.9</v>
      </c>
      <c r="H2560" t="n">
        <v>0</v>
      </c>
      <c r="I2560" t="n">
        <v>0</v>
      </c>
      <c r="J2560" t="n">
        <v>0</v>
      </c>
      <c r="K2560" t="n">
        <v>0</v>
      </c>
      <c r="L2560" t="n">
        <v>0</v>
      </c>
      <c r="M2560" t="n">
        <v>0</v>
      </c>
      <c r="N2560" t="n">
        <v>0</v>
      </c>
      <c r="O2560" t="n">
        <v>0</v>
      </c>
      <c r="P2560" t="n">
        <v>0</v>
      </c>
      <c r="Q2560" t="n">
        <v>0</v>
      </c>
      <c r="R2560" s="2" t="inlineStr"/>
    </row>
    <row r="2561" ht="15" customHeight="1">
      <c r="A2561" t="inlineStr">
        <is>
          <t>A 63663-2019</t>
        </is>
      </c>
      <c r="B2561" s="1" t="n">
        <v>43789</v>
      </c>
      <c r="C2561" s="1" t="n">
        <v>45204</v>
      </c>
      <c r="D2561" t="inlineStr">
        <is>
          <t>VÄSTERBOTTENS LÄN</t>
        </is>
      </c>
      <c r="E2561" t="inlineStr">
        <is>
          <t>STORUMAN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63656-2019</t>
        </is>
      </c>
      <c r="B2562" s="1" t="n">
        <v>43789</v>
      </c>
      <c r="C2562" s="1" t="n">
        <v>45204</v>
      </c>
      <c r="D2562" t="inlineStr">
        <is>
          <t>VÄSTERBOTTENS LÄN</t>
        </is>
      </c>
      <c r="E2562" t="inlineStr">
        <is>
          <t>STORUMAN</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62873-2019</t>
        </is>
      </c>
      <c r="B2563" s="1" t="n">
        <v>43790</v>
      </c>
      <c r="C2563" s="1" t="n">
        <v>45204</v>
      </c>
      <c r="D2563" t="inlineStr">
        <is>
          <t>VÄSTERBOTTENS LÄN</t>
        </is>
      </c>
      <c r="E2563" t="inlineStr">
        <is>
          <t>SKELLEFTEÅ</t>
        </is>
      </c>
      <c r="F2563" t="inlineStr">
        <is>
          <t>Holmen skog AB</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62823-2019</t>
        </is>
      </c>
      <c r="B2564" s="1" t="n">
        <v>43790</v>
      </c>
      <c r="C2564" s="1" t="n">
        <v>45204</v>
      </c>
      <c r="D2564" t="inlineStr">
        <is>
          <t>VÄSTERBOTTENS LÄN</t>
        </is>
      </c>
      <c r="E2564" t="inlineStr">
        <is>
          <t>SKELLEFTEÅ</t>
        </is>
      </c>
      <c r="F2564" t="inlineStr">
        <is>
          <t>Holmen skog AB</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62883-2019</t>
        </is>
      </c>
      <c r="B2565" s="1" t="n">
        <v>43790</v>
      </c>
      <c r="C2565" s="1" t="n">
        <v>45204</v>
      </c>
      <c r="D2565" t="inlineStr">
        <is>
          <t>VÄSTERBOTTENS LÄN</t>
        </is>
      </c>
      <c r="E2565" t="inlineStr">
        <is>
          <t>ROBERTSFORS</t>
        </is>
      </c>
      <c r="F2565" t="inlineStr">
        <is>
          <t>Holmen skog AB</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63027-2019</t>
        </is>
      </c>
      <c r="B2566" s="1" t="n">
        <v>43791</v>
      </c>
      <c r="C2566" s="1" t="n">
        <v>45204</v>
      </c>
      <c r="D2566" t="inlineStr">
        <is>
          <t>VÄSTERBOTTENS LÄN</t>
        </is>
      </c>
      <c r="E2566" t="inlineStr">
        <is>
          <t>VILHELMINA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63235-2019</t>
        </is>
      </c>
      <c r="B2567" s="1" t="n">
        <v>43791</v>
      </c>
      <c r="C2567" s="1" t="n">
        <v>45204</v>
      </c>
      <c r="D2567" t="inlineStr">
        <is>
          <t>VÄSTERBOTTENS LÄN</t>
        </is>
      </c>
      <c r="E2567" t="inlineStr">
        <is>
          <t>NORDMALING</t>
        </is>
      </c>
      <c r="F2567" t="inlineStr">
        <is>
          <t>SCA</t>
        </is>
      </c>
      <c r="G2567" t="n">
        <v>4.2</v>
      </c>
      <c r="H2567" t="n">
        <v>0</v>
      </c>
      <c r="I2567" t="n">
        <v>0</v>
      </c>
      <c r="J2567" t="n">
        <v>0</v>
      </c>
      <c r="K2567" t="n">
        <v>0</v>
      </c>
      <c r="L2567" t="n">
        <v>0</v>
      </c>
      <c r="M2567" t="n">
        <v>0</v>
      </c>
      <c r="N2567" t="n">
        <v>0</v>
      </c>
      <c r="O2567" t="n">
        <v>0</v>
      </c>
      <c r="P2567" t="n">
        <v>0</v>
      </c>
      <c r="Q2567" t="n">
        <v>0</v>
      </c>
      <c r="R2567" s="2" t="inlineStr"/>
    </row>
    <row r="2568" ht="15" customHeight="1">
      <c r="A2568" t="inlineStr">
        <is>
          <t>A 63236-2019</t>
        </is>
      </c>
      <c r="B2568" s="1" t="n">
        <v>43791</v>
      </c>
      <c r="C2568" s="1" t="n">
        <v>45204</v>
      </c>
      <c r="D2568" t="inlineStr">
        <is>
          <t>VÄSTERBOTTENS LÄN</t>
        </is>
      </c>
      <c r="E2568" t="inlineStr">
        <is>
          <t>LYCKSELE</t>
        </is>
      </c>
      <c r="F2568" t="inlineStr">
        <is>
          <t>SCA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64348-2019</t>
        </is>
      </c>
      <c r="B2569" s="1" t="n">
        <v>43793</v>
      </c>
      <c r="C2569" s="1" t="n">
        <v>45204</v>
      </c>
      <c r="D2569" t="inlineStr">
        <is>
          <t>VÄSTERBOTTENS LÄN</t>
        </is>
      </c>
      <c r="E2569" t="inlineStr">
        <is>
          <t>ROBERTSFORS</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64676-2019</t>
        </is>
      </c>
      <c r="B2570" s="1" t="n">
        <v>43794</v>
      </c>
      <c r="C2570" s="1" t="n">
        <v>45204</v>
      </c>
      <c r="D2570" t="inlineStr">
        <is>
          <t>VÄSTERBOTTENS LÄN</t>
        </is>
      </c>
      <c r="E2570" t="inlineStr">
        <is>
          <t>ÅSELE</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63361-2019</t>
        </is>
      </c>
      <c r="B2571" s="1" t="n">
        <v>43794</v>
      </c>
      <c r="C2571" s="1" t="n">
        <v>45204</v>
      </c>
      <c r="D2571" t="inlineStr">
        <is>
          <t>VÄSTERBOTTENS LÄN</t>
        </is>
      </c>
      <c r="E2571" t="inlineStr">
        <is>
          <t>NORDMALING</t>
        </is>
      </c>
      <c r="F2571" t="inlineStr">
        <is>
          <t>Holmen skog AB</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64670-2019</t>
        </is>
      </c>
      <c r="B2572" s="1" t="n">
        <v>43794</v>
      </c>
      <c r="C2572" s="1" t="n">
        <v>45204</v>
      </c>
      <c r="D2572" t="inlineStr">
        <is>
          <t>VÄSTERBOTTENS LÄN</t>
        </is>
      </c>
      <c r="E2572" t="inlineStr">
        <is>
          <t>ÅSELE</t>
        </is>
      </c>
      <c r="F2572" t="inlineStr">
        <is>
          <t>Övriga Aktiebolag</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64397-2019</t>
        </is>
      </c>
      <c r="B2573" s="1" t="n">
        <v>43794</v>
      </c>
      <c r="C2573" s="1" t="n">
        <v>45204</v>
      </c>
      <c r="D2573" t="inlineStr">
        <is>
          <t>VÄSTERBOTTENS LÄN</t>
        </is>
      </c>
      <c r="E2573" t="inlineStr">
        <is>
          <t>STORUMAN</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64692-2019</t>
        </is>
      </c>
      <c r="B2574" s="1" t="n">
        <v>43794</v>
      </c>
      <c r="C2574" s="1" t="n">
        <v>45204</v>
      </c>
      <c r="D2574" t="inlineStr">
        <is>
          <t>VÄSTERBOTTENS LÄN</t>
        </is>
      </c>
      <c r="E2574" t="inlineStr">
        <is>
          <t>SORSELE</t>
        </is>
      </c>
      <c r="G2574" t="n">
        <v>5.6</v>
      </c>
      <c r="H2574" t="n">
        <v>0</v>
      </c>
      <c r="I2574" t="n">
        <v>0</v>
      </c>
      <c r="J2574" t="n">
        <v>0</v>
      </c>
      <c r="K2574" t="n">
        <v>0</v>
      </c>
      <c r="L2574" t="n">
        <v>0</v>
      </c>
      <c r="M2574" t="n">
        <v>0</v>
      </c>
      <c r="N2574" t="n">
        <v>0</v>
      </c>
      <c r="O2574" t="n">
        <v>0</v>
      </c>
      <c r="P2574" t="n">
        <v>0</v>
      </c>
      <c r="Q2574" t="n">
        <v>0</v>
      </c>
      <c r="R2574" s="2" t="inlineStr"/>
    </row>
    <row r="2575" ht="15" customHeight="1">
      <c r="A2575" t="inlineStr">
        <is>
          <t>A 63554-2019</t>
        </is>
      </c>
      <c r="B2575" s="1" t="n">
        <v>43794</v>
      </c>
      <c r="C2575" s="1" t="n">
        <v>45204</v>
      </c>
      <c r="D2575" t="inlineStr">
        <is>
          <t>VÄSTERBOTTENS LÄN</t>
        </is>
      </c>
      <c r="E2575" t="inlineStr">
        <is>
          <t>SKELLEFTEÅ</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63559-2019</t>
        </is>
      </c>
      <c r="B2576" s="1" t="n">
        <v>43795</v>
      </c>
      <c r="C2576" s="1" t="n">
        <v>45204</v>
      </c>
      <c r="D2576" t="inlineStr">
        <is>
          <t>VÄSTERBOTTENS LÄN</t>
        </is>
      </c>
      <c r="E2576" t="inlineStr">
        <is>
          <t>UMEÅ</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63835-2019</t>
        </is>
      </c>
      <c r="B2577" s="1" t="n">
        <v>43795</v>
      </c>
      <c r="C2577" s="1" t="n">
        <v>45204</v>
      </c>
      <c r="D2577" t="inlineStr">
        <is>
          <t>VÄSTERBOTTENS LÄN</t>
        </is>
      </c>
      <c r="E2577" t="inlineStr">
        <is>
          <t>ÅSELE</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64847-2019</t>
        </is>
      </c>
      <c r="B2578" s="1" t="n">
        <v>43795</v>
      </c>
      <c r="C2578" s="1" t="n">
        <v>45204</v>
      </c>
      <c r="D2578" t="inlineStr">
        <is>
          <t>VÄSTERBOTTENS LÄN</t>
        </is>
      </c>
      <c r="E2578" t="inlineStr">
        <is>
          <t>ROBERTSFORS</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64967-2019</t>
        </is>
      </c>
      <c r="B2579" s="1" t="n">
        <v>43795</v>
      </c>
      <c r="C2579" s="1" t="n">
        <v>45204</v>
      </c>
      <c r="D2579" t="inlineStr">
        <is>
          <t>VÄSTERBOTTENS LÄN</t>
        </is>
      </c>
      <c r="E2579" t="inlineStr">
        <is>
          <t>ROBERTSFORS</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63896-2019</t>
        </is>
      </c>
      <c r="B2580" s="1" t="n">
        <v>43795</v>
      </c>
      <c r="C2580" s="1" t="n">
        <v>45204</v>
      </c>
      <c r="D2580" t="inlineStr">
        <is>
          <t>VÄSTERBOTTENS LÄN</t>
        </is>
      </c>
      <c r="E2580" t="inlineStr">
        <is>
          <t>DOROTEA</t>
        </is>
      </c>
      <c r="G2580" t="n">
        <v>4.8</v>
      </c>
      <c r="H2580" t="n">
        <v>0</v>
      </c>
      <c r="I2580" t="n">
        <v>0</v>
      </c>
      <c r="J2580" t="n">
        <v>0</v>
      </c>
      <c r="K2580" t="n">
        <v>0</v>
      </c>
      <c r="L2580" t="n">
        <v>0</v>
      </c>
      <c r="M2580" t="n">
        <v>0</v>
      </c>
      <c r="N2580" t="n">
        <v>0</v>
      </c>
      <c r="O2580" t="n">
        <v>0</v>
      </c>
      <c r="P2580" t="n">
        <v>0</v>
      </c>
      <c r="Q2580" t="n">
        <v>0</v>
      </c>
      <c r="R2580" s="2" t="inlineStr"/>
    </row>
    <row r="2581" ht="15" customHeight="1">
      <c r="A2581" t="inlineStr">
        <is>
          <t>A 64928-2019</t>
        </is>
      </c>
      <c r="B2581" s="1" t="n">
        <v>43795</v>
      </c>
      <c r="C2581" s="1" t="n">
        <v>45204</v>
      </c>
      <c r="D2581" t="inlineStr">
        <is>
          <t>VÄSTERBOTTENS LÄN</t>
        </is>
      </c>
      <c r="E2581" t="inlineStr">
        <is>
          <t>ROBERTSFORS</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64078-2019</t>
        </is>
      </c>
      <c r="B2582" s="1" t="n">
        <v>43796</v>
      </c>
      <c r="C2582" s="1" t="n">
        <v>45204</v>
      </c>
      <c r="D2582" t="inlineStr">
        <is>
          <t>VÄSTERBOTTENS LÄN</t>
        </is>
      </c>
      <c r="E2582" t="inlineStr">
        <is>
          <t>UMEÅ</t>
        </is>
      </c>
      <c r="F2582" t="inlineStr">
        <is>
          <t>Holmen skog AB</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64139-2019</t>
        </is>
      </c>
      <c r="B2583" s="1" t="n">
        <v>43796</v>
      </c>
      <c r="C2583" s="1" t="n">
        <v>45204</v>
      </c>
      <c r="D2583" t="inlineStr">
        <is>
          <t>VÄSTERBOTTENS LÄN</t>
        </is>
      </c>
      <c r="E2583" t="inlineStr">
        <is>
          <t>SKELLEFTEÅ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64150-2019</t>
        </is>
      </c>
      <c r="B2584" s="1" t="n">
        <v>43796</v>
      </c>
      <c r="C2584" s="1" t="n">
        <v>45204</v>
      </c>
      <c r="D2584" t="inlineStr">
        <is>
          <t>VÄSTERBOTTENS LÄN</t>
        </is>
      </c>
      <c r="E2584" t="inlineStr">
        <is>
          <t>VINDELN</t>
        </is>
      </c>
      <c r="F2584" t="inlineStr">
        <is>
          <t>SCA</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63846-2019</t>
        </is>
      </c>
      <c r="B2585" s="1" t="n">
        <v>43796</v>
      </c>
      <c r="C2585" s="1" t="n">
        <v>45204</v>
      </c>
      <c r="D2585" t="inlineStr">
        <is>
          <t>VÄSTERBOTTENS LÄN</t>
        </is>
      </c>
      <c r="E2585" t="inlineStr">
        <is>
          <t>SKELLEFTEÅ</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64146-2019</t>
        </is>
      </c>
      <c r="B2586" s="1" t="n">
        <v>43796</v>
      </c>
      <c r="C2586" s="1" t="n">
        <v>45204</v>
      </c>
      <c r="D2586" t="inlineStr">
        <is>
          <t>VÄSTERBOTTENS LÄN</t>
        </is>
      </c>
      <c r="E2586" t="inlineStr">
        <is>
          <t>BJURHOLM</t>
        </is>
      </c>
      <c r="F2586" t="inlineStr">
        <is>
          <t>SCA</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64039-2019</t>
        </is>
      </c>
      <c r="B2587" s="1" t="n">
        <v>43796</v>
      </c>
      <c r="C2587" s="1" t="n">
        <v>45204</v>
      </c>
      <c r="D2587" t="inlineStr">
        <is>
          <t>VÄSTERBOTTENS LÄN</t>
        </is>
      </c>
      <c r="E2587" t="inlineStr">
        <is>
          <t>SKELLEFTEÅ</t>
        </is>
      </c>
      <c r="F2587" t="inlineStr">
        <is>
          <t>Sveaskog</t>
        </is>
      </c>
      <c r="G2587" t="n">
        <v>8.800000000000001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64117-2019</t>
        </is>
      </c>
      <c r="B2588" s="1" t="n">
        <v>43796</v>
      </c>
      <c r="C2588" s="1" t="n">
        <v>45204</v>
      </c>
      <c r="D2588" t="inlineStr">
        <is>
          <t>VÄSTERBOTTENS LÄN</t>
        </is>
      </c>
      <c r="E2588" t="inlineStr">
        <is>
          <t>SKELLEFTEÅ</t>
        </is>
      </c>
      <c r="F2588" t="inlineStr">
        <is>
          <t>Sveaskog</t>
        </is>
      </c>
      <c r="G2588" t="n">
        <v>16.2</v>
      </c>
      <c r="H2588" t="n">
        <v>0</v>
      </c>
      <c r="I2588" t="n">
        <v>0</v>
      </c>
      <c r="J2588" t="n">
        <v>0</v>
      </c>
      <c r="K2588" t="n">
        <v>0</v>
      </c>
      <c r="L2588" t="n">
        <v>0</v>
      </c>
      <c r="M2588" t="n">
        <v>0</v>
      </c>
      <c r="N2588" t="n">
        <v>0</v>
      </c>
      <c r="O2588" t="n">
        <v>0</v>
      </c>
      <c r="P2588" t="n">
        <v>0</v>
      </c>
      <c r="Q2588" t="n">
        <v>0</v>
      </c>
      <c r="R2588" s="2" t="inlineStr"/>
    </row>
    <row r="2589" ht="15" customHeight="1">
      <c r="A2589" t="inlineStr">
        <is>
          <t>A 64148-2019</t>
        </is>
      </c>
      <c r="B2589" s="1" t="n">
        <v>43796</v>
      </c>
      <c r="C2589" s="1" t="n">
        <v>45204</v>
      </c>
      <c r="D2589" t="inlineStr">
        <is>
          <t>VÄSTERBOTTENS LÄN</t>
        </is>
      </c>
      <c r="E2589" t="inlineStr">
        <is>
          <t>VINDELN</t>
        </is>
      </c>
      <c r="F2589" t="inlineStr">
        <is>
          <t>SCA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63845-2019</t>
        </is>
      </c>
      <c r="B2590" s="1" t="n">
        <v>43796</v>
      </c>
      <c r="C2590" s="1" t="n">
        <v>45204</v>
      </c>
      <c r="D2590" t="inlineStr">
        <is>
          <t>VÄSTERBOTTENS LÄN</t>
        </is>
      </c>
      <c r="E2590" t="inlineStr">
        <is>
          <t>SKELLEFTEÅ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63924-2019</t>
        </is>
      </c>
      <c r="B2591" s="1" t="n">
        <v>43796</v>
      </c>
      <c r="C2591" s="1" t="n">
        <v>45204</v>
      </c>
      <c r="D2591" t="inlineStr">
        <is>
          <t>VÄSTERBOTTENS LÄN</t>
        </is>
      </c>
      <c r="E2591" t="inlineStr">
        <is>
          <t>ROBERTSFORS</t>
        </is>
      </c>
      <c r="F2591" t="inlineStr">
        <is>
          <t>Holmen skog AB</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64144-2019</t>
        </is>
      </c>
      <c r="B2592" s="1" t="n">
        <v>43796</v>
      </c>
      <c r="C2592" s="1" t="n">
        <v>45204</v>
      </c>
      <c r="D2592" t="inlineStr">
        <is>
          <t>VÄSTERBOTTENS LÄN</t>
        </is>
      </c>
      <c r="E2592" t="inlineStr">
        <is>
          <t>NORDMALING</t>
        </is>
      </c>
      <c r="F2592" t="inlineStr">
        <is>
          <t>SCA</t>
        </is>
      </c>
      <c r="G2592" t="n">
        <v>7.8</v>
      </c>
      <c r="H2592" t="n">
        <v>0</v>
      </c>
      <c r="I2592" t="n">
        <v>0</v>
      </c>
      <c r="J2592" t="n">
        <v>0</v>
      </c>
      <c r="K2592" t="n">
        <v>0</v>
      </c>
      <c r="L2592" t="n">
        <v>0</v>
      </c>
      <c r="M2592" t="n">
        <v>0</v>
      </c>
      <c r="N2592" t="n">
        <v>0</v>
      </c>
      <c r="O2592" t="n">
        <v>0</v>
      </c>
      <c r="P2592" t="n">
        <v>0</v>
      </c>
      <c r="Q2592" t="n">
        <v>0</v>
      </c>
      <c r="R2592" s="2" t="inlineStr"/>
    </row>
    <row r="2593" ht="15" customHeight="1">
      <c r="A2593" t="inlineStr">
        <is>
          <t>A 64156-2019</t>
        </is>
      </c>
      <c r="B2593" s="1" t="n">
        <v>43796</v>
      </c>
      <c r="C2593" s="1" t="n">
        <v>45204</v>
      </c>
      <c r="D2593" t="inlineStr">
        <is>
          <t>VÄSTERBOTTENS LÄN</t>
        </is>
      </c>
      <c r="E2593" t="inlineStr">
        <is>
          <t>BJURHOLM</t>
        </is>
      </c>
      <c r="F2593" t="inlineStr">
        <is>
          <t>SCA</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65164-2019</t>
        </is>
      </c>
      <c r="B2594" s="1" t="n">
        <v>43796</v>
      </c>
      <c r="C2594" s="1" t="n">
        <v>45204</v>
      </c>
      <c r="D2594" t="inlineStr">
        <is>
          <t>VÄSTERBOTTENS LÄN</t>
        </is>
      </c>
      <c r="E2594" t="inlineStr">
        <is>
          <t>NORDMALING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64371-2019</t>
        </is>
      </c>
      <c r="B2595" s="1" t="n">
        <v>43797</v>
      </c>
      <c r="C2595" s="1" t="n">
        <v>45204</v>
      </c>
      <c r="D2595" t="inlineStr">
        <is>
          <t>VÄSTERBOTTENS LÄN</t>
        </is>
      </c>
      <c r="E2595" t="inlineStr">
        <is>
          <t>LYCKSELE</t>
        </is>
      </c>
      <c r="F2595" t="inlineStr">
        <is>
          <t>Holmen skog AB</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64464-2019</t>
        </is>
      </c>
      <c r="B2596" s="1" t="n">
        <v>43797</v>
      </c>
      <c r="C2596" s="1" t="n">
        <v>45204</v>
      </c>
      <c r="D2596" t="inlineStr">
        <is>
          <t>VÄSTERBOTTENS LÄN</t>
        </is>
      </c>
      <c r="E2596" t="inlineStr">
        <is>
          <t>DOROTEA</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65386-2019</t>
        </is>
      </c>
      <c r="B2597" s="1" t="n">
        <v>43797</v>
      </c>
      <c r="C2597" s="1" t="n">
        <v>45204</v>
      </c>
      <c r="D2597" t="inlineStr">
        <is>
          <t>VÄSTERBOTTENS LÄN</t>
        </is>
      </c>
      <c r="E2597" t="inlineStr">
        <is>
          <t>ROBERTSFORS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64478-2019</t>
        </is>
      </c>
      <c r="B2598" s="1" t="n">
        <v>43797</v>
      </c>
      <c r="C2598" s="1" t="n">
        <v>45204</v>
      </c>
      <c r="D2598" t="inlineStr">
        <is>
          <t>VÄSTERBOTTENS LÄN</t>
        </is>
      </c>
      <c r="E2598" t="inlineStr">
        <is>
          <t>LYCKSELE</t>
        </is>
      </c>
      <c r="F2598" t="inlineStr">
        <is>
          <t>SCA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64461-2019</t>
        </is>
      </c>
      <c r="B2599" s="1" t="n">
        <v>43797</v>
      </c>
      <c r="C2599" s="1" t="n">
        <v>45204</v>
      </c>
      <c r="D2599" t="inlineStr">
        <is>
          <t>VÄSTERBOTTENS LÄN</t>
        </is>
      </c>
      <c r="E2599" t="inlineStr">
        <is>
          <t>VINDELN</t>
        </is>
      </c>
      <c r="F2599" t="inlineStr">
        <is>
          <t>SCA</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64708-2019</t>
        </is>
      </c>
      <c r="B2600" s="1" t="n">
        <v>43798</v>
      </c>
      <c r="C2600" s="1" t="n">
        <v>45204</v>
      </c>
      <c r="D2600" t="inlineStr">
        <is>
          <t>VÄSTERBOTTENS LÄN</t>
        </is>
      </c>
      <c r="E2600" t="inlineStr">
        <is>
          <t>VÄNNÄS</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65429-2019</t>
        </is>
      </c>
      <c r="B2601" s="1" t="n">
        <v>43798</v>
      </c>
      <c r="C2601" s="1" t="n">
        <v>45204</v>
      </c>
      <c r="D2601" t="inlineStr">
        <is>
          <t>VÄSTERBOTTENS LÄN</t>
        </is>
      </c>
      <c r="E2601" t="inlineStr">
        <is>
          <t>NORDMALING</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64569-2019</t>
        </is>
      </c>
      <c r="B2602" s="1" t="n">
        <v>43798</v>
      </c>
      <c r="C2602" s="1" t="n">
        <v>45204</v>
      </c>
      <c r="D2602" t="inlineStr">
        <is>
          <t>VÄSTERBOTTENS LÄN</t>
        </is>
      </c>
      <c r="E2602" t="inlineStr">
        <is>
          <t>SKELLEFTEÅ</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64706-2019</t>
        </is>
      </c>
      <c r="B2603" s="1" t="n">
        <v>43798</v>
      </c>
      <c r="C2603" s="1" t="n">
        <v>45204</v>
      </c>
      <c r="D2603" t="inlineStr">
        <is>
          <t>VÄSTERBOTTENS LÄN</t>
        </is>
      </c>
      <c r="E2603" t="inlineStr">
        <is>
          <t>VÄNNÄS</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64930-2019</t>
        </is>
      </c>
      <c r="B2604" s="1" t="n">
        <v>43801</v>
      </c>
      <c r="C2604" s="1" t="n">
        <v>45204</v>
      </c>
      <c r="D2604" t="inlineStr">
        <is>
          <t>VÄSTERBOTTENS LÄN</t>
        </is>
      </c>
      <c r="E2604" t="inlineStr">
        <is>
          <t>BJURHOLM</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66150-2019</t>
        </is>
      </c>
      <c r="B2605" s="1" t="n">
        <v>43801</v>
      </c>
      <c r="C2605" s="1" t="n">
        <v>45204</v>
      </c>
      <c r="D2605" t="inlineStr">
        <is>
          <t>VÄSTERBOTTENS LÄN</t>
        </is>
      </c>
      <c r="E2605" t="inlineStr">
        <is>
          <t>DOROTEA</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65020-2019</t>
        </is>
      </c>
      <c r="B2606" s="1" t="n">
        <v>43801</v>
      </c>
      <c r="C2606" s="1" t="n">
        <v>45204</v>
      </c>
      <c r="D2606" t="inlineStr">
        <is>
          <t>VÄSTERBOTTENS LÄN</t>
        </is>
      </c>
      <c r="E2606" t="inlineStr">
        <is>
          <t>UMEÅ</t>
        </is>
      </c>
      <c r="G2606" t="n">
        <v>4.9</v>
      </c>
      <c r="H2606" t="n">
        <v>0</v>
      </c>
      <c r="I2606" t="n">
        <v>0</v>
      </c>
      <c r="J2606" t="n">
        <v>0</v>
      </c>
      <c r="K2606" t="n">
        <v>0</v>
      </c>
      <c r="L2606" t="n">
        <v>0</v>
      </c>
      <c r="M2606" t="n">
        <v>0</v>
      </c>
      <c r="N2606" t="n">
        <v>0</v>
      </c>
      <c r="O2606" t="n">
        <v>0</v>
      </c>
      <c r="P2606" t="n">
        <v>0</v>
      </c>
      <c r="Q2606" t="n">
        <v>0</v>
      </c>
      <c r="R2606" s="2" t="inlineStr"/>
    </row>
    <row r="2607" ht="15" customHeight="1">
      <c r="A2607" t="inlineStr">
        <is>
          <t>A 66120-2019</t>
        </is>
      </c>
      <c r="B2607" s="1" t="n">
        <v>43801</v>
      </c>
      <c r="C2607" s="1" t="n">
        <v>45204</v>
      </c>
      <c r="D2607" t="inlineStr">
        <is>
          <t>VÄSTERBOTTENS LÄN</t>
        </is>
      </c>
      <c r="E2607" t="inlineStr">
        <is>
          <t>UMEÅ</t>
        </is>
      </c>
      <c r="G2607" t="n">
        <v>3.6</v>
      </c>
      <c r="H2607" t="n">
        <v>0</v>
      </c>
      <c r="I2607" t="n">
        <v>0</v>
      </c>
      <c r="J2607" t="n">
        <v>0</v>
      </c>
      <c r="K2607" t="n">
        <v>0</v>
      </c>
      <c r="L2607" t="n">
        <v>0</v>
      </c>
      <c r="M2607" t="n">
        <v>0</v>
      </c>
      <c r="N2607" t="n">
        <v>0</v>
      </c>
      <c r="O2607" t="n">
        <v>0</v>
      </c>
      <c r="P2607" t="n">
        <v>0</v>
      </c>
      <c r="Q2607" t="n">
        <v>0</v>
      </c>
      <c r="R2607" s="2" t="inlineStr"/>
    </row>
    <row r="2608" ht="15" customHeight="1">
      <c r="A2608" t="inlineStr">
        <is>
          <t>A 66182-2019</t>
        </is>
      </c>
      <c r="B2608" s="1" t="n">
        <v>43801</v>
      </c>
      <c r="C2608" s="1" t="n">
        <v>45204</v>
      </c>
      <c r="D2608" t="inlineStr">
        <is>
          <t>VÄSTERBOTTENS LÄN</t>
        </is>
      </c>
      <c r="E2608" t="inlineStr">
        <is>
          <t>VÄNNÄS</t>
        </is>
      </c>
      <c r="G2608" t="n">
        <v>4.5</v>
      </c>
      <c r="H2608" t="n">
        <v>0</v>
      </c>
      <c r="I2608" t="n">
        <v>0</v>
      </c>
      <c r="J2608" t="n">
        <v>0</v>
      </c>
      <c r="K2608" t="n">
        <v>0</v>
      </c>
      <c r="L2608" t="n">
        <v>0</v>
      </c>
      <c r="M2608" t="n">
        <v>0</v>
      </c>
      <c r="N2608" t="n">
        <v>0</v>
      </c>
      <c r="O2608" t="n">
        <v>0</v>
      </c>
      <c r="P2608" t="n">
        <v>0</v>
      </c>
      <c r="Q2608" t="n">
        <v>0</v>
      </c>
      <c r="R2608" s="2" t="inlineStr"/>
    </row>
    <row r="2609" ht="15" customHeight="1">
      <c r="A2609" t="inlineStr">
        <is>
          <t>A 64754-2019</t>
        </is>
      </c>
      <c r="B2609" s="1" t="n">
        <v>43801</v>
      </c>
      <c r="C2609" s="1" t="n">
        <v>45204</v>
      </c>
      <c r="D2609" t="inlineStr">
        <is>
          <t>VÄSTERBOTTENS LÄN</t>
        </is>
      </c>
      <c r="E2609" t="inlineStr">
        <is>
          <t>SKELLEFTEÅ</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64920-2019</t>
        </is>
      </c>
      <c r="B2610" s="1" t="n">
        <v>43801</v>
      </c>
      <c r="C2610" s="1" t="n">
        <v>45204</v>
      </c>
      <c r="D2610" t="inlineStr">
        <is>
          <t>VÄSTERBOTTENS LÄN</t>
        </is>
      </c>
      <c r="E2610" t="inlineStr">
        <is>
          <t>ROBERTSFORS</t>
        </is>
      </c>
      <c r="F2610" t="inlineStr">
        <is>
          <t>Holmen skog AB</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65034-2019</t>
        </is>
      </c>
      <c r="B2611" s="1" t="n">
        <v>43801</v>
      </c>
      <c r="C2611" s="1" t="n">
        <v>45204</v>
      </c>
      <c r="D2611" t="inlineStr">
        <is>
          <t>VÄSTERBOTTENS LÄN</t>
        </is>
      </c>
      <c r="E2611" t="inlineStr">
        <is>
          <t>VINDELN</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66124-2019</t>
        </is>
      </c>
      <c r="B2612" s="1" t="n">
        <v>43801</v>
      </c>
      <c r="C2612" s="1" t="n">
        <v>45204</v>
      </c>
      <c r="D2612" t="inlineStr">
        <is>
          <t>VÄSTERBOTTENS LÄN</t>
        </is>
      </c>
      <c r="E2612" t="inlineStr">
        <is>
          <t>UMEÅ</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64785-2019</t>
        </is>
      </c>
      <c r="B2613" s="1" t="n">
        <v>43801</v>
      </c>
      <c r="C2613" s="1" t="n">
        <v>45204</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65070-2019</t>
        </is>
      </c>
      <c r="B2614" s="1" t="n">
        <v>43802</v>
      </c>
      <c r="C2614" s="1" t="n">
        <v>45204</v>
      </c>
      <c r="D2614" t="inlineStr">
        <is>
          <t>VÄSTERBOTTENS LÄN</t>
        </is>
      </c>
      <c r="E2614" t="inlineStr">
        <is>
          <t>SKELLEFTEÅ</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65119-2019</t>
        </is>
      </c>
      <c r="B2615" s="1" t="n">
        <v>43802</v>
      </c>
      <c r="C2615" s="1" t="n">
        <v>45204</v>
      </c>
      <c r="D2615" t="inlineStr">
        <is>
          <t>VÄSTERBOTTENS LÄN</t>
        </is>
      </c>
      <c r="E2615" t="inlineStr">
        <is>
          <t>NORDMALING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65227-2019</t>
        </is>
      </c>
      <c r="B2616" s="1" t="n">
        <v>43802</v>
      </c>
      <c r="C2616" s="1" t="n">
        <v>45204</v>
      </c>
      <c r="D2616" t="inlineStr">
        <is>
          <t>VÄSTERBOTTENS LÄN</t>
        </is>
      </c>
      <c r="E2616" t="inlineStr">
        <is>
          <t>UMEÅ</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66471-2019</t>
        </is>
      </c>
      <c r="B2617" s="1" t="n">
        <v>43802</v>
      </c>
      <c r="C2617" s="1" t="n">
        <v>45204</v>
      </c>
      <c r="D2617" t="inlineStr">
        <is>
          <t>VÄSTERBOTTENS LÄN</t>
        </is>
      </c>
      <c r="E2617" t="inlineStr">
        <is>
          <t>UMEÅ</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66455-2019</t>
        </is>
      </c>
      <c r="B2618" s="1" t="n">
        <v>43802</v>
      </c>
      <c r="C2618" s="1" t="n">
        <v>45204</v>
      </c>
      <c r="D2618" t="inlineStr">
        <is>
          <t>VÄSTERBOTTENS LÄN</t>
        </is>
      </c>
      <c r="E2618" t="inlineStr">
        <is>
          <t>UMEÅ</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65557-2019</t>
        </is>
      </c>
      <c r="B2619" s="1" t="n">
        <v>43803</v>
      </c>
      <c r="C2619" s="1" t="n">
        <v>45204</v>
      </c>
      <c r="D2619" t="inlineStr">
        <is>
          <t>VÄSTERBOTTENS LÄN</t>
        </is>
      </c>
      <c r="E2619" t="inlineStr">
        <is>
          <t>DOROTEA</t>
        </is>
      </c>
      <c r="F2619" t="inlineStr">
        <is>
          <t>SCA</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65565-2019</t>
        </is>
      </c>
      <c r="B2620" s="1" t="n">
        <v>43803</v>
      </c>
      <c r="C2620" s="1" t="n">
        <v>45204</v>
      </c>
      <c r="D2620" t="inlineStr">
        <is>
          <t>VÄSTERBOTTENS LÄN</t>
        </is>
      </c>
      <c r="E2620" t="inlineStr">
        <is>
          <t>SKELLEFTEÅ</t>
        </is>
      </c>
      <c r="G2620" t="n">
        <v>8.199999999999999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65463-2019</t>
        </is>
      </c>
      <c r="B2621" s="1" t="n">
        <v>43803</v>
      </c>
      <c r="C2621" s="1" t="n">
        <v>45204</v>
      </c>
      <c r="D2621" t="inlineStr">
        <is>
          <t>VÄSTERBOTTENS LÄN</t>
        </is>
      </c>
      <c r="E2621" t="inlineStr">
        <is>
          <t>VÄNNÄS</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65556-2019</t>
        </is>
      </c>
      <c r="B2622" s="1" t="n">
        <v>43803</v>
      </c>
      <c r="C2622" s="1" t="n">
        <v>45204</v>
      </c>
      <c r="D2622" t="inlineStr">
        <is>
          <t>VÄSTERBOTTENS LÄN</t>
        </is>
      </c>
      <c r="E2622" t="inlineStr">
        <is>
          <t>DOROTEA</t>
        </is>
      </c>
      <c r="F2622" t="inlineStr">
        <is>
          <t>SCA</t>
        </is>
      </c>
      <c r="G2622" t="n">
        <v>10.2</v>
      </c>
      <c r="H2622" t="n">
        <v>0</v>
      </c>
      <c r="I2622" t="n">
        <v>0</v>
      </c>
      <c r="J2622" t="n">
        <v>0</v>
      </c>
      <c r="K2622" t="n">
        <v>0</v>
      </c>
      <c r="L2622" t="n">
        <v>0</v>
      </c>
      <c r="M2622" t="n">
        <v>0</v>
      </c>
      <c r="N2622" t="n">
        <v>0</v>
      </c>
      <c r="O2622" t="n">
        <v>0</v>
      </c>
      <c r="P2622" t="n">
        <v>0</v>
      </c>
      <c r="Q2622" t="n">
        <v>0</v>
      </c>
      <c r="R2622" s="2" t="inlineStr"/>
    </row>
    <row r="2623" ht="15" customHeight="1">
      <c r="A2623" t="inlineStr">
        <is>
          <t>A 65572-2019</t>
        </is>
      </c>
      <c r="B2623" s="1" t="n">
        <v>43803</v>
      </c>
      <c r="C2623" s="1" t="n">
        <v>45204</v>
      </c>
      <c r="D2623" t="inlineStr">
        <is>
          <t>VÄSTERBOTTENS LÄN</t>
        </is>
      </c>
      <c r="E2623" t="inlineStr">
        <is>
          <t>ÅSELE</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65568-2019</t>
        </is>
      </c>
      <c r="B2624" s="1" t="n">
        <v>43803</v>
      </c>
      <c r="C2624" s="1" t="n">
        <v>45204</v>
      </c>
      <c r="D2624" t="inlineStr">
        <is>
          <t>VÄSTERBOTTENS LÄN</t>
        </is>
      </c>
      <c r="E2624" t="inlineStr">
        <is>
          <t>ÅSELE</t>
        </is>
      </c>
      <c r="F2624" t="inlineStr">
        <is>
          <t>SCA</t>
        </is>
      </c>
      <c r="G2624" t="n">
        <v>8.5</v>
      </c>
      <c r="H2624" t="n">
        <v>0</v>
      </c>
      <c r="I2624" t="n">
        <v>0</v>
      </c>
      <c r="J2624" t="n">
        <v>0</v>
      </c>
      <c r="K2624" t="n">
        <v>0</v>
      </c>
      <c r="L2624" t="n">
        <v>0</v>
      </c>
      <c r="M2624" t="n">
        <v>0</v>
      </c>
      <c r="N2624" t="n">
        <v>0</v>
      </c>
      <c r="O2624" t="n">
        <v>0</v>
      </c>
      <c r="P2624" t="n">
        <v>0</v>
      </c>
      <c r="Q2624" t="n">
        <v>0</v>
      </c>
      <c r="R2624" s="2" t="inlineStr"/>
    </row>
    <row r="2625" ht="15" customHeight="1">
      <c r="A2625" t="inlineStr">
        <is>
          <t>A 66570-2019</t>
        </is>
      </c>
      <c r="B2625" s="1" t="n">
        <v>43803</v>
      </c>
      <c r="C2625" s="1" t="n">
        <v>45204</v>
      </c>
      <c r="D2625" t="inlineStr">
        <is>
          <t>VÄSTERBOTTENS LÄN</t>
        </is>
      </c>
      <c r="E2625" t="inlineStr">
        <is>
          <t>VILHELMINA</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2924-2020</t>
        </is>
      </c>
      <c r="B2626" s="1" t="n">
        <v>43803</v>
      </c>
      <c r="C2626" s="1" t="n">
        <v>45204</v>
      </c>
      <c r="D2626" t="inlineStr">
        <is>
          <t>VÄSTERBOTTENS LÄN</t>
        </is>
      </c>
      <c r="E2626" t="inlineStr">
        <is>
          <t>ÅSELE</t>
        </is>
      </c>
      <c r="F2626" t="inlineStr">
        <is>
          <t>Övriga Aktiebolag</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65726-2019</t>
        </is>
      </c>
      <c r="B2627" s="1" t="n">
        <v>43804</v>
      </c>
      <c r="C2627" s="1" t="n">
        <v>45204</v>
      </c>
      <c r="D2627" t="inlineStr">
        <is>
          <t>VÄSTERBOTTENS LÄN</t>
        </is>
      </c>
      <c r="E2627" t="inlineStr">
        <is>
          <t>SKELLEFTEÅ</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66922-2019</t>
        </is>
      </c>
      <c r="B2628" s="1" t="n">
        <v>43804</v>
      </c>
      <c r="C2628" s="1" t="n">
        <v>45204</v>
      </c>
      <c r="D2628" t="inlineStr">
        <is>
          <t>VÄSTERBOTTENS LÄN</t>
        </is>
      </c>
      <c r="E2628" t="inlineStr">
        <is>
          <t>DOROTEA</t>
        </is>
      </c>
      <c r="G2628" t="n">
        <v>11.2</v>
      </c>
      <c r="H2628" t="n">
        <v>0</v>
      </c>
      <c r="I2628" t="n">
        <v>0</v>
      </c>
      <c r="J2628" t="n">
        <v>0</v>
      </c>
      <c r="K2628" t="n">
        <v>0</v>
      </c>
      <c r="L2628" t="n">
        <v>0</v>
      </c>
      <c r="M2628" t="n">
        <v>0</v>
      </c>
      <c r="N2628" t="n">
        <v>0</v>
      </c>
      <c r="O2628" t="n">
        <v>0</v>
      </c>
      <c r="P2628" t="n">
        <v>0</v>
      </c>
      <c r="Q2628" t="n">
        <v>0</v>
      </c>
      <c r="R2628" s="2" t="inlineStr"/>
    </row>
    <row r="2629" ht="15" customHeight="1">
      <c r="A2629" t="inlineStr">
        <is>
          <t>A 65721-2019</t>
        </is>
      </c>
      <c r="B2629" s="1" t="n">
        <v>43804</v>
      </c>
      <c r="C2629" s="1" t="n">
        <v>45204</v>
      </c>
      <c r="D2629" t="inlineStr">
        <is>
          <t>VÄSTERBOTTENS LÄN</t>
        </is>
      </c>
      <c r="E2629" t="inlineStr">
        <is>
          <t>SKELLEFTEÅ</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65992-2019</t>
        </is>
      </c>
      <c r="B2630" s="1" t="n">
        <v>43805</v>
      </c>
      <c r="C2630" s="1" t="n">
        <v>45204</v>
      </c>
      <c r="D2630" t="inlineStr">
        <is>
          <t>VÄSTERBOTTENS LÄN</t>
        </is>
      </c>
      <c r="E2630" t="inlineStr">
        <is>
          <t>SKELLEFTEÅ</t>
        </is>
      </c>
      <c r="F2630" t="inlineStr">
        <is>
          <t>Holmen skog AB</t>
        </is>
      </c>
      <c r="G2630" t="n">
        <v>3.5</v>
      </c>
      <c r="H2630" t="n">
        <v>0</v>
      </c>
      <c r="I2630" t="n">
        <v>0</v>
      </c>
      <c r="J2630" t="n">
        <v>0</v>
      </c>
      <c r="K2630" t="n">
        <v>0</v>
      </c>
      <c r="L2630" t="n">
        <v>0</v>
      </c>
      <c r="M2630" t="n">
        <v>0</v>
      </c>
      <c r="N2630" t="n">
        <v>0</v>
      </c>
      <c r="O2630" t="n">
        <v>0</v>
      </c>
      <c r="P2630" t="n">
        <v>0</v>
      </c>
      <c r="Q2630" t="n">
        <v>0</v>
      </c>
      <c r="R2630" s="2" t="inlineStr"/>
    </row>
    <row r="2631" ht="15" customHeight="1">
      <c r="A2631" t="inlineStr">
        <is>
          <t>A 65840-2019</t>
        </is>
      </c>
      <c r="B2631" s="1" t="n">
        <v>43805</v>
      </c>
      <c r="C2631" s="1" t="n">
        <v>45204</v>
      </c>
      <c r="D2631" t="inlineStr">
        <is>
          <t>VÄSTERBOTTENS LÄN</t>
        </is>
      </c>
      <c r="E2631" t="inlineStr">
        <is>
          <t>UMEÅ</t>
        </is>
      </c>
      <c r="G2631" t="n">
        <v>0.2</v>
      </c>
      <c r="H2631" t="n">
        <v>0</v>
      </c>
      <c r="I2631" t="n">
        <v>0</v>
      </c>
      <c r="J2631" t="n">
        <v>0</v>
      </c>
      <c r="K2631" t="n">
        <v>0</v>
      </c>
      <c r="L2631" t="n">
        <v>0</v>
      </c>
      <c r="M2631" t="n">
        <v>0</v>
      </c>
      <c r="N2631" t="n">
        <v>0</v>
      </c>
      <c r="O2631" t="n">
        <v>0</v>
      </c>
      <c r="P2631" t="n">
        <v>0</v>
      </c>
      <c r="Q2631" t="n">
        <v>0</v>
      </c>
      <c r="R2631" s="2" t="inlineStr"/>
    </row>
    <row r="2632" ht="15" customHeight="1">
      <c r="A2632" t="inlineStr">
        <is>
          <t>A 65851-2019</t>
        </is>
      </c>
      <c r="B2632" s="1" t="n">
        <v>43805</v>
      </c>
      <c r="C2632" s="1" t="n">
        <v>45204</v>
      </c>
      <c r="D2632" t="inlineStr">
        <is>
          <t>VÄSTERBOTTENS LÄN</t>
        </is>
      </c>
      <c r="E2632" t="inlineStr">
        <is>
          <t>UMEÅ</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65885-2019</t>
        </is>
      </c>
      <c r="B2633" s="1" t="n">
        <v>43805</v>
      </c>
      <c r="C2633" s="1" t="n">
        <v>45204</v>
      </c>
      <c r="D2633" t="inlineStr">
        <is>
          <t>VÄSTERBOTTENS LÄN</t>
        </is>
      </c>
      <c r="E2633" t="inlineStr">
        <is>
          <t>VILHELMINA</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66033-2019</t>
        </is>
      </c>
      <c r="B2634" s="1" t="n">
        <v>43805</v>
      </c>
      <c r="C2634" s="1" t="n">
        <v>45204</v>
      </c>
      <c r="D2634" t="inlineStr">
        <is>
          <t>VÄSTERBOTTENS LÄN</t>
        </is>
      </c>
      <c r="E2634" t="inlineStr">
        <is>
          <t>ÅSELE</t>
        </is>
      </c>
      <c r="G2634" t="n">
        <v>14.3</v>
      </c>
      <c r="H2634" t="n">
        <v>0</v>
      </c>
      <c r="I2634" t="n">
        <v>0</v>
      </c>
      <c r="J2634" t="n">
        <v>0</v>
      </c>
      <c r="K2634" t="n">
        <v>0</v>
      </c>
      <c r="L2634" t="n">
        <v>0</v>
      </c>
      <c r="M2634" t="n">
        <v>0</v>
      </c>
      <c r="N2634" t="n">
        <v>0</v>
      </c>
      <c r="O2634" t="n">
        <v>0</v>
      </c>
      <c r="P2634" t="n">
        <v>0</v>
      </c>
      <c r="Q2634" t="n">
        <v>0</v>
      </c>
      <c r="R2634" s="2" t="inlineStr"/>
    </row>
    <row r="2635" ht="15" customHeight="1">
      <c r="A2635" t="inlineStr">
        <is>
          <t>A 66990-2019</t>
        </is>
      </c>
      <c r="B2635" s="1" t="n">
        <v>43805</v>
      </c>
      <c r="C2635" s="1" t="n">
        <v>45204</v>
      </c>
      <c r="D2635" t="inlineStr">
        <is>
          <t>VÄSTERBOTTENS LÄN</t>
        </is>
      </c>
      <c r="E2635" t="inlineStr">
        <is>
          <t>UMEÅ</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66311-2019</t>
        </is>
      </c>
      <c r="B2636" s="1" t="n">
        <v>43808</v>
      </c>
      <c r="C2636" s="1" t="n">
        <v>45204</v>
      </c>
      <c r="D2636" t="inlineStr">
        <is>
          <t>VÄSTERBOTTENS LÄN</t>
        </is>
      </c>
      <c r="E2636" t="inlineStr">
        <is>
          <t>VILHELMINA</t>
        </is>
      </c>
      <c r="G2636" t="n">
        <v>72.90000000000001</v>
      </c>
      <c r="H2636" t="n">
        <v>0</v>
      </c>
      <c r="I2636" t="n">
        <v>0</v>
      </c>
      <c r="J2636" t="n">
        <v>0</v>
      </c>
      <c r="K2636" t="n">
        <v>0</v>
      </c>
      <c r="L2636" t="n">
        <v>0</v>
      </c>
      <c r="M2636" t="n">
        <v>0</v>
      </c>
      <c r="N2636" t="n">
        <v>0</v>
      </c>
      <c r="O2636" t="n">
        <v>0</v>
      </c>
      <c r="P2636" t="n">
        <v>0</v>
      </c>
      <c r="Q2636" t="n">
        <v>0</v>
      </c>
      <c r="R2636" s="2" t="inlineStr"/>
    </row>
    <row r="2637" ht="15" customHeight="1">
      <c r="A2637" t="inlineStr">
        <is>
          <t>A 66382-2019</t>
        </is>
      </c>
      <c r="B2637" s="1" t="n">
        <v>43808</v>
      </c>
      <c r="C2637" s="1" t="n">
        <v>45204</v>
      </c>
      <c r="D2637" t="inlineStr">
        <is>
          <t>VÄSTERBOTTENS LÄN</t>
        </is>
      </c>
      <c r="E2637" t="inlineStr">
        <is>
          <t>DOROTEA</t>
        </is>
      </c>
      <c r="F2637" t="inlineStr">
        <is>
          <t>SCA</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67581-2019</t>
        </is>
      </c>
      <c r="B2638" s="1" t="n">
        <v>43808</v>
      </c>
      <c r="C2638" s="1" t="n">
        <v>45204</v>
      </c>
      <c r="D2638" t="inlineStr">
        <is>
          <t>VÄSTERBOTTENS LÄN</t>
        </is>
      </c>
      <c r="E2638" t="inlineStr">
        <is>
          <t>SKELLEFTEÅ</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66505-2019</t>
        </is>
      </c>
      <c r="B2639" s="1" t="n">
        <v>43809</v>
      </c>
      <c r="C2639" s="1" t="n">
        <v>45204</v>
      </c>
      <c r="D2639" t="inlineStr">
        <is>
          <t>VÄSTERBOTTENS LÄN</t>
        </is>
      </c>
      <c r="E2639" t="inlineStr">
        <is>
          <t>SKELLEFTEÅ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67650-2019</t>
        </is>
      </c>
      <c r="B2640" s="1" t="n">
        <v>43809</v>
      </c>
      <c r="C2640" s="1" t="n">
        <v>45204</v>
      </c>
      <c r="D2640" t="inlineStr">
        <is>
          <t>VÄSTERBOTTENS LÄN</t>
        </is>
      </c>
      <c r="E2640" t="inlineStr">
        <is>
          <t>LYCKSELE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67636-2019</t>
        </is>
      </c>
      <c r="B2641" s="1" t="n">
        <v>43809</v>
      </c>
      <c r="C2641" s="1" t="n">
        <v>45204</v>
      </c>
      <c r="D2641" t="inlineStr">
        <is>
          <t>VÄSTERBOTTENS LÄN</t>
        </is>
      </c>
      <c r="E2641" t="inlineStr">
        <is>
          <t>LYCKSELE</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67652-2019</t>
        </is>
      </c>
      <c r="B2642" s="1" t="n">
        <v>43809</v>
      </c>
      <c r="C2642" s="1" t="n">
        <v>45204</v>
      </c>
      <c r="D2642" t="inlineStr">
        <is>
          <t>VÄSTERBOTTENS LÄN</t>
        </is>
      </c>
      <c r="E2642" t="inlineStr">
        <is>
          <t>LYCKSELE</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66694-2019</t>
        </is>
      </c>
      <c r="B2643" s="1" t="n">
        <v>43809</v>
      </c>
      <c r="C2643" s="1" t="n">
        <v>45204</v>
      </c>
      <c r="D2643" t="inlineStr">
        <is>
          <t>VÄSTERBOTTENS LÄN</t>
        </is>
      </c>
      <c r="E2643" t="inlineStr">
        <is>
          <t>VINDELN</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67759-2019</t>
        </is>
      </c>
      <c r="B2644" s="1" t="n">
        <v>43809</v>
      </c>
      <c r="C2644" s="1" t="n">
        <v>45204</v>
      </c>
      <c r="D2644" t="inlineStr">
        <is>
          <t>VÄSTERBOTTENS LÄN</t>
        </is>
      </c>
      <c r="E2644" t="inlineStr">
        <is>
          <t>NORDMALING</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66974-2019</t>
        </is>
      </c>
      <c r="B2645" s="1" t="n">
        <v>43810</v>
      </c>
      <c r="C2645" s="1" t="n">
        <v>45204</v>
      </c>
      <c r="D2645" t="inlineStr">
        <is>
          <t>VÄSTERBOTTENS LÄN</t>
        </is>
      </c>
      <c r="E2645" t="inlineStr">
        <is>
          <t>ÅSELE</t>
        </is>
      </c>
      <c r="F2645" t="inlineStr">
        <is>
          <t>SCA</t>
        </is>
      </c>
      <c r="G2645" t="n">
        <v>3.6</v>
      </c>
      <c r="H2645" t="n">
        <v>0</v>
      </c>
      <c r="I2645" t="n">
        <v>0</v>
      </c>
      <c r="J2645" t="n">
        <v>0</v>
      </c>
      <c r="K2645" t="n">
        <v>0</v>
      </c>
      <c r="L2645" t="n">
        <v>0</v>
      </c>
      <c r="M2645" t="n">
        <v>0</v>
      </c>
      <c r="N2645" t="n">
        <v>0</v>
      </c>
      <c r="O2645" t="n">
        <v>0</v>
      </c>
      <c r="P2645" t="n">
        <v>0</v>
      </c>
      <c r="Q2645" t="n">
        <v>0</v>
      </c>
      <c r="R2645" s="2" t="inlineStr"/>
    </row>
    <row r="2646" ht="15" customHeight="1">
      <c r="A2646" t="inlineStr">
        <is>
          <t>A 67961-2019</t>
        </is>
      </c>
      <c r="B2646" s="1" t="n">
        <v>43811</v>
      </c>
      <c r="C2646" s="1" t="n">
        <v>45204</v>
      </c>
      <c r="D2646" t="inlineStr">
        <is>
          <t>VÄSTERBOTTENS LÄN</t>
        </is>
      </c>
      <c r="E2646" t="inlineStr">
        <is>
          <t>VÄNNÄS</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68320-2019</t>
        </is>
      </c>
      <c r="B2647" s="1" t="n">
        <v>43811</v>
      </c>
      <c r="C2647" s="1" t="n">
        <v>45204</v>
      </c>
      <c r="D2647" t="inlineStr">
        <is>
          <t>VÄSTERBOTTENS LÄN</t>
        </is>
      </c>
      <c r="E2647" t="inlineStr">
        <is>
          <t>VÄNNÄS</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67223-2019</t>
        </is>
      </c>
      <c r="B2648" s="1" t="n">
        <v>43811</v>
      </c>
      <c r="C2648" s="1" t="n">
        <v>45204</v>
      </c>
      <c r="D2648" t="inlineStr">
        <is>
          <t>VÄSTERBOTTENS LÄN</t>
        </is>
      </c>
      <c r="E2648" t="inlineStr">
        <is>
          <t>DOROTEA</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67298-2019</t>
        </is>
      </c>
      <c r="B2649" s="1" t="n">
        <v>43811</v>
      </c>
      <c r="C2649" s="1" t="n">
        <v>45204</v>
      </c>
      <c r="D2649" t="inlineStr">
        <is>
          <t>VÄSTERBOTTENS LÄN</t>
        </is>
      </c>
      <c r="E2649" t="inlineStr">
        <is>
          <t>SORSELE</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67913-2019</t>
        </is>
      </c>
      <c r="B2650" s="1" t="n">
        <v>43811</v>
      </c>
      <c r="C2650" s="1" t="n">
        <v>45204</v>
      </c>
      <c r="D2650" t="inlineStr">
        <is>
          <t>VÄSTERBOTTENS LÄN</t>
        </is>
      </c>
      <c r="E2650" t="inlineStr">
        <is>
          <t>VÄNNÄS</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67964-2019</t>
        </is>
      </c>
      <c r="B2651" s="1" t="n">
        <v>43811</v>
      </c>
      <c r="C2651" s="1" t="n">
        <v>45204</v>
      </c>
      <c r="D2651" t="inlineStr">
        <is>
          <t>VÄSTERBOTTENS LÄN</t>
        </is>
      </c>
      <c r="E2651" t="inlineStr">
        <is>
          <t>BJURHOLM</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68008-2019</t>
        </is>
      </c>
      <c r="B2652" s="1" t="n">
        <v>43811</v>
      </c>
      <c r="C2652" s="1" t="n">
        <v>45204</v>
      </c>
      <c r="D2652" t="inlineStr">
        <is>
          <t>VÄSTERBOTTENS LÄN</t>
        </is>
      </c>
      <c r="E2652" t="inlineStr">
        <is>
          <t>SKELLEFTEÅ</t>
        </is>
      </c>
      <c r="G2652" t="n">
        <v>4.3</v>
      </c>
      <c r="H2652" t="n">
        <v>0</v>
      </c>
      <c r="I2652" t="n">
        <v>0</v>
      </c>
      <c r="J2652" t="n">
        <v>0</v>
      </c>
      <c r="K2652" t="n">
        <v>0</v>
      </c>
      <c r="L2652" t="n">
        <v>0</v>
      </c>
      <c r="M2652" t="n">
        <v>0</v>
      </c>
      <c r="N2652" t="n">
        <v>0</v>
      </c>
      <c r="O2652" t="n">
        <v>0</v>
      </c>
      <c r="P2652" t="n">
        <v>0</v>
      </c>
      <c r="Q2652" t="n">
        <v>0</v>
      </c>
      <c r="R2652" s="2" t="inlineStr"/>
    </row>
    <row r="2653" ht="15" customHeight="1">
      <c r="A2653" t="inlineStr">
        <is>
          <t>A 67232-2019</t>
        </is>
      </c>
      <c r="B2653" s="1" t="n">
        <v>43812</v>
      </c>
      <c r="C2653" s="1" t="n">
        <v>45204</v>
      </c>
      <c r="D2653" t="inlineStr">
        <is>
          <t>VÄSTERBOTTENS LÄN</t>
        </is>
      </c>
      <c r="E2653" t="inlineStr">
        <is>
          <t>ROBERTSFORS</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67303-2019</t>
        </is>
      </c>
      <c r="B2654" s="1" t="n">
        <v>43812</v>
      </c>
      <c r="C2654" s="1" t="n">
        <v>45204</v>
      </c>
      <c r="D2654" t="inlineStr">
        <is>
          <t>VÄSTERBOTTENS LÄN</t>
        </is>
      </c>
      <c r="E2654" t="inlineStr">
        <is>
          <t>VINDELN</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67659-2019</t>
        </is>
      </c>
      <c r="B2655" s="1" t="n">
        <v>43815</v>
      </c>
      <c r="C2655" s="1" t="n">
        <v>45204</v>
      </c>
      <c r="D2655" t="inlineStr">
        <is>
          <t>VÄSTERBOTTENS LÄN</t>
        </is>
      </c>
      <c r="E2655" t="inlineStr">
        <is>
          <t>UMEÅ</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67814-2019</t>
        </is>
      </c>
      <c r="B2656" s="1" t="n">
        <v>43815</v>
      </c>
      <c r="C2656" s="1" t="n">
        <v>45204</v>
      </c>
      <c r="D2656" t="inlineStr">
        <is>
          <t>VÄSTERBOTTENS LÄN</t>
        </is>
      </c>
      <c r="E2656" t="inlineStr">
        <is>
          <t>VILHELMINA</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69135-2019</t>
        </is>
      </c>
      <c r="B2657" s="1" t="n">
        <v>43815</v>
      </c>
      <c r="C2657" s="1" t="n">
        <v>45204</v>
      </c>
      <c r="D2657" t="inlineStr">
        <is>
          <t>VÄSTERBOTTENS LÄN</t>
        </is>
      </c>
      <c r="E2657" t="inlineStr">
        <is>
          <t>SKELLEFTEÅ</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69131-2019</t>
        </is>
      </c>
      <c r="B2658" s="1" t="n">
        <v>43815</v>
      </c>
      <c r="C2658" s="1" t="n">
        <v>45204</v>
      </c>
      <c r="D2658" t="inlineStr">
        <is>
          <t>VÄSTERBOTTENS LÄN</t>
        </is>
      </c>
      <c r="E2658" t="inlineStr">
        <is>
          <t>SKELLEFTEÅ</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69005-2019</t>
        </is>
      </c>
      <c r="B2659" s="1" t="n">
        <v>43815</v>
      </c>
      <c r="C2659" s="1" t="n">
        <v>45204</v>
      </c>
      <c r="D2659" t="inlineStr">
        <is>
          <t>VÄSTERBOTTENS LÄN</t>
        </is>
      </c>
      <c r="E2659" t="inlineStr">
        <is>
          <t>STORUMAN</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69136-2019</t>
        </is>
      </c>
      <c r="B2660" s="1" t="n">
        <v>43815</v>
      </c>
      <c r="C2660" s="1" t="n">
        <v>45204</v>
      </c>
      <c r="D2660" t="inlineStr">
        <is>
          <t>VÄSTERBOTTENS LÄN</t>
        </is>
      </c>
      <c r="E2660" t="inlineStr">
        <is>
          <t>SKELLEFTEÅ</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69024-2019</t>
        </is>
      </c>
      <c r="B2661" s="1" t="n">
        <v>43815</v>
      </c>
      <c r="C2661" s="1" t="n">
        <v>45204</v>
      </c>
      <c r="D2661" t="inlineStr">
        <is>
          <t>VÄSTERBOTTENS LÄN</t>
        </is>
      </c>
      <c r="E2661" t="inlineStr">
        <is>
          <t>LYCKSELE</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69140-2019</t>
        </is>
      </c>
      <c r="B2662" s="1" t="n">
        <v>43815</v>
      </c>
      <c r="C2662" s="1" t="n">
        <v>45204</v>
      </c>
      <c r="D2662" t="inlineStr">
        <is>
          <t>VÄSTERBOTTENS LÄN</t>
        </is>
      </c>
      <c r="E2662" t="inlineStr">
        <is>
          <t>SKELLEFTEÅ</t>
        </is>
      </c>
      <c r="G2662" t="n">
        <v>4.9</v>
      </c>
      <c r="H2662" t="n">
        <v>0</v>
      </c>
      <c r="I2662" t="n">
        <v>0</v>
      </c>
      <c r="J2662" t="n">
        <v>0</v>
      </c>
      <c r="K2662" t="n">
        <v>0</v>
      </c>
      <c r="L2662" t="n">
        <v>0</v>
      </c>
      <c r="M2662" t="n">
        <v>0</v>
      </c>
      <c r="N2662" t="n">
        <v>0</v>
      </c>
      <c r="O2662" t="n">
        <v>0</v>
      </c>
      <c r="P2662" t="n">
        <v>0</v>
      </c>
      <c r="Q2662" t="n">
        <v>0</v>
      </c>
      <c r="R2662" s="2" t="inlineStr"/>
    </row>
    <row r="2663" ht="15" customHeight="1">
      <c r="A2663" t="inlineStr">
        <is>
          <t>A 67837-2019</t>
        </is>
      </c>
      <c r="B2663" s="1" t="n">
        <v>43816</v>
      </c>
      <c r="C2663" s="1" t="n">
        <v>45204</v>
      </c>
      <c r="D2663" t="inlineStr">
        <is>
          <t>VÄSTERBOTTENS LÄN</t>
        </is>
      </c>
      <c r="E2663" t="inlineStr">
        <is>
          <t>SKELLEFTEÅ</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67935-2019</t>
        </is>
      </c>
      <c r="B2664" s="1" t="n">
        <v>43816</v>
      </c>
      <c r="C2664" s="1" t="n">
        <v>45204</v>
      </c>
      <c r="D2664" t="inlineStr">
        <is>
          <t>VÄSTERBOTTENS LÄN</t>
        </is>
      </c>
      <c r="E2664" t="inlineStr">
        <is>
          <t>LYCKSELE</t>
        </is>
      </c>
      <c r="F2664" t="inlineStr">
        <is>
          <t>Sveaskog</t>
        </is>
      </c>
      <c r="G2664" t="n">
        <v>4.9</v>
      </c>
      <c r="H2664" t="n">
        <v>0</v>
      </c>
      <c r="I2664" t="n">
        <v>0</v>
      </c>
      <c r="J2664" t="n">
        <v>0</v>
      </c>
      <c r="K2664" t="n">
        <v>0</v>
      </c>
      <c r="L2664" t="n">
        <v>0</v>
      </c>
      <c r="M2664" t="n">
        <v>0</v>
      </c>
      <c r="N2664" t="n">
        <v>0</v>
      </c>
      <c r="O2664" t="n">
        <v>0</v>
      </c>
      <c r="P2664" t="n">
        <v>0</v>
      </c>
      <c r="Q2664" t="n">
        <v>0</v>
      </c>
      <c r="R2664" s="2" t="inlineStr"/>
    </row>
    <row r="2665" ht="15" customHeight="1">
      <c r="A2665" t="inlineStr">
        <is>
          <t>A 433-2020</t>
        </is>
      </c>
      <c r="B2665" s="1" t="n">
        <v>43816</v>
      </c>
      <c r="C2665" s="1" t="n">
        <v>45204</v>
      </c>
      <c r="D2665" t="inlineStr">
        <is>
          <t>VÄSTERBOTTENS LÄN</t>
        </is>
      </c>
      <c r="E2665" t="inlineStr">
        <is>
          <t>VÄNNÄS</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67902-2019</t>
        </is>
      </c>
      <c r="B2666" s="1" t="n">
        <v>43816</v>
      </c>
      <c r="C2666" s="1" t="n">
        <v>45204</v>
      </c>
      <c r="D2666" t="inlineStr">
        <is>
          <t>VÄSTERBOTTENS LÄN</t>
        </is>
      </c>
      <c r="E2666" t="inlineStr">
        <is>
          <t>ROBERTSFORS</t>
        </is>
      </c>
      <c r="F2666" t="inlineStr">
        <is>
          <t>Holmen skog AB</t>
        </is>
      </c>
      <c r="G2666" t="n">
        <v>7.1</v>
      </c>
      <c r="H2666" t="n">
        <v>0</v>
      </c>
      <c r="I2666" t="n">
        <v>0</v>
      </c>
      <c r="J2666" t="n">
        <v>0</v>
      </c>
      <c r="K2666" t="n">
        <v>0</v>
      </c>
      <c r="L2666" t="n">
        <v>0</v>
      </c>
      <c r="M2666" t="n">
        <v>0</v>
      </c>
      <c r="N2666" t="n">
        <v>0</v>
      </c>
      <c r="O2666" t="n">
        <v>0</v>
      </c>
      <c r="P2666" t="n">
        <v>0</v>
      </c>
      <c r="Q2666" t="n">
        <v>0</v>
      </c>
      <c r="R2666" s="2" t="inlineStr"/>
    </row>
    <row r="2667" ht="15" customHeight="1">
      <c r="A2667" t="inlineStr">
        <is>
          <t>A 67928-2019</t>
        </is>
      </c>
      <c r="B2667" s="1" t="n">
        <v>43816</v>
      </c>
      <c r="C2667" s="1" t="n">
        <v>45204</v>
      </c>
      <c r="D2667" t="inlineStr">
        <is>
          <t>VÄSTERBOTTENS LÄN</t>
        </is>
      </c>
      <c r="E2667" t="inlineStr">
        <is>
          <t>LYCKSELE</t>
        </is>
      </c>
      <c r="F2667" t="inlineStr">
        <is>
          <t>Sveaskog</t>
        </is>
      </c>
      <c r="G2667" t="n">
        <v>12.7</v>
      </c>
      <c r="H2667" t="n">
        <v>0</v>
      </c>
      <c r="I2667" t="n">
        <v>0</v>
      </c>
      <c r="J2667" t="n">
        <v>0</v>
      </c>
      <c r="K2667" t="n">
        <v>0</v>
      </c>
      <c r="L2667" t="n">
        <v>0</v>
      </c>
      <c r="M2667" t="n">
        <v>0</v>
      </c>
      <c r="N2667" t="n">
        <v>0</v>
      </c>
      <c r="O2667" t="n">
        <v>0</v>
      </c>
      <c r="P2667" t="n">
        <v>0</v>
      </c>
      <c r="Q2667" t="n">
        <v>0</v>
      </c>
      <c r="R2667" s="2" t="inlineStr"/>
    </row>
    <row r="2668" ht="15" customHeight="1">
      <c r="A2668" t="inlineStr">
        <is>
          <t>A 67949-2019</t>
        </is>
      </c>
      <c r="B2668" s="1" t="n">
        <v>43816</v>
      </c>
      <c r="C2668" s="1" t="n">
        <v>45204</v>
      </c>
      <c r="D2668" t="inlineStr">
        <is>
          <t>VÄSTERBOTTENS LÄN</t>
        </is>
      </c>
      <c r="E2668" t="inlineStr">
        <is>
          <t>LYCKSELE</t>
        </is>
      </c>
      <c r="F2668" t="inlineStr">
        <is>
          <t>Sveaskog</t>
        </is>
      </c>
      <c r="G2668" t="n">
        <v>5.3</v>
      </c>
      <c r="H2668" t="n">
        <v>0</v>
      </c>
      <c r="I2668" t="n">
        <v>0</v>
      </c>
      <c r="J2668" t="n">
        <v>0</v>
      </c>
      <c r="K2668" t="n">
        <v>0</v>
      </c>
      <c r="L2668" t="n">
        <v>0</v>
      </c>
      <c r="M2668" t="n">
        <v>0</v>
      </c>
      <c r="N2668" t="n">
        <v>0</v>
      </c>
      <c r="O2668" t="n">
        <v>0</v>
      </c>
      <c r="P2668" t="n">
        <v>0</v>
      </c>
      <c r="Q2668" t="n">
        <v>0</v>
      </c>
      <c r="R2668" s="2" t="inlineStr"/>
    </row>
    <row r="2669" ht="15" customHeight="1">
      <c r="A2669" t="inlineStr">
        <is>
          <t>A 277-2020</t>
        </is>
      </c>
      <c r="B2669" s="1" t="n">
        <v>43816</v>
      </c>
      <c r="C2669" s="1" t="n">
        <v>45204</v>
      </c>
      <c r="D2669" t="inlineStr">
        <is>
          <t>VÄSTERBOTTENS LÄN</t>
        </is>
      </c>
      <c r="E2669" t="inlineStr">
        <is>
          <t>SKELLEFTEÅ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398-2020</t>
        </is>
      </c>
      <c r="B2670" s="1" t="n">
        <v>43816</v>
      </c>
      <c r="C2670" s="1" t="n">
        <v>45204</v>
      </c>
      <c r="D2670" t="inlineStr">
        <is>
          <t>VÄSTERBOTTENS LÄN</t>
        </is>
      </c>
      <c r="E2670" t="inlineStr">
        <is>
          <t>SKELLEFTEÅ</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434-2020</t>
        </is>
      </c>
      <c r="B2671" s="1" t="n">
        <v>43816</v>
      </c>
      <c r="C2671" s="1" t="n">
        <v>45204</v>
      </c>
      <c r="D2671" t="inlineStr">
        <is>
          <t>VÄSTERBOTTENS LÄN</t>
        </is>
      </c>
      <c r="E2671" t="inlineStr">
        <is>
          <t>SKELLEFTEÅ</t>
        </is>
      </c>
      <c r="G2671" t="n">
        <v>12.9</v>
      </c>
      <c r="H2671" t="n">
        <v>0</v>
      </c>
      <c r="I2671" t="n">
        <v>0</v>
      </c>
      <c r="J2671" t="n">
        <v>0</v>
      </c>
      <c r="K2671" t="n">
        <v>0</v>
      </c>
      <c r="L2671" t="n">
        <v>0</v>
      </c>
      <c r="M2671" t="n">
        <v>0</v>
      </c>
      <c r="N2671" t="n">
        <v>0</v>
      </c>
      <c r="O2671" t="n">
        <v>0</v>
      </c>
      <c r="P2671" t="n">
        <v>0</v>
      </c>
      <c r="Q2671" t="n">
        <v>0</v>
      </c>
      <c r="R2671" s="2" t="inlineStr"/>
    </row>
    <row r="2672" ht="15" customHeight="1">
      <c r="A2672" t="inlineStr">
        <is>
          <t>A 68106-2019</t>
        </is>
      </c>
      <c r="B2672" s="1" t="n">
        <v>43817</v>
      </c>
      <c r="C2672" s="1" t="n">
        <v>45204</v>
      </c>
      <c r="D2672" t="inlineStr">
        <is>
          <t>VÄSTERBOTTENS LÄN</t>
        </is>
      </c>
      <c r="E2672" t="inlineStr">
        <is>
          <t>LYCKSELE</t>
        </is>
      </c>
      <c r="F2672" t="inlineStr">
        <is>
          <t>Sveaskog</t>
        </is>
      </c>
      <c r="G2672" t="n">
        <v>5.1</v>
      </c>
      <c r="H2672" t="n">
        <v>0</v>
      </c>
      <c r="I2672" t="n">
        <v>0</v>
      </c>
      <c r="J2672" t="n">
        <v>0</v>
      </c>
      <c r="K2672" t="n">
        <v>0</v>
      </c>
      <c r="L2672" t="n">
        <v>0</v>
      </c>
      <c r="M2672" t="n">
        <v>0</v>
      </c>
      <c r="N2672" t="n">
        <v>0</v>
      </c>
      <c r="O2672" t="n">
        <v>0</v>
      </c>
      <c r="P2672" t="n">
        <v>0</v>
      </c>
      <c r="Q2672" t="n">
        <v>0</v>
      </c>
      <c r="R2672" s="2" t="inlineStr"/>
    </row>
    <row r="2673" ht="15" customHeight="1">
      <c r="A2673" t="inlineStr">
        <is>
          <t>A 68179-2019</t>
        </is>
      </c>
      <c r="B2673" s="1" t="n">
        <v>43817</v>
      </c>
      <c r="C2673" s="1" t="n">
        <v>45204</v>
      </c>
      <c r="D2673" t="inlineStr">
        <is>
          <t>VÄSTERBOTTENS LÄN</t>
        </is>
      </c>
      <c r="E2673" t="inlineStr">
        <is>
          <t>LYCKSELE</t>
        </is>
      </c>
      <c r="F2673" t="inlineStr">
        <is>
          <t>Sveaskog</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68194-2019</t>
        </is>
      </c>
      <c r="B2674" s="1" t="n">
        <v>43817</v>
      </c>
      <c r="C2674" s="1" t="n">
        <v>45204</v>
      </c>
      <c r="D2674" t="inlineStr">
        <is>
          <t>VÄSTERBOTTENS LÄN</t>
        </is>
      </c>
      <c r="E2674" t="inlineStr">
        <is>
          <t>LYCKSELE</t>
        </is>
      </c>
      <c r="F2674" t="inlineStr">
        <is>
          <t>Sveaskog</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68185-2019</t>
        </is>
      </c>
      <c r="B2675" s="1" t="n">
        <v>43817</v>
      </c>
      <c r="C2675" s="1" t="n">
        <v>45204</v>
      </c>
      <c r="D2675" t="inlineStr">
        <is>
          <t>VÄSTERBOTTENS LÄN</t>
        </is>
      </c>
      <c r="E2675" t="inlineStr">
        <is>
          <t>LYCKSELE</t>
        </is>
      </c>
      <c r="F2675" t="inlineStr">
        <is>
          <t>Sveaskog</t>
        </is>
      </c>
      <c r="G2675" t="n">
        <v>2.5</v>
      </c>
      <c r="H2675" t="n">
        <v>0</v>
      </c>
      <c r="I2675" t="n">
        <v>0</v>
      </c>
      <c r="J2675" t="n">
        <v>0</v>
      </c>
      <c r="K2675" t="n">
        <v>0</v>
      </c>
      <c r="L2675" t="n">
        <v>0</v>
      </c>
      <c r="M2675" t="n">
        <v>0</v>
      </c>
      <c r="N2675" t="n">
        <v>0</v>
      </c>
      <c r="O2675" t="n">
        <v>0</v>
      </c>
      <c r="P2675" t="n">
        <v>0</v>
      </c>
      <c r="Q2675" t="n">
        <v>0</v>
      </c>
      <c r="R2675" s="2" t="inlineStr"/>
    </row>
    <row r="2676" ht="15" customHeight="1">
      <c r="A2676" t="inlineStr">
        <is>
          <t>A 68172-2019</t>
        </is>
      </c>
      <c r="B2676" s="1" t="n">
        <v>43817</v>
      </c>
      <c r="C2676" s="1" t="n">
        <v>45204</v>
      </c>
      <c r="D2676" t="inlineStr">
        <is>
          <t>VÄSTERBOTTENS LÄN</t>
        </is>
      </c>
      <c r="E2676" t="inlineStr">
        <is>
          <t>LYCKSELE</t>
        </is>
      </c>
      <c r="F2676" t="inlineStr">
        <is>
          <t>Sveaskog</t>
        </is>
      </c>
      <c r="G2676" t="n">
        <v>23.7</v>
      </c>
      <c r="H2676" t="n">
        <v>0</v>
      </c>
      <c r="I2676" t="n">
        <v>0</v>
      </c>
      <c r="J2676" t="n">
        <v>0</v>
      </c>
      <c r="K2676" t="n">
        <v>0</v>
      </c>
      <c r="L2676" t="n">
        <v>0</v>
      </c>
      <c r="M2676" t="n">
        <v>0</v>
      </c>
      <c r="N2676" t="n">
        <v>0</v>
      </c>
      <c r="O2676" t="n">
        <v>0</v>
      </c>
      <c r="P2676" t="n">
        <v>0</v>
      </c>
      <c r="Q2676" t="n">
        <v>0</v>
      </c>
      <c r="R2676" s="2" t="inlineStr"/>
    </row>
    <row r="2677" ht="15" customHeight="1">
      <c r="A2677" t="inlineStr">
        <is>
          <t>A 692-2020</t>
        </is>
      </c>
      <c r="B2677" s="1" t="n">
        <v>43817</v>
      </c>
      <c r="C2677" s="1" t="n">
        <v>45204</v>
      </c>
      <c r="D2677" t="inlineStr">
        <is>
          <t>VÄSTERBOTTENS LÄN</t>
        </is>
      </c>
      <c r="E2677" t="inlineStr">
        <is>
          <t>NORSJÖ</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68595-2019</t>
        </is>
      </c>
      <c r="B2678" s="1" t="n">
        <v>43818</v>
      </c>
      <c r="C2678" s="1" t="n">
        <v>45204</v>
      </c>
      <c r="D2678" t="inlineStr">
        <is>
          <t>VÄSTERBOTTENS LÄN</t>
        </is>
      </c>
      <c r="E2678" t="inlineStr">
        <is>
          <t>VINDELN</t>
        </is>
      </c>
      <c r="G2678" t="n">
        <v>6.5</v>
      </c>
      <c r="H2678" t="n">
        <v>0</v>
      </c>
      <c r="I2678" t="n">
        <v>0</v>
      </c>
      <c r="J2678" t="n">
        <v>0</v>
      </c>
      <c r="K2678" t="n">
        <v>0</v>
      </c>
      <c r="L2678" t="n">
        <v>0</v>
      </c>
      <c r="M2678" t="n">
        <v>0</v>
      </c>
      <c r="N2678" t="n">
        <v>0</v>
      </c>
      <c r="O2678" t="n">
        <v>0</v>
      </c>
      <c r="P2678" t="n">
        <v>0</v>
      </c>
      <c r="Q2678" t="n">
        <v>0</v>
      </c>
      <c r="R2678" s="2" t="inlineStr"/>
    </row>
    <row r="2679" ht="15" customHeight="1">
      <c r="A2679" t="inlineStr">
        <is>
          <t>A 820-2020</t>
        </is>
      </c>
      <c r="B2679" s="1" t="n">
        <v>43818</v>
      </c>
      <c r="C2679" s="1" t="n">
        <v>45204</v>
      </c>
      <c r="D2679" t="inlineStr">
        <is>
          <t>VÄSTERBOTTENS LÄN</t>
        </is>
      </c>
      <c r="E2679" t="inlineStr">
        <is>
          <t>SKELLEFTEÅ</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906-2020</t>
        </is>
      </c>
      <c r="B2680" s="1" t="n">
        <v>43818</v>
      </c>
      <c r="C2680" s="1" t="n">
        <v>45204</v>
      </c>
      <c r="D2680" t="inlineStr">
        <is>
          <t>VÄSTERBOTTENS LÄN</t>
        </is>
      </c>
      <c r="E2680" t="inlineStr">
        <is>
          <t>ÅSELE</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68614-2019</t>
        </is>
      </c>
      <c r="B2681" s="1" t="n">
        <v>43818</v>
      </c>
      <c r="C2681" s="1" t="n">
        <v>45204</v>
      </c>
      <c r="D2681" t="inlineStr">
        <is>
          <t>VÄSTERBOTTENS LÄN</t>
        </is>
      </c>
      <c r="E2681" t="inlineStr">
        <is>
          <t>LYCKSELE</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1102-2020</t>
        </is>
      </c>
      <c r="B2682" s="1" t="n">
        <v>43819</v>
      </c>
      <c r="C2682" s="1" t="n">
        <v>45204</v>
      </c>
      <c r="D2682" t="inlineStr">
        <is>
          <t>VÄSTERBOTTENS LÄN</t>
        </is>
      </c>
      <c r="E2682" t="inlineStr">
        <is>
          <t>SKELLEFTEÅ</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68858-2019</t>
        </is>
      </c>
      <c r="B2683" s="1" t="n">
        <v>43820</v>
      </c>
      <c r="C2683" s="1" t="n">
        <v>45204</v>
      </c>
      <c r="D2683" t="inlineStr">
        <is>
          <t>VÄSTERBOTTENS LÄN</t>
        </is>
      </c>
      <c r="E2683" t="inlineStr">
        <is>
          <t>UMEÅ</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1221-2020</t>
        </is>
      </c>
      <c r="B2684" s="1" t="n">
        <v>43822</v>
      </c>
      <c r="C2684" s="1" t="n">
        <v>45204</v>
      </c>
      <c r="D2684" t="inlineStr">
        <is>
          <t>VÄSTERBOTTENS LÄN</t>
        </is>
      </c>
      <c r="E2684" t="inlineStr">
        <is>
          <t>STORUMAN</t>
        </is>
      </c>
      <c r="G2684" t="n">
        <v>12.2</v>
      </c>
      <c r="H2684" t="n">
        <v>0</v>
      </c>
      <c r="I2684" t="n">
        <v>0</v>
      </c>
      <c r="J2684" t="n">
        <v>0</v>
      </c>
      <c r="K2684" t="n">
        <v>0</v>
      </c>
      <c r="L2684" t="n">
        <v>0</v>
      </c>
      <c r="M2684" t="n">
        <v>0</v>
      </c>
      <c r="N2684" t="n">
        <v>0</v>
      </c>
      <c r="O2684" t="n">
        <v>0</v>
      </c>
      <c r="P2684" t="n">
        <v>0</v>
      </c>
      <c r="Q2684" t="n">
        <v>0</v>
      </c>
      <c r="R2684" s="2" t="inlineStr"/>
    </row>
    <row r="2685" ht="15" customHeight="1">
      <c r="A2685" t="inlineStr">
        <is>
          <t>A 1452-2020</t>
        </is>
      </c>
      <c r="B2685" s="1" t="n">
        <v>43822</v>
      </c>
      <c r="C2685" s="1" t="n">
        <v>45204</v>
      </c>
      <c r="D2685" t="inlineStr">
        <is>
          <t>VÄSTERBOTTENS LÄN</t>
        </is>
      </c>
      <c r="E2685" t="inlineStr">
        <is>
          <t>SKELLEFTEÅ</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68995-2019</t>
        </is>
      </c>
      <c r="B2686" s="1" t="n">
        <v>43826</v>
      </c>
      <c r="C2686" s="1" t="n">
        <v>45204</v>
      </c>
      <c r="D2686" t="inlineStr">
        <is>
          <t>VÄSTERBOTTENS LÄN</t>
        </is>
      </c>
      <c r="E2686" t="inlineStr">
        <is>
          <t>VINDELN</t>
        </is>
      </c>
      <c r="G2686" t="n">
        <v>6.7</v>
      </c>
      <c r="H2686" t="n">
        <v>0</v>
      </c>
      <c r="I2686" t="n">
        <v>0</v>
      </c>
      <c r="J2686" t="n">
        <v>0</v>
      </c>
      <c r="K2686" t="n">
        <v>0</v>
      </c>
      <c r="L2686" t="n">
        <v>0</v>
      </c>
      <c r="M2686" t="n">
        <v>0</v>
      </c>
      <c r="N2686" t="n">
        <v>0</v>
      </c>
      <c r="O2686" t="n">
        <v>0</v>
      </c>
      <c r="P2686" t="n">
        <v>0</v>
      </c>
      <c r="Q2686" t="n">
        <v>0</v>
      </c>
      <c r="R2686" s="2" t="inlineStr"/>
    </row>
    <row r="2687" ht="15" customHeight="1">
      <c r="A2687" t="inlineStr">
        <is>
          <t>A 69159-2019</t>
        </is>
      </c>
      <c r="B2687" s="1" t="n">
        <v>43829</v>
      </c>
      <c r="C2687" s="1" t="n">
        <v>45204</v>
      </c>
      <c r="D2687" t="inlineStr">
        <is>
          <t>VÄSTERBOTTENS LÄN</t>
        </is>
      </c>
      <c r="E2687" t="inlineStr">
        <is>
          <t>VINDELN</t>
        </is>
      </c>
      <c r="G2687" t="n">
        <v>4.8</v>
      </c>
      <c r="H2687" t="n">
        <v>0</v>
      </c>
      <c r="I2687" t="n">
        <v>0</v>
      </c>
      <c r="J2687" t="n">
        <v>0</v>
      </c>
      <c r="K2687" t="n">
        <v>0</v>
      </c>
      <c r="L2687" t="n">
        <v>0</v>
      </c>
      <c r="M2687" t="n">
        <v>0</v>
      </c>
      <c r="N2687" t="n">
        <v>0</v>
      </c>
      <c r="O2687" t="n">
        <v>0</v>
      </c>
      <c r="P2687" t="n">
        <v>0</v>
      </c>
      <c r="Q2687" t="n">
        <v>0</v>
      </c>
      <c r="R2687" s="2" t="inlineStr"/>
    </row>
    <row r="2688" ht="15" customHeight="1">
      <c r="A2688" t="inlineStr">
        <is>
          <t>A 69162-2019</t>
        </is>
      </c>
      <c r="B2688" s="1" t="n">
        <v>43829</v>
      </c>
      <c r="C2688" s="1" t="n">
        <v>45204</v>
      </c>
      <c r="D2688" t="inlineStr">
        <is>
          <t>VÄSTERBOTTENS LÄN</t>
        </is>
      </c>
      <c r="E2688" t="inlineStr">
        <is>
          <t>VINDELN</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69174-2019</t>
        </is>
      </c>
      <c r="B2689" s="1" t="n">
        <v>43830</v>
      </c>
      <c r="C2689" s="1" t="n">
        <v>45204</v>
      </c>
      <c r="D2689" t="inlineStr">
        <is>
          <t>VÄSTERBOTTENS LÄN</t>
        </is>
      </c>
      <c r="E2689" t="inlineStr">
        <is>
          <t>NORDMALING</t>
        </is>
      </c>
      <c r="G2689" t="n">
        <v>5.2</v>
      </c>
      <c r="H2689" t="n">
        <v>0</v>
      </c>
      <c r="I2689" t="n">
        <v>0</v>
      </c>
      <c r="J2689" t="n">
        <v>0</v>
      </c>
      <c r="K2689" t="n">
        <v>0</v>
      </c>
      <c r="L2689" t="n">
        <v>0</v>
      </c>
      <c r="M2689" t="n">
        <v>0</v>
      </c>
      <c r="N2689" t="n">
        <v>0</v>
      </c>
      <c r="O2689" t="n">
        <v>0</v>
      </c>
      <c r="P2689" t="n">
        <v>0</v>
      </c>
      <c r="Q2689" t="n">
        <v>0</v>
      </c>
      <c r="R2689" s="2" t="inlineStr"/>
    </row>
    <row r="2690" ht="15" customHeight="1">
      <c r="A2690" t="inlineStr">
        <is>
          <t>A 7-2020</t>
        </is>
      </c>
      <c r="B2690" s="1" t="n">
        <v>43831</v>
      </c>
      <c r="C2690" s="1" t="n">
        <v>45204</v>
      </c>
      <c r="D2690" t="inlineStr">
        <is>
          <t>VÄSTERBOTTENS LÄN</t>
        </is>
      </c>
      <c r="E2690" t="inlineStr">
        <is>
          <t>SORSELE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10-2020</t>
        </is>
      </c>
      <c r="B2691" s="1" t="n">
        <v>43831</v>
      </c>
      <c r="C2691" s="1" t="n">
        <v>45204</v>
      </c>
      <c r="D2691" t="inlineStr">
        <is>
          <t>VÄSTERBOTTENS LÄN</t>
        </is>
      </c>
      <c r="E2691" t="inlineStr">
        <is>
          <t>SORSELE</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11-2020</t>
        </is>
      </c>
      <c r="B2692" s="1" t="n">
        <v>43831</v>
      </c>
      <c r="C2692" s="1" t="n">
        <v>45204</v>
      </c>
      <c r="D2692" t="inlineStr">
        <is>
          <t>VÄSTERBOTTENS LÄN</t>
        </is>
      </c>
      <c r="E2692" t="inlineStr">
        <is>
          <t>SORSELE</t>
        </is>
      </c>
      <c r="G2692" t="n">
        <v>4.8</v>
      </c>
      <c r="H2692" t="n">
        <v>0</v>
      </c>
      <c r="I2692" t="n">
        <v>0</v>
      </c>
      <c r="J2692" t="n">
        <v>0</v>
      </c>
      <c r="K2692" t="n">
        <v>0</v>
      </c>
      <c r="L2692" t="n">
        <v>0</v>
      </c>
      <c r="M2692" t="n">
        <v>0</v>
      </c>
      <c r="N2692" t="n">
        <v>0</v>
      </c>
      <c r="O2692" t="n">
        <v>0</v>
      </c>
      <c r="P2692" t="n">
        <v>0</v>
      </c>
      <c r="Q2692" t="n">
        <v>0</v>
      </c>
      <c r="R2692" s="2" t="inlineStr"/>
    </row>
    <row r="2693" ht="15" customHeight="1">
      <c r="A2693" t="inlineStr">
        <is>
          <t>A 217-2020</t>
        </is>
      </c>
      <c r="B2693" s="1" t="n">
        <v>43833</v>
      </c>
      <c r="C2693" s="1" t="n">
        <v>45204</v>
      </c>
      <c r="D2693" t="inlineStr">
        <is>
          <t>VÄSTERBOTTENS LÄN</t>
        </is>
      </c>
      <c r="E2693" t="inlineStr">
        <is>
          <t>VILHELMINA</t>
        </is>
      </c>
      <c r="F2693" t="inlineStr">
        <is>
          <t>SCA</t>
        </is>
      </c>
      <c r="G2693" t="n">
        <v>5.4</v>
      </c>
      <c r="H2693" t="n">
        <v>0</v>
      </c>
      <c r="I2693" t="n">
        <v>0</v>
      </c>
      <c r="J2693" t="n">
        <v>0</v>
      </c>
      <c r="K2693" t="n">
        <v>0</v>
      </c>
      <c r="L2693" t="n">
        <v>0</v>
      </c>
      <c r="M2693" t="n">
        <v>0</v>
      </c>
      <c r="N2693" t="n">
        <v>0</v>
      </c>
      <c r="O2693" t="n">
        <v>0</v>
      </c>
      <c r="P2693" t="n">
        <v>0</v>
      </c>
      <c r="Q2693" t="n">
        <v>0</v>
      </c>
      <c r="R2693" s="2" t="inlineStr"/>
    </row>
    <row r="2694" ht="15" customHeight="1">
      <c r="A2694" t="inlineStr">
        <is>
          <t>A 226-2020</t>
        </is>
      </c>
      <c r="B2694" s="1" t="n">
        <v>43833</v>
      </c>
      <c r="C2694" s="1" t="n">
        <v>45204</v>
      </c>
      <c r="D2694" t="inlineStr">
        <is>
          <t>VÄSTERBOTTENS LÄN</t>
        </is>
      </c>
      <c r="E2694" t="inlineStr">
        <is>
          <t>VILHELMINA</t>
        </is>
      </c>
      <c r="F2694" t="inlineStr">
        <is>
          <t>SCA</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1716-2020</t>
        </is>
      </c>
      <c r="B2695" s="1" t="n">
        <v>43833</v>
      </c>
      <c r="C2695" s="1" t="n">
        <v>45204</v>
      </c>
      <c r="D2695" t="inlineStr">
        <is>
          <t>VÄSTERBOTTENS LÄN</t>
        </is>
      </c>
      <c r="E2695" t="inlineStr">
        <is>
          <t>LYCKSELE</t>
        </is>
      </c>
      <c r="G2695" t="n">
        <v>17.4</v>
      </c>
      <c r="H2695" t="n">
        <v>0</v>
      </c>
      <c r="I2695" t="n">
        <v>0</v>
      </c>
      <c r="J2695" t="n">
        <v>0</v>
      </c>
      <c r="K2695" t="n">
        <v>0</v>
      </c>
      <c r="L2695" t="n">
        <v>0</v>
      </c>
      <c r="M2695" t="n">
        <v>0</v>
      </c>
      <c r="N2695" t="n">
        <v>0</v>
      </c>
      <c r="O2695" t="n">
        <v>0</v>
      </c>
      <c r="P2695" t="n">
        <v>0</v>
      </c>
      <c r="Q2695" t="n">
        <v>0</v>
      </c>
      <c r="R2695" s="2" t="inlineStr"/>
    </row>
    <row r="2696" ht="15" customHeight="1">
      <c r="A2696" t="inlineStr">
        <is>
          <t>A 1691-2020</t>
        </is>
      </c>
      <c r="B2696" s="1" t="n">
        <v>43833</v>
      </c>
      <c r="C2696" s="1" t="n">
        <v>45204</v>
      </c>
      <c r="D2696" t="inlineStr">
        <is>
          <t>VÄSTERBOTTENS LÄN</t>
        </is>
      </c>
      <c r="E2696" t="inlineStr">
        <is>
          <t>LYCKSELE</t>
        </is>
      </c>
      <c r="G2696" t="n">
        <v>4.3</v>
      </c>
      <c r="H2696" t="n">
        <v>0</v>
      </c>
      <c r="I2696" t="n">
        <v>0</v>
      </c>
      <c r="J2696" t="n">
        <v>0</v>
      </c>
      <c r="K2696" t="n">
        <v>0</v>
      </c>
      <c r="L2696" t="n">
        <v>0</v>
      </c>
      <c r="M2696" t="n">
        <v>0</v>
      </c>
      <c r="N2696" t="n">
        <v>0</v>
      </c>
      <c r="O2696" t="n">
        <v>0</v>
      </c>
      <c r="P2696" t="n">
        <v>0</v>
      </c>
      <c r="Q2696" t="n">
        <v>0</v>
      </c>
      <c r="R2696" s="2" t="inlineStr"/>
    </row>
    <row r="2697" ht="15" customHeight="1">
      <c r="A2697" t="inlineStr">
        <is>
          <t>A 219-2020</t>
        </is>
      </c>
      <c r="B2697" s="1" t="n">
        <v>43833</v>
      </c>
      <c r="C2697" s="1" t="n">
        <v>45204</v>
      </c>
      <c r="D2697" t="inlineStr">
        <is>
          <t>VÄSTERBOTTENS LÄN</t>
        </is>
      </c>
      <c r="E2697" t="inlineStr">
        <is>
          <t>VILHELMINA</t>
        </is>
      </c>
      <c r="F2697" t="inlineStr">
        <is>
          <t>SCA</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230-2020</t>
        </is>
      </c>
      <c r="B2698" s="1" t="n">
        <v>43833</v>
      </c>
      <c r="C2698" s="1" t="n">
        <v>45204</v>
      </c>
      <c r="D2698" t="inlineStr">
        <is>
          <t>VÄSTERBOTTENS LÄN</t>
        </is>
      </c>
      <c r="E2698" t="inlineStr">
        <is>
          <t>ÅSELE</t>
        </is>
      </c>
      <c r="F2698" t="inlineStr">
        <is>
          <t>SCA</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300-2020</t>
        </is>
      </c>
      <c r="B2699" s="1" t="n">
        <v>43837</v>
      </c>
      <c r="C2699" s="1" t="n">
        <v>45204</v>
      </c>
      <c r="D2699" t="inlineStr">
        <is>
          <t>VÄSTERBOTTENS LÄN</t>
        </is>
      </c>
      <c r="E2699" t="inlineStr">
        <is>
          <t>VILHELMINA</t>
        </is>
      </c>
      <c r="G2699" t="n">
        <v>7.6</v>
      </c>
      <c r="H2699" t="n">
        <v>0</v>
      </c>
      <c r="I2699" t="n">
        <v>0</v>
      </c>
      <c r="J2699" t="n">
        <v>0</v>
      </c>
      <c r="K2699" t="n">
        <v>0</v>
      </c>
      <c r="L2699" t="n">
        <v>0</v>
      </c>
      <c r="M2699" t="n">
        <v>0</v>
      </c>
      <c r="N2699" t="n">
        <v>0</v>
      </c>
      <c r="O2699" t="n">
        <v>0</v>
      </c>
      <c r="P2699" t="n">
        <v>0</v>
      </c>
      <c r="Q2699" t="n">
        <v>0</v>
      </c>
      <c r="R2699" s="2" t="inlineStr"/>
    </row>
    <row r="2700" ht="15" customHeight="1">
      <c r="A2700" t="inlineStr">
        <is>
          <t>A 293-2020</t>
        </is>
      </c>
      <c r="B2700" s="1" t="n">
        <v>43837</v>
      </c>
      <c r="C2700" s="1" t="n">
        <v>45204</v>
      </c>
      <c r="D2700" t="inlineStr">
        <is>
          <t>VÄSTERBOTTENS LÄN</t>
        </is>
      </c>
      <c r="E2700" t="inlineStr">
        <is>
          <t>DOROTEA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1235-2020</t>
        </is>
      </c>
      <c r="B2701" s="1" t="n">
        <v>43837</v>
      </c>
      <c r="C2701" s="1" t="n">
        <v>45204</v>
      </c>
      <c r="D2701" t="inlineStr">
        <is>
          <t>VÄSTERBOTTENS LÄN</t>
        </is>
      </c>
      <c r="E2701" t="inlineStr">
        <is>
          <t>VILHELMINA</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802-2020</t>
        </is>
      </c>
      <c r="B2702" s="1" t="n">
        <v>43838</v>
      </c>
      <c r="C2702" s="1" t="n">
        <v>45204</v>
      </c>
      <c r="D2702" t="inlineStr">
        <is>
          <t>VÄSTERBOTTENS LÄN</t>
        </is>
      </c>
      <c r="E2702" t="inlineStr">
        <is>
          <t>VILHELMINA</t>
        </is>
      </c>
      <c r="F2702" t="inlineStr">
        <is>
          <t>SCA</t>
        </is>
      </c>
      <c r="G2702" t="n">
        <v>0.5</v>
      </c>
      <c r="H2702" t="n">
        <v>0</v>
      </c>
      <c r="I2702" t="n">
        <v>0</v>
      </c>
      <c r="J2702" t="n">
        <v>0</v>
      </c>
      <c r="K2702" t="n">
        <v>0</v>
      </c>
      <c r="L2702" t="n">
        <v>0</v>
      </c>
      <c r="M2702" t="n">
        <v>0</v>
      </c>
      <c r="N2702" t="n">
        <v>0</v>
      </c>
      <c r="O2702" t="n">
        <v>0</v>
      </c>
      <c r="P2702" t="n">
        <v>0</v>
      </c>
      <c r="Q2702" t="n">
        <v>0</v>
      </c>
      <c r="R2702" s="2" t="inlineStr"/>
    </row>
    <row r="2703" ht="15" customHeight="1">
      <c r="A2703" t="inlineStr">
        <is>
          <t>A 789-2020</t>
        </is>
      </c>
      <c r="B2703" s="1" t="n">
        <v>43838</v>
      </c>
      <c r="C2703" s="1" t="n">
        <v>45204</v>
      </c>
      <c r="D2703" t="inlineStr">
        <is>
          <t>VÄSTERBOTTENS LÄN</t>
        </is>
      </c>
      <c r="E2703" t="inlineStr">
        <is>
          <t>SKELLEFTEÅ</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670-2020</t>
        </is>
      </c>
      <c r="B2704" s="1" t="n">
        <v>43838</v>
      </c>
      <c r="C2704" s="1" t="n">
        <v>45204</v>
      </c>
      <c r="D2704" t="inlineStr">
        <is>
          <t>VÄSTERBOTTENS LÄN</t>
        </is>
      </c>
      <c r="E2704" t="inlineStr">
        <is>
          <t>VINDELN</t>
        </is>
      </c>
      <c r="F2704" t="inlineStr">
        <is>
          <t>Holmen skog AB</t>
        </is>
      </c>
      <c r="G2704" t="n">
        <v>10.1</v>
      </c>
      <c r="H2704" t="n">
        <v>0</v>
      </c>
      <c r="I2704" t="n">
        <v>0</v>
      </c>
      <c r="J2704" t="n">
        <v>0</v>
      </c>
      <c r="K2704" t="n">
        <v>0</v>
      </c>
      <c r="L2704" t="n">
        <v>0</v>
      </c>
      <c r="M2704" t="n">
        <v>0</v>
      </c>
      <c r="N2704" t="n">
        <v>0</v>
      </c>
      <c r="O2704" t="n">
        <v>0</v>
      </c>
      <c r="P2704" t="n">
        <v>0</v>
      </c>
      <c r="Q2704" t="n">
        <v>0</v>
      </c>
      <c r="R2704" s="2" t="inlineStr"/>
    </row>
    <row r="2705" ht="15" customHeight="1">
      <c r="A2705" t="inlineStr">
        <is>
          <t>A 1992-2020</t>
        </is>
      </c>
      <c r="B2705" s="1" t="n">
        <v>43838</v>
      </c>
      <c r="C2705" s="1" t="n">
        <v>45204</v>
      </c>
      <c r="D2705" t="inlineStr">
        <is>
          <t>VÄSTERBOTTENS LÄN</t>
        </is>
      </c>
      <c r="E2705" t="inlineStr">
        <is>
          <t>VILHELMINA</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830-2020</t>
        </is>
      </c>
      <c r="B2706" s="1" t="n">
        <v>43839</v>
      </c>
      <c r="C2706" s="1" t="n">
        <v>45204</v>
      </c>
      <c r="D2706" t="inlineStr">
        <is>
          <t>VÄSTERBOTTENS LÄN</t>
        </is>
      </c>
      <c r="E2706" t="inlineStr">
        <is>
          <t>BJURHOLM</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896-2020</t>
        </is>
      </c>
      <c r="B2707" s="1" t="n">
        <v>43839</v>
      </c>
      <c r="C2707" s="1" t="n">
        <v>45204</v>
      </c>
      <c r="D2707" t="inlineStr">
        <is>
          <t>VÄSTERBOTTENS LÄN</t>
        </is>
      </c>
      <c r="E2707" t="inlineStr">
        <is>
          <t>SKELLEFTEÅ</t>
        </is>
      </c>
      <c r="F2707" t="inlineStr">
        <is>
          <t>Kyrkan</t>
        </is>
      </c>
      <c r="G2707" t="n">
        <v>14.9</v>
      </c>
      <c r="H2707" t="n">
        <v>0</v>
      </c>
      <c r="I2707" t="n">
        <v>0</v>
      </c>
      <c r="J2707" t="n">
        <v>0</v>
      </c>
      <c r="K2707" t="n">
        <v>0</v>
      </c>
      <c r="L2707" t="n">
        <v>0</v>
      </c>
      <c r="M2707" t="n">
        <v>0</v>
      </c>
      <c r="N2707" t="n">
        <v>0</v>
      </c>
      <c r="O2707" t="n">
        <v>0</v>
      </c>
      <c r="P2707" t="n">
        <v>0</v>
      </c>
      <c r="Q2707" t="n">
        <v>0</v>
      </c>
      <c r="R2707" s="2" t="inlineStr"/>
    </row>
    <row r="2708" ht="15" customHeight="1">
      <c r="A2708" t="inlineStr">
        <is>
          <t>A 2127-2020</t>
        </is>
      </c>
      <c r="B2708" s="1" t="n">
        <v>43839</v>
      </c>
      <c r="C2708" s="1" t="n">
        <v>45204</v>
      </c>
      <c r="D2708" t="inlineStr">
        <is>
          <t>VÄSTERBOTTENS LÄN</t>
        </is>
      </c>
      <c r="E2708" t="inlineStr">
        <is>
          <t>SKELLEFTEÅ</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954-2020</t>
        </is>
      </c>
      <c r="B2709" s="1" t="n">
        <v>43839</v>
      </c>
      <c r="C2709" s="1" t="n">
        <v>45204</v>
      </c>
      <c r="D2709" t="inlineStr">
        <is>
          <t>VÄSTERBOTTENS LÄN</t>
        </is>
      </c>
      <c r="E2709" t="inlineStr">
        <is>
          <t>LYCKSELE</t>
        </is>
      </c>
      <c r="F2709" t="inlineStr">
        <is>
          <t>Holmen skog AB</t>
        </is>
      </c>
      <c r="G2709" t="n">
        <v>2.7</v>
      </c>
      <c r="H2709" t="n">
        <v>0</v>
      </c>
      <c r="I2709" t="n">
        <v>0</v>
      </c>
      <c r="J2709" t="n">
        <v>0</v>
      </c>
      <c r="K2709" t="n">
        <v>0</v>
      </c>
      <c r="L2709" t="n">
        <v>0</v>
      </c>
      <c r="M2709" t="n">
        <v>0</v>
      </c>
      <c r="N2709" t="n">
        <v>0</v>
      </c>
      <c r="O2709" t="n">
        <v>0</v>
      </c>
      <c r="P2709" t="n">
        <v>0</v>
      </c>
      <c r="Q2709" t="n">
        <v>0</v>
      </c>
      <c r="R2709" s="2" t="inlineStr"/>
    </row>
    <row r="2710" ht="15" customHeight="1">
      <c r="A2710" t="inlineStr">
        <is>
          <t>A 1058-2020</t>
        </is>
      </c>
      <c r="B2710" s="1" t="n">
        <v>43839</v>
      </c>
      <c r="C2710" s="1" t="n">
        <v>45204</v>
      </c>
      <c r="D2710" t="inlineStr">
        <is>
          <t>VÄSTERBOTTENS LÄN</t>
        </is>
      </c>
      <c r="E2710" t="inlineStr">
        <is>
          <t>VINDELN</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884-2020</t>
        </is>
      </c>
      <c r="B2711" s="1" t="n">
        <v>43839</v>
      </c>
      <c r="C2711" s="1" t="n">
        <v>45204</v>
      </c>
      <c r="D2711" t="inlineStr">
        <is>
          <t>VÄSTERBOTTENS LÄN</t>
        </is>
      </c>
      <c r="E2711" t="inlineStr">
        <is>
          <t>LYCKSELE</t>
        </is>
      </c>
      <c r="F2711" t="inlineStr">
        <is>
          <t>Naturvårdsverket</t>
        </is>
      </c>
      <c r="G2711" t="n">
        <v>9</v>
      </c>
      <c r="H2711" t="n">
        <v>0</v>
      </c>
      <c r="I2711" t="n">
        <v>0</v>
      </c>
      <c r="J2711" t="n">
        <v>0</v>
      </c>
      <c r="K2711" t="n">
        <v>0</v>
      </c>
      <c r="L2711" t="n">
        <v>0</v>
      </c>
      <c r="M2711" t="n">
        <v>0</v>
      </c>
      <c r="N2711" t="n">
        <v>0</v>
      </c>
      <c r="O2711" t="n">
        <v>0</v>
      </c>
      <c r="P2711" t="n">
        <v>0</v>
      </c>
      <c r="Q2711" t="n">
        <v>0</v>
      </c>
      <c r="R2711" s="2" t="inlineStr"/>
    </row>
    <row r="2712" ht="15" customHeight="1">
      <c r="A2712" t="inlineStr">
        <is>
          <t>A 1260-2020</t>
        </is>
      </c>
      <c r="B2712" s="1" t="n">
        <v>43840</v>
      </c>
      <c r="C2712" s="1" t="n">
        <v>45204</v>
      </c>
      <c r="D2712" t="inlineStr">
        <is>
          <t>VÄSTERBOTTENS LÄN</t>
        </is>
      </c>
      <c r="E2712" t="inlineStr">
        <is>
          <t>VINDELN</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1261-2020</t>
        </is>
      </c>
      <c r="B2713" s="1" t="n">
        <v>43840</v>
      </c>
      <c r="C2713" s="1" t="n">
        <v>45204</v>
      </c>
      <c r="D2713" t="inlineStr">
        <is>
          <t>VÄSTERBOTTENS LÄN</t>
        </is>
      </c>
      <c r="E2713" t="inlineStr">
        <is>
          <t>VINDELN</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1108-2020</t>
        </is>
      </c>
      <c r="B2714" s="1" t="n">
        <v>43840</v>
      </c>
      <c r="C2714" s="1" t="n">
        <v>45204</v>
      </c>
      <c r="D2714" t="inlineStr">
        <is>
          <t>VÄSTERBOTTENS LÄN</t>
        </is>
      </c>
      <c r="E2714" t="inlineStr">
        <is>
          <t>LYCKSELE</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1133-2020</t>
        </is>
      </c>
      <c r="B2715" s="1" t="n">
        <v>43840</v>
      </c>
      <c r="C2715" s="1" t="n">
        <v>45204</v>
      </c>
      <c r="D2715" t="inlineStr">
        <is>
          <t>VÄSTERBOTTENS LÄN</t>
        </is>
      </c>
      <c r="E2715" t="inlineStr">
        <is>
          <t>LYCKSELE</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1142-2020</t>
        </is>
      </c>
      <c r="B2716" s="1" t="n">
        <v>43840</v>
      </c>
      <c r="C2716" s="1" t="n">
        <v>45204</v>
      </c>
      <c r="D2716" t="inlineStr">
        <is>
          <t>VÄSTERBOTTENS LÄN</t>
        </is>
      </c>
      <c r="E2716" t="inlineStr">
        <is>
          <t>LYCKSELE</t>
        </is>
      </c>
      <c r="G2716" t="n">
        <v>0.2</v>
      </c>
      <c r="H2716" t="n">
        <v>0</v>
      </c>
      <c r="I2716" t="n">
        <v>0</v>
      </c>
      <c r="J2716" t="n">
        <v>0</v>
      </c>
      <c r="K2716" t="n">
        <v>0</v>
      </c>
      <c r="L2716" t="n">
        <v>0</v>
      </c>
      <c r="M2716" t="n">
        <v>0</v>
      </c>
      <c r="N2716" t="n">
        <v>0</v>
      </c>
      <c r="O2716" t="n">
        <v>0</v>
      </c>
      <c r="P2716" t="n">
        <v>0</v>
      </c>
      <c r="Q2716" t="n">
        <v>0</v>
      </c>
      <c r="R2716" s="2" t="inlineStr"/>
    </row>
    <row r="2717" ht="15" customHeight="1">
      <c r="A2717" t="inlineStr">
        <is>
          <t>A 1276-2020</t>
        </is>
      </c>
      <c r="B2717" s="1" t="n">
        <v>43841</v>
      </c>
      <c r="C2717" s="1" t="n">
        <v>45204</v>
      </c>
      <c r="D2717" t="inlineStr">
        <is>
          <t>VÄSTERBOTTENS LÄN</t>
        </is>
      </c>
      <c r="E2717" t="inlineStr">
        <is>
          <t>DOROTEA</t>
        </is>
      </c>
      <c r="G2717" t="n">
        <v>10</v>
      </c>
      <c r="H2717" t="n">
        <v>0</v>
      </c>
      <c r="I2717" t="n">
        <v>0</v>
      </c>
      <c r="J2717" t="n">
        <v>0</v>
      </c>
      <c r="K2717" t="n">
        <v>0</v>
      </c>
      <c r="L2717" t="n">
        <v>0</v>
      </c>
      <c r="M2717" t="n">
        <v>0</v>
      </c>
      <c r="N2717" t="n">
        <v>0</v>
      </c>
      <c r="O2717" t="n">
        <v>0</v>
      </c>
      <c r="P2717" t="n">
        <v>0</v>
      </c>
      <c r="Q2717" t="n">
        <v>0</v>
      </c>
      <c r="R2717" s="2" t="inlineStr"/>
    </row>
    <row r="2718" ht="15" customHeight="1">
      <c r="A2718" t="inlineStr">
        <is>
          <t>A 2457-2020</t>
        </is>
      </c>
      <c r="B2718" s="1" t="n">
        <v>43841</v>
      </c>
      <c r="C2718" s="1" t="n">
        <v>45204</v>
      </c>
      <c r="D2718" t="inlineStr">
        <is>
          <t>VÄSTERBOTTENS LÄN</t>
        </is>
      </c>
      <c r="E2718" t="inlineStr">
        <is>
          <t>ÅSELE</t>
        </is>
      </c>
      <c r="F2718" t="inlineStr">
        <is>
          <t>Övriga Aktiebolag</t>
        </is>
      </c>
      <c r="G2718" t="n">
        <v>34.1</v>
      </c>
      <c r="H2718" t="n">
        <v>0</v>
      </c>
      <c r="I2718" t="n">
        <v>0</v>
      </c>
      <c r="J2718" t="n">
        <v>0</v>
      </c>
      <c r="K2718" t="n">
        <v>0</v>
      </c>
      <c r="L2718" t="n">
        <v>0</v>
      </c>
      <c r="M2718" t="n">
        <v>0</v>
      </c>
      <c r="N2718" t="n">
        <v>0</v>
      </c>
      <c r="O2718" t="n">
        <v>0</v>
      </c>
      <c r="P2718" t="n">
        <v>0</v>
      </c>
      <c r="Q2718" t="n">
        <v>0</v>
      </c>
      <c r="R2718" s="2" t="inlineStr"/>
    </row>
    <row r="2719" ht="15" customHeight="1">
      <c r="A2719" t="inlineStr">
        <is>
          <t>A 1270-2020</t>
        </is>
      </c>
      <c r="B2719" s="1" t="n">
        <v>43841</v>
      </c>
      <c r="C2719" s="1" t="n">
        <v>45204</v>
      </c>
      <c r="D2719" t="inlineStr">
        <is>
          <t>VÄSTERBOTTENS LÄN</t>
        </is>
      </c>
      <c r="E2719" t="inlineStr">
        <is>
          <t>LYCKSELE</t>
        </is>
      </c>
      <c r="F2719" t="inlineStr">
        <is>
          <t>Naturvårdsverket</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1489-2020</t>
        </is>
      </c>
      <c r="B2720" s="1" t="n">
        <v>43843</v>
      </c>
      <c r="C2720" s="1" t="n">
        <v>45204</v>
      </c>
      <c r="D2720" t="inlineStr">
        <is>
          <t>VÄSTERBOTTENS LÄN</t>
        </is>
      </c>
      <c r="E2720" t="inlineStr">
        <is>
          <t>ROBERTSFORS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2591-2020</t>
        </is>
      </c>
      <c r="B2721" s="1" t="n">
        <v>43843</v>
      </c>
      <c r="C2721" s="1" t="n">
        <v>45204</v>
      </c>
      <c r="D2721" t="inlineStr">
        <is>
          <t>VÄSTERBOTTENS LÄN</t>
        </is>
      </c>
      <c r="E2721" t="inlineStr">
        <is>
          <t>ÅSELE</t>
        </is>
      </c>
      <c r="F2721" t="inlineStr">
        <is>
          <t>Övriga Aktiebolag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3108-2020</t>
        </is>
      </c>
      <c r="B2722" s="1" t="n">
        <v>43843</v>
      </c>
      <c r="C2722" s="1" t="n">
        <v>45204</v>
      </c>
      <c r="D2722" t="inlineStr">
        <is>
          <t>VÄSTERBOTTENS LÄN</t>
        </is>
      </c>
      <c r="E2722" t="inlineStr">
        <is>
          <t>UMEÅ</t>
        </is>
      </c>
      <c r="G2722" t="n">
        <v>5.3</v>
      </c>
      <c r="H2722" t="n">
        <v>0</v>
      </c>
      <c r="I2722" t="n">
        <v>0</v>
      </c>
      <c r="J2722" t="n">
        <v>0</v>
      </c>
      <c r="K2722" t="n">
        <v>0</v>
      </c>
      <c r="L2722" t="n">
        <v>0</v>
      </c>
      <c r="M2722" t="n">
        <v>0</v>
      </c>
      <c r="N2722" t="n">
        <v>0</v>
      </c>
      <c r="O2722" t="n">
        <v>0</v>
      </c>
      <c r="P2722" t="n">
        <v>0</v>
      </c>
      <c r="Q2722" t="n">
        <v>0</v>
      </c>
      <c r="R2722" s="2" t="inlineStr"/>
    </row>
    <row r="2723" ht="15" customHeight="1">
      <c r="A2723" t="inlineStr">
        <is>
          <t>A 2582-2020</t>
        </is>
      </c>
      <c r="B2723" s="1" t="n">
        <v>43843</v>
      </c>
      <c r="C2723" s="1" t="n">
        <v>45204</v>
      </c>
      <c r="D2723" t="inlineStr">
        <is>
          <t>VÄSTERBOTTENS LÄN</t>
        </is>
      </c>
      <c r="E2723" t="inlineStr">
        <is>
          <t>ÅSELE</t>
        </is>
      </c>
      <c r="F2723" t="inlineStr">
        <is>
          <t>Övriga Aktiebolag</t>
        </is>
      </c>
      <c r="G2723" t="n">
        <v>4.5</v>
      </c>
      <c r="H2723" t="n">
        <v>0</v>
      </c>
      <c r="I2723" t="n">
        <v>0</v>
      </c>
      <c r="J2723" t="n">
        <v>0</v>
      </c>
      <c r="K2723" t="n">
        <v>0</v>
      </c>
      <c r="L2723" t="n">
        <v>0</v>
      </c>
      <c r="M2723" t="n">
        <v>0</v>
      </c>
      <c r="N2723" t="n">
        <v>0</v>
      </c>
      <c r="O2723" t="n">
        <v>0</v>
      </c>
      <c r="P2723" t="n">
        <v>0</v>
      </c>
      <c r="Q2723" t="n">
        <v>0</v>
      </c>
      <c r="R2723" s="2" t="inlineStr"/>
    </row>
    <row r="2724" ht="15" customHeight="1">
      <c r="A2724" t="inlineStr">
        <is>
          <t>A 1612-2020</t>
        </is>
      </c>
      <c r="B2724" s="1" t="n">
        <v>43844</v>
      </c>
      <c r="C2724" s="1" t="n">
        <v>45204</v>
      </c>
      <c r="D2724" t="inlineStr">
        <is>
          <t>VÄSTERBOTTENS LÄN</t>
        </is>
      </c>
      <c r="E2724" t="inlineStr">
        <is>
          <t>SKELLEFTEÅ</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1854-2020</t>
        </is>
      </c>
      <c r="B2725" s="1" t="n">
        <v>43844</v>
      </c>
      <c r="C2725" s="1" t="n">
        <v>45204</v>
      </c>
      <c r="D2725" t="inlineStr">
        <is>
          <t>VÄSTERBOTTENS LÄN</t>
        </is>
      </c>
      <c r="E2725" t="inlineStr">
        <is>
          <t>NORSJÖ</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3280-2020</t>
        </is>
      </c>
      <c r="B2726" s="1" t="n">
        <v>43844</v>
      </c>
      <c r="C2726" s="1" t="n">
        <v>45204</v>
      </c>
      <c r="D2726" t="inlineStr">
        <is>
          <t>VÄSTERBOTTENS LÄN</t>
        </is>
      </c>
      <c r="E2726" t="inlineStr">
        <is>
          <t>MALÅ</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1695-2020</t>
        </is>
      </c>
      <c r="B2727" s="1" t="n">
        <v>43844</v>
      </c>
      <c r="C2727" s="1" t="n">
        <v>45204</v>
      </c>
      <c r="D2727" t="inlineStr">
        <is>
          <t>VÄSTERBOTTENS LÄN</t>
        </is>
      </c>
      <c r="E2727" t="inlineStr">
        <is>
          <t>SKELLEFTEÅ</t>
        </is>
      </c>
      <c r="F2727" t="inlineStr">
        <is>
          <t>Holmen skog AB</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1601-2020</t>
        </is>
      </c>
      <c r="B2728" s="1" t="n">
        <v>43844</v>
      </c>
      <c r="C2728" s="1" t="n">
        <v>45204</v>
      </c>
      <c r="D2728" t="inlineStr">
        <is>
          <t>VÄSTERBOTTENS LÄN</t>
        </is>
      </c>
      <c r="E2728" t="inlineStr">
        <is>
          <t>UMEÅ</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1698-2020</t>
        </is>
      </c>
      <c r="B2729" s="1" t="n">
        <v>43844</v>
      </c>
      <c r="C2729" s="1" t="n">
        <v>45204</v>
      </c>
      <c r="D2729" t="inlineStr">
        <is>
          <t>VÄSTERBOTTENS LÄN</t>
        </is>
      </c>
      <c r="E2729" t="inlineStr">
        <is>
          <t>VINDELN</t>
        </is>
      </c>
      <c r="F2729" t="inlineStr">
        <is>
          <t>Naturvårdsverket</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3123-2020</t>
        </is>
      </c>
      <c r="B2730" s="1" t="n">
        <v>43844</v>
      </c>
      <c r="C2730" s="1" t="n">
        <v>45204</v>
      </c>
      <c r="D2730" t="inlineStr">
        <is>
          <t>VÄSTERBOTTENS LÄN</t>
        </is>
      </c>
      <c r="E2730" t="inlineStr">
        <is>
          <t>SKELLEFTEÅ</t>
        </is>
      </c>
      <c r="G2730" t="n">
        <v>12.5</v>
      </c>
      <c r="H2730" t="n">
        <v>0</v>
      </c>
      <c r="I2730" t="n">
        <v>0</v>
      </c>
      <c r="J2730" t="n">
        <v>0</v>
      </c>
      <c r="K2730" t="n">
        <v>0</v>
      </c>
      <c r="L2730" t="n">
        <v>0</v>
      </c>
      <c r="M2730" t="n">
        <v>0</v>
      </c>
      <c r="N2730" t="n">
        <v>0</v>
      </c>
      <c r="O2730" t="n">
        <v>0</v>
      </c>
      <c r="P2730" t="n">
        <v>0</v>
      </c>
      <c r="Q2730" t="n">
        <v>0</v>
      </c>
      <c r="R2730" s="2" t="inlineStr"/>
    </row>
    <row r="2731" ht="15" customHeight="1">
      <c r="A2731" t="inlineStr">
        <is>
          <t>A 3520-2020</t>
        </is>
      </c>
      <c r="B2731" s="1" t="n">
        <v>43845</v>
      </c>
      <c r="C2731" s="1" t="n">
        <v>45204</v>
      </c>
      <c r="D2731" t="inlineStr">
        <is>
          <t>VÄSTERBOTTENS LÄN</t>
        </is>
      </c>
      <c r="E2731" t="inlineStr">
        <is>
          <t>ROBERTSFORS</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3620-2020</t>
        </is>
      </c>
      <c r="B2732" s="1" t="n">
        <v>43845</v>
      </c>
      <c r="C2732" s="1" t="n">
        <v>45204</v>
      </c>
      <c r="D2732" t="inlineStr">
        <is>
          <t>VÄSTERBOTTENS LÄN</t>
        </is>
      </c>
      <c r="E2732" t="inlineStr">
        <is>
          <t>LYCKSELE</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2001-2020</t>
        </is>
      </c>
      <c r="B2733" s="1" t="n">
        <v>43845</v>
      </c>
      <c r="C2733" s="1" t="n">
        <v>45204</v>
      </c>
      <c r="D2733" t="inlineStr">
        <is>
          <t>VÄSTERBOTTENS LÄN</t>
        </is>
      </c>
      <c r="E2733" t="inlineStr">
        <is>
          <t>VÄNNÄS</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2096-2020</t>
        </is>
      </c>
      <c r="B2734" s="1" t="n">
        <v>43845</v>
      </c>
      <c r="C2734" s="1" t="n">
        <v>45204</v>
      </c>
      <c r="D2734" t="inlineStr">
        <is>
          <t>VÄSTERBOTTENS LÄN</t>
        </is>
      </c>
      <c r="E2734" t="inlineStr">
        <is>
          <t>ÅSELE</t>
        </is>
      </c>
      <c r="G2734" t="n">
        <v>8.6</v>
      </c>
      <c r="H2734" t="n">
        <v>0</v>
      </c>
      <c r="I2734" t="n">
        <v>0</v>
      </c>
      <c r="J2734" t="n">
        <v>0</v>
      </c>
      <c r="K2734" t="n">
        <v>0</v>
      </c>
      <c r="L2734" t="n">
        <v>0</v>
      </c>
      <c r="M2734" t="n">
        <v>0</v>
      </c>
      <c r="N2734" t="n">
        <v>0</v>
      </c>
      <c r="O2734" t="n">
        <v>0</v>
      </c>
      <c r="P2734" t="n">
        <v>0</v>
      </c>
      <c r="Q2734" t="n">
        <v>0</v>
      </c>
      <c r="R2734" s="2" t="inlineStr"/>
    </row>
    <row r="2735" ht="15" customHeight="1">
      <c r="A2735" t="inlineStr">
        <is>
          <t>A 3514-2020</t>
        </is>
      </c>
      <c r="B2735" s="1" t="n">
        <v>43845</v>
      </c>
      <c r="C2735" s="1" t="n">
        <v>45204</v>
      </c>
      <c r="D2735" t="inlineStr">
        <is>
          <t>VÄSTERBOTTENS LÄN</t>
        </is>
      </c>
      <c r="E2735" t="inlineStr">
        <is>
          <t>ROBERTSFORS</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2443-2020</t>
        </is>
      </c>
      <c r="B2736" s="1" t="n">
        <v>43847</v>
      </c>
      <c r="C2736" s="1" t="n">
        <v>45204</v>
      </c>
      <c r="D2736" t="inlineStr">
        <is>
          <t>VÄSTERBOTTENS LÄN</t>
        </is>
      </c>
      <c r="E2736" t="inlineStr">
        <is>
          <t>VINDELN</t>
        </is>
      </c>
      <c r="F2736" t="inlineStr">
        <is>
          <t>Naturvårdsverket</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4226-2020</t>
        </is>
      </c>
      <c r="B2737" s="1" t="n">
        <v>43847</v>
      </c>
      <c r="C2737" s="1" t="n">
        <v>45204</v>
      </c>
      <c r="D2737" t="inlineStr">
        <is>
          <t>VÄSTERBOTTENS LÄN</t>
        </is>
      </c>
      <c r="E2737" t="inlineStr">
        <is>
          <t>VINDELN</t>
        </is>
      </c>
      <c r="G2737" t="n">
        <v>17.6</v>
      </c>
      <c r="H2737" t="n">
        <v>0</v>
      </c>
      <c r="I2737" t="n">
        <v>0</v>
      </c>
      <c r="J2737" t="n">
        <v>0</v>
      </c>
      <c r="K2737" t="n">
        <v>0</v>
      </c>
      <c r="L2737" t="n">
        <v>0</v>
      </c>
      <c r="M2737" t="n">
        <v>0</v>
      </c>
      <c r="N2737" t="n">
        <v>0</v>
      </c>
      <c r="O2737" t="n">
        <v>0</v>
      </c>
      <c r="P2737" t="n">
        <v>0</v>
      </c>
      <c r="Q2737" t="n">
        <v>0</v>
      </c>
      <c r="R2737" s="2" t="inlineStr"/>
    </row>
    <row r="2738" ht="15" customHeight="1">
      <c r="A2738" t="inlineStr">
        <is>
          <t>A 4261-2020</t>
        </is>
      </c>
      <c r="B2738" s="1" t="n">
        <v>43847</v>
      </c>
      <c r="C2738" s="1" t="n">
        <v>45204</v>
      </c>
      <c r="D2738" t="inlineStr">
        <is>
          <t>VÄSTERBOTTENS LÄN</t>
        </is>
      </c>
      <c r="E2738" t="inlineStr">
        <is>
          <t>MALÅ</t>
        </is>
      </c>
      <c r="G2738" t="n">
        <v>6.7</v>
      </c>
      <c r="H2738" t="n">
        <v>0</v>
      </c>
      <c r="I2738" t="n">
        <v>0</v>
      </c>
      <c r="J2738" t="n">
        <v>0</v>
      </c>
      <c r="K2738" t="n">
        <v>0</v>
      </c>
      <c r="L2738" t="n">
        <v>0</v>
      </c>
      <c r="M2738" t="n">
        <v>0</v>
      </c>
      <c r="N2738" t="n">
        <v>0</v>
      </c>
      <c r="O2738" t="n">
        <v>0</v>
      </c>
      <c r="P2738" t="n">
        <v>0</v>
      </c>
      <c r="Q2738" t="n">
        <v>0</v>
      </c>
      <c r="R2738" s="2" t="inlineStr"/>
    </row>
    <row r="2739" ht="15" customHeight="1">
      <c r="A2739" t="inlineStr">
        <is>
          <t>A 4381-2020</t>
        </is>
      </c>
      <c r="B2739" s="1" t="n">
        <v>43847</v>
      </c>
      <c r="C2739" s="1" t="n">
        <v>45204</v>
      </c>
      <c r="D2739" t="inlineStr">
        <is>
          <t>VÄSTERBOTTENS LÄN</t>
        </is>
      </c>
      <c r="E2739" t="inlineStr">
        <is>
          <t>SKELLEFTEÅ</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2533-2020</t>
        </is>
      </c>
      <c r="B2740" s="1" t="n">
        <v>43847</v>
      </c>
      <c r="C2740" s="1" t="n">
        <v>45204</v>
      </c>
      <c r="D2740" t="inlineStr">
        <is>
          <t>VÄSTERBOTTENS LÄN</t>
        </is>
      </c>
      <c r="E2740" t="inlineStr">
        <is>
          <t>VINDELN</t>
        </is>
      </c>
      <c r="F2740" t="inlineStr">
        <is>
          <t>Naturvårdsverket</t>
        </is>
      </c>
      <c r="G2740" t="n">
        <v>2.7</v>
      </c>
      <c r="H2740" t="n">
        <v>0</v>
      </c>
      <c r="I2740" t="n">
        <v>0</v>
      </c>
      <c r="J2740" t="n">
        <v>0</v>
      </c>
      <c r="K2740" t="n">
        <v>0</v>
      </c>
      <c r="L2740" t="n">
        <v>0</v>
      </c>
      <c r="M2740" t="n">
        <v>0</v>
      </c>
      <c r="N2740" t="n">
        <v>0</v>
      </c>
      <c r="O2740" t="n">
        <v>0</v>
      </c>
      <c r="P2740" t="n">
        <v>0</v>
      </c>
      <c r="Q2740" t="n">
        <v>0</v>
      </c>
      <c r="R2740" s="2" t="inlineStr"/>
    </row>
    <row r="2741" ht="15" customHeight="1">
      <c r="A2741" t="inlineStr">
        <is>
          <t>A 4221-2020</t>
        </is>
      </c>
      <c r="B2741" s="1" t="n">
        <v>43847</v>
      </c>
      <c r="C2741" s="1" t="n">
        <v>45204</v>
      </c>
      <c r="D2741" t="inlineStr">
        <is>
          <t>VÄSTERBOTTENS LÄN</t>
        </is>
      </c>
      <c r="E2741" t="inlineStr">
        <is>
          <t>VINDELN</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4258-2020</t>
        </is>
      </c>
      <c r="B2742" s="1" t="n">
        <v>43847</v>
      </c>
      <c r="C2742" s="1" t="n">
        <v>45204</v>
      </c>
      <c r="D2742" t="inlineStr">
        <is>
          <t>VÄSTERBOTTENS LÄN</t>
        </is>
      </c>
      <c r="E2742" t="inlineStr">
        <is>
          <t>MALÅ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4286-2020</t>
        </is>
      </c>
      <c r="B2743" s="1" t="n">
        <v>43847</v>
      </c>
      <c r="C2743" s="1" t="n">
        <v>45204</v>
      </c>
      <c r="D2743" t="inlineStr">
        <is>
          <t>VÄSTERBOTTENS LÄN</t>
        </is>
      </c>
      <c r="E2743" t="inlineStr">
        <is>
          <t>SKELLEFTEÅ</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2431-2020</t>
        </is>
      </c>
      <c r="B2744" s="1" t="n">
        <v>43847</v>
      </c>
      <c r="C2744" s="1" t="n">
        <v>45204</v>
      </c>
      <c r="D2744" t="inlineStr">
        <is>
          <t>VÄSTERBOTTENS LÄN</t>
        </is>
      </c>
      <c r="E2744" t="inlineStr">
        <is>
          <t>VINDELN</t>
        </is>
      </c>
      <c r="F2744" t="inlineStr">
        <is>
          <t>Holmen skog AB</t>
        </is>
      </c>
      <c r="G2744" t="n">
        <v>6.3</v>
      </c>
      <c r="H2744" t="n">
        <v>0</v>
      </c>
      <c r="I2744" t="n">
        <v>0</v>
      </c>
      <c r="J2744" t="n">
        <v>0</v>
      </c>
      <c r="K2744" t="n">
        <v>0</v>
      </c>
      <c r="L2744" t="n">
        <v>0</v>
      </c>
      <c r="M2744" t="n">
        <v>0</v>
      </c>
      <c r="N2744" t="n">
        <v>0</v>
      </c>
      <c r="O2744" t="n">
        <v>0</v>
      </c>
      <c r="P2744" t="n">
        <v>0</v>
      </c>
      <c r="Q2744" t="n">
        <v>0</v>
      </c>
      <c r="R2744" s="2" t="inlineStr"/>
    </row>
    <row r="2745" ht="15" customHeight="1">
      <c r="A2745" t="inlineStr">
        <is>
          <t>A 4214-2020</t>
        </is>
      </c>
      <c r="B2745" s="1" t="n">
        <v>43847</v>
      </c>
      <c r="C2745" s="1" t="n">
        <v>45204</v>
      </c>
      <c r="D2745" t="inlineStr">
        <is>
          <t>VÄSTERBOTTENS LÄN</t>
        </is>
      </c>
      <c r="E2745" t="inlineStr">
        <is>
          <t>VINDELN</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3076-2020</t>
        </is>
      </c>
      <c r="B2746" s="1" t="n">
        <v>43851</v>
      </c>
      <c r="C2746" s="1" t="n">
        <v>45204</v>
      </c>
      <c r="D2746" t="inlineStr">
        <is>
          <t>VÄSTERBOTTENS LÄN</t>
        </is>
      </c>
      <c r="E2746" t="inlineStr">
        <is>
          <t>BJURHOLM</t>
        </is>
      </c>
      <c r="F2746" t="inlineStr">
        <is>
          <t>Holmen skog AB</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3343-2020</t>
        </is>
      </c>
      <c r="B2747" s="1" t="n">
        <v>43852</v>
      </c>
      <c r="C2747" s="1" t="n">
        <v>45204</v>
      </c>
      <c r="D2747" t="inlineStr">
        <is>
          <t>VÄSTERBOTTENS LÄN</t>
        </is>
      </c>
      <c r="E2747" t="inlineStr">
        <is>
          <t>VILHELMINA</t>
        </is>
      </c>
      <c r="F2747" t="inlineStr">
        <is>
          <t>Sveaskog</t>
        </is>
      </c>
      <c r="G2747" t="n">
        <v>6.1</v>
      </c>
      <c r="H2747" t="n">
        <v>0</v>
      </c>
      <c r="I2747" t="n">
        <v>0</v>
      </c>
      <c r="J2747" t="n">
        <v>0</v>
      </c>
      <c r="K2747" t="n">
        <v>0</v>
      </c>
      <c r="L2747" t="n">
        <v>0</v>
      </c>
      <c r="M2747" t="n">
        <v>0</v>
      </c>
      <c r="N2747" t="n">
        <v>0</v>
      </c>
      <c r="O2747" t="n">
        <v>0</v>
      </c>
      <c r="P2747" t="n">
        <v>0</v>
      </c>
      <c r="Q2747" t="n">
        <v>0</v>
      </c>
      <c r="R2747" s="2" t="inlineStr"/>
    </row>
    <row r="2748" ht="15" customHeight="1">
      <c r="A2748" t="inlineStr">
        <is>
          <t>A 3293-2020</t>
        </is>
      </c>
      <c r="B2748" s="1" t="n">
        <v>43852</v>
      </c>
      <c r="C2748" s="1" t="n">
        <v>45204</v>
      </c>
      <c r="D2748" t="inlineStr">
        <is>
          <t>VÄSTERBOTTENS LÄN</t>
        </is>
      </c>
      <c r="E2748" t="inlineStr">
        <is>
          <t>NORSJÖ</t>
        </is>
      </c>
      <c r="F2748" t="inlineStr">
        <is>
          <t>Holmen skog AB</t>
        </is>
      </c>
      <c r="G2748" t="n">
        <v>0.3</v>
      </c>
      <c r="H2748" t="n">
        <v>0</v>
      </c>
      <c r="I2748" t="n">
        <v>0</v>
      </c>
      <c r="J2748" t="n">
        <v>0</v>
      </c>
      <c r="K2748" t="n">
        <v>0</v>
      </c>
      <c r="L2748" t="n">
        <v>0</v>
      </c>
      <c r="M2748" t="n">
        <v>0</v>
      </c>
      <c r="N2748" t="n">
        <v>0</v>
      </c>
      <c r="O2748" t="n">
        <v>0</v>
      </c>
      <c r="P2748" t="n">
        <v>0</v>
      </c>
      <c r="Q2748" t="n">
        <v>0</v>
      </c>
      <c r="R2748" s="2" t="inlineStr"/>
    </row>
    <row r="2749" ht="15" customHeight="1">
      <c r="A2749" t="inlineStr">
        <is>
          <t>A 3237-2020</t>
        </is>
      </c>
      <c r="B2749" s="1" t="n">
        <v>43852</v>
      </c>
      <c r="C2749" s="1" t="n">
        <v>45204</v>
      </c>
      <c r="D2749" t="inlineStr">
        <is>
          <t>VÄSTERBOTTENS LÄN</t>
        </is>
      </c>
      <c r="E2749" t="inlineStr">
        <is>
          <t>NORSJÖ</t>
        </is>
      </c>
      <c r="G2749" t="n">
        <v>0.1</v>
      </c>
      <c r="H2749" t="n">
        <v>0</v>
      </c>
      <c r="I2749" t="n">
        <v>0</v>
      </c>
      <c r="J2749" t="n">
        <v>0</v>
      </c>
      <c r="K2749" t="n">
        <v>0</v>
      </c>
      <c r="L2749" t="n">
        <v>0</v>
      </c>
      <c r="M2749" t="n">
        <v>0</v>
      </c>
      <c r="N2749" t="n">
        <v>0</v>
      </c>
      <c r="O2749" t="n">
        <v>0</v>
      </c>
      <c r="P2749" t="n">
        <v>0</v>
      </c>
      <c r="Q2749" t="n">
        <v>0</v>
      </c>
      <c r="R2749" s="2" t="inlineStr"/>
    </row>
    <row r="2750" ht="15" customHeight="1">
      <c r="A2750" t="inlineStr">
        <is>
          <t>A 4872-2020</t>
        </is>
      </c>
      <c r="B2750" s="1" t="n">
        <v>43852</v>
      </c>
      <c r="C2750" s="1" t="n">
        <v>45204</v>
      </c>
      <c r="D2750" t="inlineStr">
        <is>
          <t>VÄSTERBOTTENS LÄN</t>
        </is>
      </c>
      <c r="E2750" t="inlineStr">
        <is>
          <t>VINDELN</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4891-2020</t>
        </is>
      </c>
      <c r="B2751" s="1" t="n">
        <v>43852</v>
      </c>
      <c r="C2751" s="1" t="n">
        <v>45204</v>
      </c>
      <c r="D2751" t="inlineStr">
        <is>
          <t>VÄSTERBOTTENS LÄN</t>
        </is>
      </c>
      <c r="E2751" t="inlineStr">
        <is>
          <t>ÅSELE</t>
        </is>
      </c>
      <c r="G2751" t="n">
        <v>10.4</v>
      </c>
      <c r="H2751" t="n">
        <v>0</v>
      </c>
      <c r="I2751" t="n">
        <v>0</v>
      </c>
      <c r="J2751" t="n">
        <v>0</v>
      </c>
      <c r="K2751" t="n">
        <v>0</v>
      </c>
      <c r="L2751" t="n">
        <v>0</v>
      </c>
      <c r="M2751" t="n">
        <v>0</v>
      </c>
      <c r="N2751" t="n">
        <v>0</v>
      </c>
      <c r="O2751" t="n">
        <v>0</v>
      </c>
      <c r="P2751" t="n">
        <v>0</v>
      </c>
      <c r="Q2751" t="n">
        <v>0</v>
      </c>
      <c r="R2751" s="2" t="inlineStr"/>
    </row>
    <row r="2752" ht="15" customHeight="1">
      <c r="A2752" t="inlineStr">
        <is>
          <t>A 4985-2020</t>
        </is>
      </c>
      <c r="B2752" s="1" t="n">
        <v>43853</v>
      </c>
      <c r="C2752" s="1" t="n">
        <v>45204</v>
      </c>
      <c r="D2752" t="inlineStr">
        <is>
          <t>VÄSTERBOTTENS LÄN</t>
        </is>
      </c>
      <c r="E2752" t="inlineStr">
        <is>
          <t>SKELLEFTEÅ</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5022-2020</t>
        </is>
      </c>
      <c r="B2753" s="1" t="n">
        <v>43853</v>
      </c>
      <c r="C2753" s="1" t="n">
        <v>45204</v>
      </c>
      <c r="D2753" t="inlineStr">
        <is>
          <t>VÄSTERBOTTENS LÄN</t>
        </is>
      </c>
      <c r="E2753" t="inlineStr">
        <is>
          <t>UMEÅ</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5026-2020</t>
        </is>
      </c>
      <c r="B2754" s="1" t="n">
        <v>43853</v>
      </c>
      <c r="C2754" s="1" t="n">
        <v>45204</v>
      </c>
      <c r="D2754" t="inlineStr">
        <is>
          <t>VÄSTERBOTTENS LÄN</t>
        </is>
      </c>
      <c r="E2754" t="inlineStr">
        <is>
          <t>STORUMAN</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3924-2020</t>
        </is>
      </c>
      <c r="B2755" s="1" t="n">
        <v>43854</v>
      </c>
      <c r="C2755" s="1" t="n">
        <v>45204</v>
      </c>
      <c r="D2755" t="inlineStr">
        <is>
          <t>VÄSTERBOTTENS LÄN</t>
        </is>
      </c>
      <c r="E2755" t="inlineStr">
        <is>
          <t>BJURHOLM</t>
        </is>
      </c>
      <c r="G2755" t="n">
        <v>7</v>
      </c>
      <c r="H2755" t="n">
        <v>0</v>
      </c>
      <c r="I2755" t="n">
        <v>0</v>
      </c>
      <c r="J2755" t="n">
        <v>0</v>
      </c>
      <c r="K2755" t="n">
        <v>0</v>
      </c>
      <c r="L2755" t="n">
        <v>0</v>
      </c>
      <c r="M2755" t="n">
        <v>0</v>
      </c>
      <c r="N2755" t="n">
        <v>0</v>
      </c>
      <c r="O2755" t="n">
        <v>0</v>
      </c>
      <c r="P2755" t="n">
        <v>0</v>
      </c>
      <c r="Q2755" t="n">
        <v>0</v>
      </c>
      <c r="R2755" s="2" t="inlineStr"/>
    </row>
    <row r="2756" ht="15" customHeight="1">
      <c r="A2756" t="inlineStr">
        <is>
          <t>A 5167-2020</t>
        </is>
      </c>
      <c r="B2756" s="1" t="n">
        <v>43854</v>
      </c>
      <c r="C2756" s="1" t="n">
        <v>45204</v>
      </c>
      <c r="D2756" t="inlineStr">
        <is>
          <t>VÄSTERBOTTENS LÄN</t>
        </is>
      </c>
      <c r="E2756" t="inlineStr">
        <is>
          <t>STORUMAN</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5236-2020</t>
        </is>
      </c>
      <c r="B2757" s="1" t="n">
        <v>43854</v>
      </c>
      <c r="C2757" s="1" t="n">
        <v>45204</v>
      </c>
      <c r="D2757" t="inlineStr">
        <is>
          <t>VÄSTERBOTTENS LÄN</t>
        </is>
      </c>
      <c r="E2757" t="inlineStr">
        <is>
          <t>VILHELMINA</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3968-2020</t>
        </is>
      </c>
      <c r="B2758" s="1" t="n">
        <v>43854</v>
      </c>
      <c r="C2758" s="1" t="n">
        <v>45204</v>
      </c>
      <c r="D2758" t="inlineStr">
        <is>
          <t>VÄSTERBOTTENS LÄN</t>
        </is>
      </c>
      <c r="E2758" t="inlineStr">
        <is>
          <t>SKELLEFTEÅ</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4006-2020</t>
        </is>
      </c>
      <c r="B2759" s="1" t="n">
        <v>43857</v>
      </c>
      <c r="C2759" s="1" t="n">
        <v>45204</v>
      </c>
      <c r="D2759" t="inlineStr">
        <is>
          <t>VÄSTERBOTTENS LÄN</t>
        </is>
      </c>
      <c r="E2759" t="inlineStr">
        <is>
          <t>SKELLEFTEÅ</t>
        </is>
      </c>
      <c r="G2759" t="n">
        <v>4.5</v>
      </c>
      <c r="H2759" t="n">
        <v>0</v>
      </c>
      <c r="I2759" t="n">
        <v>0</v>
      </c>
      <c r="J2759" t="n">
        <v>0</v>
      </c>
      <c r="K2759" t="n">
        <v>0</v>
      </c>
      <c r="L2759" t="n">
        <v>0</v>
      </c>
      <c r="M2759" t="n">
        <v>0</v>
      </c>
      <c r="N2759" t="n">
        <v>0</v>
      </c>
      <c r="O2759" t="n">
        <v>0</v>
      </c>
      <c r="P2759" t="n">
        <v>0</v>
      </c>
      <c r="Q2759" t="n">
        <v>0</v>
      </c>
      <c r="R2759" s="2" t="inlineStr"/>
    </row>
    <row r="2760" ht="15" customHeight="1">
      <c r="A2760" t="inlineStr">
        <is>
          <t>A 4041-2020</t>
        </is>
      </c>
      <c r="B2760" s="1" t="n">
        <v>43857</v>
      </c>
      <c r="C2760" s="1" t="n">
        <v>45204</v>
      </c>
      <c r="D2760" t="inlineStr">
        <is>
          <t>VÄSTERBOTTENS LÄN</t>
        </is>
      </c>
      <c r="E2760" t="inlineStr">
        <is>
          <t>LYCKSELE</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4305-2020</t>
        </is>
      </c>
      <c r="B2761" s="1" t="n">
        <v>43857</v>
      </c>
      <c r="C2761" s="1" t="n">
        <v>45204</v>
      </c>
      <c r="D2761" t="inlineStr">
        <is>
          <t>VÄSTERBOTTENS LÄN</t>
        </is>
      </c>
      <c r="E2761" t="inlineStr">
        <is>
          <t>VÄNNÄS</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4366-2020</t>
        </is>
      </c>
      <c r="B2762" s="1" t="n">
        <v>43857</v>
      </c>
      <c r="C2762" s="1" t="n">
        <v>45204</v>
      </c>
      <c r="D2762" t="inlineStr">
        <is>
          <t>VÄSTERBOTTENS LÄN</t>
        </is>
      </c>
      <c r="E2762" t="inlineStr">
        <is>
          <t>ROBERTSFORS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5261-2020</t>
        </is>
      </c>
      <c r="B2763" s="1" t="n">
        <v>43857</v>
      </c>
      <c r="C2763" s="1" t="n">
        <v>45204</v>
      </c>
      <c r="D2763" t="inlineStr">
        <is>
          <t>VÄSTERBOTTENS LÄN</t>
        </is>
      </c>
      <c r="E2763" t="inlineStr">
        <is>
          <t>SKELLEFTEÅ</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4586-2020</t>
        </is>
      </c>
      <c r="B2764" s="1" t="n">
        <v>43858</v>
      </c>
      <c r="C2764" s="1" t="n">
        <v>45204</v>
      </c>
      <c r="D2764" t="inlineStr">
        <is>
          <t>VÄSTERBOTTENS LÄN</t>
        </is>
      </c>
      <c r="E2764" t="inlineStr">
        <is>
          <t>VILHELMINA</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5501-2020</t>
        </is>
      </c>
      <c r="B2765" s="1" t="n">
        <v>43858</v>
      </c>
      <c r="C2765" s="1" t="n">
        <v>45204</v>
      </c>
      <c r="D2765" t="inlineStr">
        <is>
          <t>VÄSTERBOTTENS LÄN</t>
        </is>
      </c>
      <c r="E2765" t="inlineStr">
        <is>
          <t>LYCKSELE</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5432-2020</t>
        </is>
      </c>
      <c r="B2766" s="1" t="n">
        <v>43858</v>
      </c>
      <c r="C2766" s="1" t="n">
        <v>45204</v>
      </c>
      <c r="D2766" t="inlineStr">
        <is>
          <t>VÄSTERBOTTENS LÄN</t>
        </is>
      </c>
      <c r="E2766" t="inlineStr">
        <is>
          <t>VILHELMINA</t>
        </is>
      </c>
      <c r="G2766" t="n">
        <v>6.2</v>
      </c>
      <c r="H2766" t="n">
        <v>0</v>
      </c>
      <c r="I2766" t="n">
        <v>0</v>
      </c>
      <c r="J2766" t="n">
        <v>0</v>
      </c>
      <c r="K2766" t="n">
        <v>0</v>
      </c>
      <c r="L2766" t="n">
        <v>0</v>
      </c>
      <c r="M2766" t="n">
        <v>0</v>
      </c>
      <c r="N2766" t="n">
        <v>0</v>
      </c>
      <c r="O2766" t="n">
        <v>0</v>
      </c>
      <c r="P2766" t="n">
        <v>0</v>
      </c>
      <c r="Q2766" t="n">
        <v>0</v>
      </c>
      <c r="R2766" s="2" t="inlineStr"/>
    </row>
    <row r="2767" ht="15" customHeight="1">
      <c r="A2767" t="inlineStr">
        <is>
          <t>A 4731-2020</t>
        </is>
      </c>
      <c r="B2767" s="1" t="n">
        <v>43859</v>
      </c>
      <c r="C2767" s="1" t="n">
        <v>45204</v>
      </c>
      <c r="D2767" t="inlineStr">
        <is>
          <t>VÄSTERBOTTENS LÄN</t>
        </is>
      </c>
      <c r="E2767" t="inlineStr">
        <is>
          <t>SKELLEFTEÅ</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5541-2020</t>
        </is>
      </c>
      <c r="B2768" s="1" t="n">
        <v>43859</v>
      </c>
      <c r="C2768" s="1" t="n">
        <v>45204</v>
      </c>
      <c r="D2768" t="inlineStr">
        <is>
          <t>VÄSTERBOTTENS LÄN</t>
        </is>
      </c>
      <c r="E2768" t="inlineStr">
        <is>
          <t>ÅSELE</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5535-2020</t>
        </is>
      </c>
      <c r="B2769" s="1" t="n">
        <v>43859</v>
      </c>
      <c r="C2769" s="1" t="n">
        <v>45204</v>
      </c>
      <c r="D2769" t="inlineStr">
        <is>
          <t>VÄSTERBOTTENS LÄN</t>
        </is>
      </c>
      <c r="E2769" t="inlineStr">
        <is>
          <t>ROBERTSFORS</t>
        </is>
      </c>
      <c r="G2769" t="n">
        <v>17.8</v>
      </c>
      <c r="H2769" t="n">
        <v>0</v>
      </c>
      <c r="I2769" t="n">
        <v>0</v>
      </c>
      <c r="J2769" t="n">
        <v>0</v>
      </c>
      <c r="K2769" t="n">
        <v>0</v>
      </c>
      <c r="L2769" t="n">
        <v>0</v>
      </c>
      <c r="M2769" t="n">
        <v>0</v>
      </c>
      <c r="N2769" t="n">
        <v>0</v>
      </c>
      <c r="O2769" t="n">
        <v>0</v>
      </c>
      <c r="P2769" t="n">
        <v>0</v>
      </c>
      <c r="Q2769" t="n">
        <v>0</v>
      </c>
      <c r="R2769" s="2" t="inlineStr"/>
    </row>
    <row r="2770" ht="15" customHeight="1">
      <c r="A2770" t="inlineStr">
        <is>
          <t>A 4771-2020</t>
        </is>
      </c>
      <c r="B2770" s="1" t="n">
        <v>43859</v>
      </c>
      <c r="C2770" s="1" t="n">
        <v>45204</v>
      </c>
      <c r="D2770" t="inlineStr">
        <is>
          <t>VÄSTERBOTTENS LÄN</t>
        </is>
      </c>
      <c r="E2770" t="inlineStr">
        <is>
          <t>UMEÅ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5174-2020</t>
        </is>
      </c>
      <c r="B2771" s="1" t="n">
        <v>43860</v>
      </c>
      <c r="C2771" s="1" t="n">
        <v>45204</v>
      </c>
      <c r="D2771" t="inlineStr">
        <is>
          <t>VÄSTERBOTTENS LÄN</t>
        </is>
      </c>
      <c r="E2771" t="inlineStr">
        <is>
          <t>VINDELN</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5252-2020</t>
        </is>
      </c>
      <c r="B2772" s="1" t="n">
        <v>43860</v>
      </c>
      <c r="C2772" s="1" t="n">
        <v>45204</v>
      </c>
      <c r="D2772" t="inlineStr">
        <is>
          <t>VÄSTERBOTTENS LÄN</t>
        </is>
      </c>
      <c r="E2772" t="inlineStr">
        <is>
          <t>VINDELN</t>
        </is>
      </c>
      <c r="F2772" t="inlineStr">
        <is>
          <t>Sveaskog</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5291-2020</t>
        </is>
      </c>
      <c r="B2773" s="1" t="n">
        <v>43860</v>
      </c>
      <c r="C2773" s="1" t="n">
        <v>45204</v>
      </c>
      <c r="D2773" t="inlineStr">
        <is>
          <t>VÄSTERBOTTENS LÄN</t>
        </is>
      </c>
      <c r="E2773" t="inlineStr">
        <is>
          <t>VINDELN</t>
        </is>
      </c>
      <c r="F2773" t="inlineStr">
        <is>
          <t>Sveaskog</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5682-2020</t>
        </is>
      </c>
      <c r="B2774" s="1" t="n">
        <v>43861</v>
      </c>
      <c r="C2774" s="1" t="n">
        <v>45204</v>
      </c>
      <c r="D2774" t="inlineStr">
        <is>
          <t>VÄSTERBOTTENS LÄN</t>
        </is>
      </c>
      <c r="E2774" t="inlineStr">
        <is>
          <t>VINDELN</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6007-2020</t>
        </is>
      </c>
      <c r="B2775" s="1" t="n">
        <v>43861</v>
      </c>
      <c r="C2775" s="1" t="n">
        <v>45204</v>
      </c>
      <c r="D2775" t="inlineStr">
        <is>
          <t>VÄSTERBOTTENS LÄN</t>
        </is>
      </c>
      <c r="E2775" t="inlineStr">
        <is>
          <t>MALÅ</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5508-2020</t>
        </is>
      </c>
      <c r="B2776" s="1" t="n">
        <v>43861</v>
      </c>
      <c r="C2776" s="1" t="n">
        <v>45204</v>
      </c>
      <c r="D2776" t="inlineStr">
        <is>
          <t>VÄSTERBOTTENS LÄN</t>
        </is>
      </c>
      <c r="E2776" t="inlineStr">
        <is>
          <t>ROBERTSFORS</t>
        </is>
      </c>
      <c r="G2776" t="n">
        <v>7.3</v>
      </c>
      <c r="H2776" t="n">
        <v>0</v>
      </c>
      <c r="I2776" t="n">
        <v>0</v>
      </c>
      <c r="J2776" t="n">
        <v>0</v>
      </c>
      <c r="K2776" t="n">
        <v>0</v>
      </c>
      <c r="L2776" t="n">
        <v>0</v>
      </c>
      <c r="M2776" t="n">
        <v>0</v>
      </c>
      <c r="N2776" t="n">
        <v>0</v>
      </c>
      <c r="O2776" t="n">
        <v>0</v>
      </c>
      <c r="P2776" t="n">
        <v>0</v>
      </c>
      <c r="Q2776" t="n">
        <v>0</v>
      </c>
      <c r="R2776" s="2" t="inlineStr"/>
    </row>
    <row r="2777" ht="15" customHeight="1">
      <c r="A2777" t="inlineStr">
        <is>
          <t>A 6016-2020</t>
        </is>
      </c>
      <c r="B2777" s="1" t="n">
        <v>43861</v>
      </c>
      <c r="C2777" s="1" t="n">
        <v>45204</v>
      </c>
      <c r="D2777" t="inlineStr">
        <is>
          <t>VÄSTERBOTTENS LÄN</t>
        </is>
      </c>
      <c r="E2777" t="inlineStr">
        <is>
          <t>MALÅ</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6027-2020</t>
        </is>
      </c>
      <c r="B2778" s="1" t="n">
        <v>43864</v>
      </c>
      <c r="C2778" s="1" t="n">
        <v>45204</v>
      </c>
      <c r="D2778" t="inlineStr">
        <is>
          <t>VÄSTERBOTTENS LÄN</t>
        </is>
      </c>
      <c r="E2778" t="inlineStr">
        <is>
          <t>ROBERTSFORS</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6097-2020</t>
        </is>
      </c>
      <c r="B2779" s="1" t="n">
        <v>43864</v>
      </c>
      <c r="C2779" s="1" t="n">
        <v>45204</v>
      </c>
      <c r="D2779" t="inlineStr">
        <is>
          <t>VÄSTERBOTTENS LÄN</t>
        </is>
      </c>
      <c r="E2779" t="inlineStr">
        <is>
          <t>LYCKSELE</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6303-2020</t>
        </is>
      </c>
      <c r="B2780" s="1" t="n">
        <v>43864</v>
      </c>
      <c r="C2780" s="1" t="n">
        <v>45204</v>
      </c>
      <c r="D2780" t="inlineStr">
        <is>
          <t>VÄSTERBOTTENS LÄN</t>
        </is>
      </c>
      <c r="E2780" t="inlineStr">
        <is>
          <t>VINDELN</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5772-2020</t>
        </is>
      </c>
      <c r="B2781" s="1" t="n">
        <v>43864</v>
      </c>
      <c r="C2781" s="1" t="n">
        <v>45204</v>
      </c>
      <c r="D2781" t="inlineStr">
        <is>
          <t>VÄSTERBOTTENS LÄN</t>
        </is>
      </c>
      <c r="E2781" t="inlineStr">
        <is>
          <t>NORSJÖ</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6106-2020</t>
        </is>
      </c>
      <c r="B2782" s="1" t="n">
        <v>43864</v>
      </c>
      <c r="C2782" s="1" t="n">
        <v>45204</v>
      </c>
      <c r="D2782" t="inlineStr">
        <is>
          <t>VÄSTERBOTTENS LÄN</t>
        </is>
      </c>
      <c r="E2782" t="inlineStr">
        <is>
          <t>NORDMALING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6295-2020</t>
        </is>
      </c>
      <c r="B2783" s="1" t="n">
        <v>43864</v>
      </c>
      <c r="C2783" s="1" t="n">
        <v>45204</v>
      </c>
      <c r="D2783" t="inlineStr">
        <is>
          <t>VÄSTERBOTTENS LÄN</t>
        </is>
      </c>
      <c r="E2783" t="inlineStr">
        <is>
          <t>VINDELN</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6570-2020</t>
        </is>
      </c>
      <c r="B2784" s="1" t="n">
        <v>43864</v>
      </c>
      <c r="C2784" s="1" t="n">
        <v>45204</v>
      </c>
      <c r="D2784" t="inlineStr">
        <is>
          <t>VÄSTERBOTTENS LÄN</t>
        </is>
      </c>
      <c r="E2784" t="inlineStr">
        <is>
          <t>DOROTEA</t>
        </is>
      </c>
      <c r="G2784" t="n">
        <v>5.4</v>
      </c>
      <c r="H2784" t="n">
        <v>0</v>
      </c>
      <c r="I2784" t="n">
        <v>0</v>
      </c>
      <c r="J2784" t="n">
        <v>0</v>
      </c>
      <c r="K2784" t="n">
        <v>0</v>
      </c>
      <c r="L2784" t="n">
        <v>0</v>
      </c>
      <c r="M2784" t="n">
        <v>0</v>
      </c>
      <c r="N2784" t="n">
        <v>0</v>
      </c>
      <c r="O2784" t="n">
        <v>0</v>
      </c>
      <c r="P2784" t="n">
        <v>0</v>
      </c>
      <c r="Q2784" t="n">
        <v>0</v>
      </c>
      <c r="R2784" s="2" t="inlineStr"/>
    </row>
    <row r="2785" ht="15" customHeight="1">
      <c r="A2785" t="inlineStr">
        <is>
          <t>A 6152-2020</t>
        </is>
      </c>
      <c r="B2785" s="1" t="n">
        <v>43864</v>
      </c>
      <c r="C2785" s="1" t="n">
        <v>45204</v>
      </c>
      <c r="D2785" t="inlineStr">
        <is>
          <t>VÄSTERBOTTENS LÄN</t>
        </is>
      </c>
      <c r="E2785" t="inlineStr">
        <is>
          <t>VINDELN</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6297-2020</t>
        </is>
      </c>
      <c r="B2786" s="1" t="n">
        <v>43864</v>
      </c>
      <c r="C2786" s="1" t="n">
        <v>45204</v>
      </c>
      <c r="D2786" t="inlineStr">
        <is>
          <t>VÄSTERBOTTENS LÄN</t>
        </is>
      </c>
      <c r="E2786" t="inlineStr">
        <is>
          <t>VINDELN</t>
        </is>
      </c>
      <c r="G2786" t="n">
        <v>10.3</v>
      </c>
      <c r="H2786" t="n">
        <v>0</v>
      </c>
      <c r="I2786" t="n">
        <v>0</v>
      </c>
      <c r="J2786" t="n">
        <v>0</v>
      </c>
      <c r="K2786" t="n">
        <v>0</v>
      </c>
      <c r="L2786" t="n">
        <v>0</v>
      </c>
      <c r="M2786" t="n">
        <v>0</v>
      </c>
      <c r="N2786" t="n">
        <v>0</v>
      </c>
      <c r="O2786" t="n">
        <v>0</v>
      </c>
      <c r="P2786" t="n">
        <v>0</v>
      </c>
      <c r="Q2786" t="n">
        <v>0</v>
      </c>
      <c r="R2786" s="2" t="inlineStr"/>
    </row>
    <row r="2787" ht="15" customHeight="1">
      <c r="A2787" t="inlineStr">
        <is>
          <t>A 6511-2020</t>
        </is>
      </c>
      <c r="B2787" s="1" t="n">
        <v>43865</v>
      </c>
      <c r="C2787" s="1" t="n">
        <v>45204</v>
      </c>
      <c r="D2787" t="inlineStr">
        <is>
          <t>VÄSTERBOTTENS LÄN</t>
        </is>
      </c>
      <c r="E2787" t="inlineStr">
        <is>
          <t>SKELLEFTEÅ</t>
        </is>
      </c>
      <c r="G2787" t="n">
        <v>9.9</v>
      </c>
      <c r="H2787" t="n">
        <v>0</v>
      </c>
      <c r="I2787" t="n">
        <v>0</v>
      </c>
      <c r="J2787" t="n">
        <v>0</v>
      </c>
      <c r="K2787" t="n">
        <v>0</v>
      </c>
      <c r="L2787" t="n">
        <v>0</v>
      </c>
      <c r="M2787" t="n">
        <v>0</v>
      </c>
      <c r="N2787" t="n">
        <v>0</v>
      </c>
      <c r="O2787" t="n">
        <v>0</v>
      </c>
      <c r="P2787" t="n">
        <v>0</v>
      </c>
      <c r="Q2787" t="n">
        <v>0</v>
      </c>
      <c r="R2787" s="2" t="inlineStr"/>
    </row>
    <row r="2788" ht="15" customHeight="1">
      <c r="A2788" t="inlineStr">
        <is>
          <t>A 6275-2020</t>
        </is>
      </c>
      <c r="B2788" s="1" t="n">
        <v>43866</v>
      </c>
      <c r="C2788" s="1" t="n">
        <v>45204</v>
      </c>
      <c r="D2788" t="inlineStr">
        <is>
          <t>VÄSTERBOTTENS LÄN</t>
        </is>
      </c>
      <c r="E2788" t="inlineStr">
        <is>
          <t>ROBERTSFORS</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6998-2020</t>
        </is>
      </c>
      <c r="B2789" s="1" t="n">
        <v>43866</v>
      </c>
      <c r="C2789" s="1" t="n">
        <v>45204</v>
      </c>
      <c r="D2789" t="inlineStr">
        <is>
          <t>VÄSTERBOTTENS LÄN</t>
        </is>
      </c>
      <c r="E2789" t="inlineStr">
        <is>
          <t>NORSJÖ</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7001-2020</t>
        </is>
      </c>
      <c r="B2790" s="1" t="n">
        <v>43866</v>
      </c>
      <c r="C2790" s="1" t="n">
        <v>45204</v>
      </c>
      <c r="D2790" t="inlineStr">
        <is>
          <t>VÄSTERBOTTENS LÄN</t>
        </is>
      </c>
      <c r="E2790" t="inlineStr">
        <is>
          <t>NORSJÖ</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6965-2020</t>
        </is>
      </c>
      <c r="B2791" s="1" t="n">
        <v>43867</v>
      </c>
      <c r="C2791" s="1" t="n">
        <v>45204</v>
      </c>
      <c r="D2791" t="inlineStr">
        <is>
          <t>VÄSTERBOTTENS LÄN</t>
        </is>
      </c>
      <c r="E2791" t="inlineStr">
        <is>
          <t>STORUMAN</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7016-2020</t>
        </is>
      </c>
      <c r="B2792" s="1" t="n">
        <v>43868</v>
      </c>
      <c r="C2792" s="1" t="n">
        <v>45204</v>
      </c>
      <c r="D2792" t="inlineStr">
        <is>
          <t>VÄSTERBOTTENS LÄN</t>
        </is>
      </c>
      <c r="E2792" t="inlineStr">
        <is>
          <t>VÄNNÄS</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7334-2020</t>
        </is>
      </c>
      <c r="B2793" s="1" t="n">
        <v>43868</v>
      </c>
      <c r="C2793" s="1" t="n">
        <v>45204</v>
      </c>
      <c r="D2793" t="inlineStr">
        <is>
          <t>VÄSTERBOTTENS LÄN</t>
        </is>
      </c>
      <c r="E2793" t="inlineStr">
        <is>
          <t>SKELLEFTEÅ</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7029-2020</t>
        </is>
      </c>
      <c r="B2794" s="1" t="n">
        <v>43868</v>
      </c>
      <c r="C2794" s="1" t="n">
        <v>45204</v>
      </c>
      <c r="D2794" t="inlineStr">
        <is>
          <t>VÄSTERBOTTENS LÄN</t>
        </is>
      </c>
      <c r="E2794" t="inlineStr">
        <is>
          <t>VÄNNÄS</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7632-2020</t>
        </is>
      </c>
      <c r="B2795" s="1" t="n">
        <v>43871</v>
      </c>
      <c r="C2795" s="1" t="n">
        <v>45204</v>
      </c>
      <c r="D2795" t="inlineStr">
        <is>
          <t>VÄSTERBOTTENS LÄN</t>
        </is>
      </c>
      <c r="E2795" t="inlineStr">
        <is>
          <t>LYCKSELE</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7618-2020</t>
        </is>
      </c>
      <c r="B2796" s="1" t="n">
        <v>43871</v>
      </c>
      <c r="C2796" s="1" t="n">
        <v>45204</v>
      </c>
      <c r="D2796" t="inlineStr">
        <is>
          <t>VÄSTERBOTTENS LÄN</t>
        </is>
      </c>
      <c r="E2796" t="inlineStr">
        <is>
          <t>LYCKSELE</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7742-2020</t>
        </is>
      </c>
      <c r="B2797" s="1" t="n">
        <v>43872</v>
      </c>
      <c r="C2797" s="1" t="n">
        <v>45204</v>
      </c>
      <c r="D2797" t="inlineStr">
        <is>
          <t>VÄSTERBOTTENS LÄN</t>
        </is>
      </c>
      <c r="E2797" t="inlineStr">
        <is>
          <t>NORSJÖ</t>
        </is>
      </c>
      <c r="G2797" t="n">
        <v>4.6</v>
      </c>
      <c r="H2797" t="n">
        <v>0</v>
      </c>
      <c r="I2797" t="n">
        <v>0</v>
      </c>
      <c r="J2797" t="n">
        <v>0</v>
      </c>
      <c r="K2797" t="n">
        <v>0</v>
      </c>
      <c r="L2797" t="n">
        <v>0</v>
      </c>
      <c r="M2797" t="n">
        <v>0</v>
      </c>
      <c r="N2797" t="n">
        <v>0</v>
      </c>
      <c r="O2797" t="n">
        <v>0</v>
      </c>
      <c r="P2797" t="n">
        <v>0</v>
      </c>
      <c r="Q2797" t="n">
        <v>0</v>
      </c>
      <c r="R2797" s="2" t="inlineStr"/>
    </row>
    <row r="2798" ht="15" customHeight="1">
      <c r="A2798" t="inlineStr">
        <is>
          <t>A 7689-2020</t>
        </is>
      </c>
      <c r="B2798" s="1" t="n">
        <v>43872</v>
      </c>
      <c r="C2798" s="1" t="n">
        <v>45204</v>
      </c>
      <c r="D2798" t="inlineStr">
        <is>
          <t>VÄSTERBOTTENS LÄN</t>
        </is>
      </c>
      <c r="E2798" t="inlineStr">
        <is>
          <t>SKELLEFTEÅ</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8128-2020</t>
        </is>
      </c>
      <c r="B2799" s="1" t="n">
        <v>43873</v>
      </c>
      <c r="C2799" s="1" t="n">
        <v>45204</v>
      </c>
      <c r="D2799" t="inlineStr">
        <is>
          <t>VÄSTERBOTTENS LÄN</t>
        </is>
      </c>
      <c r="E2799" t="inlineStr">
        <is>
          <t>BJURHOLM</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8187-2020</t>
        </is>
      </c>
      <c r="B2800" s="1" t="n">
        <v>43873</v>
      </c>
      <c r="C2800" s="1" t="n">
        <v>45204</v>
      </c>
      <c r="D2800" t="inlineStr">
        <is>
          <t>VÄSTERBOTTENS LÄN</t>
        </is>
      </c>
      <c r="E2800" t="inlineStr">
        <is>
          <t>UMEÅ</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8060-2020</t>
        </is>
      </c>
      <c r="B2801" s="1" t="n">
        <v>43874</v>
      </c>
      <c r="C2801" s="1" t="n">
        <v>45204</v>
      </c>
      <c r="D2801" t="inlineStr">
        <is>
          <t>VÄSTERBOTTENS LÄN</t>
        </is>
      </c>
      <c r="E2801" t="inlineStr">
        <is>
          <t>SKELLEFTEÅ</t>
        </is>
      </c>
      <c r="G2801" t="n">
        <v>18.7</v>
      </c>
      <c r="H2801" t="n">
        <v>0</v>
      </c>
      <c r="I2801" t="n">
        <v>0</v>
      </c>
      <c r="J2801" t="n">
        <v>0</v>
      </c>
      <c r="K2801" t="n">
        <v>0</v>
      </c>
      <c r="L2801" t="n">
        <v>0</v>
      </c>
      <c r="M2801" t="n">
        <v>0</v>
      </c>
      <c r="N2801" t="n">
        <v>0</v>
      </c>
      <c r="O2801" t="n">
        <v>0</v>
      </c>
      <c r="P2801" t="n">
        <v>0</v>
      </c>
      <c r="Q2801" t="n">
        <v>0</v>
      </c>
      <c r="R2801" s="2" t="inlineStr"/>
    </row>
    <row r="2802" ht="15" customHeight="1">
      <c r="A2802" t="inlineStr">
        <is>
          <t>A 8175-2020</t>
        </is>
      </c>
      <c r="B2802" s="1" t="n">
        <v>43874</v>
      </c>
      <c r="C2802" s="1" t="n">
        <v>45204</v>
      </c>
      <c r="D2802" t="inlineStr">
        <is>
          <t>VÄSTERBOTTENS LÄN</t>
        </is>
      </c>
      <c r="E2802" t="inlineStr">
        <is>
          <t>STORUMAN</t>
        </is>
      </c>
      <c r="F2802" t="inlineStr">
        <is>
          <t>Sveaskog</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8526-2020</t>
        </is>
      </c>
      <c r="B2803" s="1" t="n">
        <v>43875</v>
      </c>
      <c r="C2803" s="1" t="n">
        <v>45204</v>
      </c>
      <c r="D2803" t="inlineStr">
        <is>
          <t>VÄSTERBOTTENS LÄN</t>
        </is>
      </c>
      <c r="E2803" t="inlineStr">
        <is>
          <t>VILHELMINA</t>
        </is>
      </c>
      <c r="F2803" t="inlineStr">
        <is>
          <t>SCA</t>
        </is>
      </c>
      <c r="G2803" t="n">
        <v>9.1</v>
      </c>
      <c r="H2803" t="n">
        <v>0</v>
      </c>
      <c r="I2803" t="n">
        <v>0</v>
      </c>
      <c r="J2803" t="n">
        <v>0</v>
      </c>
      <c r="K2803" t="n">
        <v>0</v>
      </c>
      <c r="L2803" t="n">
        <v>0</v>
      </c>
      <c r="M2803" t="n">
        <v>0</v>
      </c>
      <c r="N2803" t="n">
        <v>0</v>
      </c>
      <c r="O2803" t="n">
        <v>0</v>
      </c>
      <c r="P2803" t="n">
        <v>0</v>
      </c>
      <c r="Q2803" t="n">
        <v>0</v>
      </c>
      <c r="R2803" s="2" t="inlineStr"/>
    </row>
    <row r="2804" ht="15" customHeight="1">
      <c r="A2804" t="inlineStr">
        <is>
          <t>A 8562-2020</t>
        </is>
      </c>
      <c r="B2804" s="1" t="n">
        <v>43877</v>
      </c>
      <c r="C2804" s="1" t="n">
        <v>45204</v>
      </c>
      <c r="D2804" t="inlineStr">
        <is>
          <t>VÄSTERBOTTENS LÄN</t>
        </is>
      </c>
      <c r="E2804" t="inlineStr">
        <is>
          <t>SKELLEFTEÅ</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8871-2020</t>
        </is>
      </c>
      <c r="B2805" s="1" t="n">
        <v>43878</v>
      </c>
      <c r="C2805" s="1" t="n">
        <v>45204</v>
      </c>
      <c r="D2805" t="inlineStr">
        <is>
          <t>VÄSTERBOTTENS LÄN</t>
        </is>
      </c>
      <c r="E2805" t="inlineStr">
        <is>
          <t>ROBERTSFORS</t>
        </is>
      </c>
      <c r="G2805" t="n">
        <v>8.5</v>
      </c>
      <c r="H2805" t="n">
        <v>0</v>
      </c>
      <c r="I2805" t="n">
        <v>0</v>
      </c>
      <c r="J2805" t="n">
        <v>0</v>
      </c>
      <c r="K2805" t="n">
        <v>0</v>
      </c>
      <c r="L2805" t="n">
        <v>0</v>
      </c>
      <c r="M2805" t="n">
        <v>0</v>
      </c>
      <c r="N2805" t="n">
        <v>0</v>
      </c>
      <c r="O2805" t="n">
        <v>0</v>
      </c>
      <c r="P2805" t="n">
        <v>0</v>
      </c>
      <c r="Q2805" t="n">
        <v>0</v>
      </c>
      <c r="R2805" s="2" t="inlineStr"/>
    </row>
    <row r="2806" ht="15" customHeight="1">
      <c r="A2806" t="inlineStr">
        <is>
          <t>A 8868-2020</t>
        </is>
      </c>
      <c r="B2806" s="1" t="n">
        <v>43878</v>
      </c>
      <c r="C2806" s="1" t="n">
        <v>45204</v>
      </c>
      <c r="D2806" t="inlineStr">
        <is>
          <t>VÄSTERBOTTENS LÄN</t>
        </is>
      </c>
      <c r="E2806" t="inlineStr">
        <is>
          <t>VINDELN</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8948-2020</t>
        </is>
      </c>
      <c r="B2807" s="1" t="n">
        <v>43878</v>
      </c>
      <c r="C2807" s="1" t="n">
        <v>45204</v>
      </c>
      <c r="D2807" t="inlineStr">
        <is>
          <t>VÄSTERBOTTENS LÄN</t>
        </is>
      </c>
      <c r="E2807" t="inlineStr">
        <is>
          <t>VILHELMINA</t>
        </is>
      </c>
      <c r="F2807" t="inlineStr">
        <is>
          <t>SCA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8867-2020</t>
        </is>
      </c>
      <c r="B2808" s="1" t="n">
        <v>43878</v>
      </c>
      <c r="C2808" s="1" t="n">
        <v>45204</v>
      </c>
      <c r="D2808" t="inlineStr">
        <is>
          <t>VÄSTERBOTTENS LÄN</t>
        </is>
      </c>
      <c r="E2808" t="inlineStr">
        <is>
          <t>BJURHOLM</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9180-2020</t>
        </is>
      </c>
      <c r="B2809" s="1" t="n">
        <v>43879</v>
      </c>
      <c r="C2809" s="1" t="n">
        <v>45204</v>
      </c>
      <c r="D2809" t="inlineStr">
        <is>
          <t>VÄSTERBOTTENS LÄN</t>
        </is>
      </c>
      <c r="E2809" t="inlineStr">
        <is>
          <t>SKELLEFTEÅ</t>
        </is>
      </c>
      <c r="G2809" t="n">
        <v>11.4</v>
      </c>
      <c r="H2809" t="n">
        <v>0</v>
      </c>
      <c r="I2809" t="n">
        <v>0</v>
      </c>
      <c r="J2809" t="n">
        <v>0</v>
      </c>
      <c r="K2809" t="n">
        <v>0</v>
      </c>
      <c r="L2809" t="n">
        <v>0</v>
      </c>
      <c r="M2809" t="n">
        <v>0</v>
      </c>
      <c r="N2809" t="n">
        <v>0</v>
      </c>
      <c r="O2809" t="n">
        <v>0</v>
      </c>
      <c r="P2809" t="n">
        <v>0</v>
      </c>
      <c r="Q2809" t="n">
        <v>0</v>
      </c>
      <c r="R2809" s="2" t="inlineStr"/>
    </row>
    <row r="2810" ht="15" customHeight="1">
      <c r="A2810" t="inlineStr">
        <is>
          <t>A 9266-2020</t>
        </is>
      </c>
      <c r="B2810" s="1" t="n">
        <v>43879</v>
      </c>
      <c r="C2810" s="1" t="n">
        <v>45204</v>
      </c>
      <c r="D2810" t="inlineStr">
        <is>
          <t>VÄSTERBOTTENS LÄN</t>
        </is>
      </c>
      <c r="E2810" t="inlineStr">
        <is>
          <t>BJURHOLM</t>
        </is>
      </c>
      <c r="F2810" t="inlineStr">
        <is>
          <t>SCA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9183-2020</t>
        </is>
      </c>
      <c r="B2811" s="1" t="n">
        <v>43879</v>
      </c>
      <c r="C2811" s="1" t="n">
        <v>45204</v>
      </c>
      <c r="D2811" t="inlineStr">
        <is>
          <t>VÄSTERBOTTENS LÄN</t>
        </is>
      </c>
      <c r="E2811" t="inlineStr">
        <is>
          <t>STORUMAN</t>
        </is>
      </c>
      <c r="G2811" t="n">
        <v>8</v>
      </c>
      <c r="H2811" t="n">
        <v>0</v>
      </c>
      <c r="I2811" t="n">
        <v>0</v>
      </c>
      <c r="J2811" t="n">
        <v>0</v>
      </c>
      <c r="K2811" t="n">
        <v>0</v>
      </c>
      <c r="L2811" t="n">
        <v>0</v>
      </c>
      <c r="M2811" t="n">
        <v>0</v>
      </c>
      <c r="N2811" t="n">
        <v>0</v>
      </c>
      <c r="O2811" t="n">
        <v>0</v>
      </c>
      <c r="P2811" t="n">
        <v>0</v>
      </c>
      <c r="Q2811" t="n">
        <v>0</v>
      </c>
      <c r="R2811" s="2" t="inlineStr"/>
    </row>
    <row r="2812" ht="15" customHeight="1">
      <c r="A2812" t="inlineStr">
        <is>
          <t>A 9265-2020</t>
        </is>
      </c>
      <c r="B2812" s="1" t="n">
        <v>43879</v>
      </c>
      <c r="C2812" s="1" t="n">
        <v>45204</v>
      </c>
      <c r="D2812" t="inlineStr">
        <is>
          <t>VÄSTERBOTTENS LÄN</t>
        </is>
      </c>
      <c r="E2812" t="inlineStr">
        <is>
          <t>BJURHOLM</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9326-2020</t>
        </is>
      </c>
      <c r="B2813" s="1" t="n">
        <v>43880</v>
      </c>
      <c r="C2813" s="1" t="n">
        <v>45204</v>
      </c>
      <c r="D2813" t="inlineStr">
        <is>
          <t>VÄSTERBOTTENS LÄN</t>
        </is>
      </c>
      <c r="E2813" t="inlineStr">
        <is>
          <t>SORSELE</t>
        </is>
      </c>
      <c r="F2813" t="inlineStr">
        <is>
          <t>Kommuner</t>
        </is>
      </c>
      <c r="G2813" t="n">
        <v>5.7</v>
      </c>
      <c r="H2813" t="n">
        <v>0</v>
      </c>
      <c r="I2813" t="n">
        <v>0</v>
      </c>
      <c r="J2813" t="n">
        <v>0</v>
      </c>
      <c r="K2813" t="n">
        <v>0</v>
      </c>
      <c r="L2813" t="n">
        <v>0</v>
      </c>
      <c r="M2813" t="n">
        <v>0</v>
      </c>
      <c r="N2813" t="n">
        <v>0</v>
      </c>
      <c r="O2813" t="n">
        <v>0</v>
      </c>
      <c r="P2813" t="n">
        <v>0</v>
      </c>
      <c r="Q2813" t="n">
        <v>0</v>
      </c>
      <c r="R2813" s="2" t="inlineStr"/>
    </row>
    <row r="2814" ht="15" customHeight="1">
      <c r="A2814" t="inlineStr">
        <is>
          <t>A 9568-2020</t>
        </is>
      </c>
      <c r="B2814" s="1" t="n">
        <v>43881</v>
      </c>
      <c r="C2814" s="1" t="n">
        <v>45204</v>
      </c>
      <c r="D2814" t="inlineStr">
        <is>
          <t>VÄSTERBOTTENS LÄN</t>
        </is>
      </c>
      <c r="E2814" t="inlineStr">
        <is>
          <t>SKELLEFTEÅ</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9941-2020</t>
        </is>
      </c>
      <c r="B2815" s="1" t="n">
        <v>43882</v>
      </c>
      <c r="C2815" s="1" t="n">
        <v>45204</v>
      </c>
      <c r="D2815" t="inlineStr">
        <is>
          <t>VÄSTERBOTTENS LÄN</t>
        </is>
      </c>
      <c r="E2815" t="inlineStr">
        <is>
          <t>NORDMALING</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10041-2020</t>
        </is>
      </c>
      <c r="B2816" s="1" t="n">
        <v>43882</v>
      </c>
      <c r="C2816" s="1" t="n">
        <v>45204</v>
      </c>
      <c r="D2816" t="inlineStr">
        <is>
          <t>VÄSTERBOTTENS LÄN</t>
        </is>
      </c>
      <c r="E2816" t="inlineStr">
        <is>
          <t>SKELLEFTEÅ</t>
        </is>
      </c>
      <c r="F2816" t="inlineStr">
        <is>
          <t>Holmen skog AB</t>
        </is>
      </c>
      <c r="G2816" t="n">
        <v>4.5</v>
      </c>
      <c r="H2816" t="n">
        <v>0</v>
      </c>
      <c r="I2816" t="n">
        <v>0</v>
      </c>
      <c r="J2816" t="n">
        <v>0</v>
      </c>
      <c r="K2816" t="n">
        <v>0</v>
      </c>
      <c r="L2816" t="n">
        <v>0</v>
      </c>
      <c r="M2816" t="n">
        <v>0</v>
      </c>
      <c r="N2816" t="n">
        <v>0</v>
      </c>
      <c r="O2816" t="n">
        <v>0</v>
      </c>
      <c r="P2816" t="n">
        <v>0</v>
      </c>
      <c r="Q2816" t="n">
        <v>0</v>
      </c>
      <c r="R2816" s="2" t="inlineStr"/>
    </row>
    <row r="2817" ht="15" customHeight="1">
      <c r="A2817" t="inlineStr">
        <is>
          <t>A 10030-2020</t>
        </is>
      </c>
      <c r="B2817" s="1" t="n">
        <v>43882</v>
      </c>
      <c r="C2817" s="1" t="n">
        <v>45204</v>
      </c>
      <c r="D2817" t="inlineStr">
        <is>
          <t>VÄSTERBOTTENS LÄN</t>
        </is>
      </c>
      <c r="E2817" t="inlineStr">
        <is>
          <t>SKELLEFTEÅ</t>
        </is>
      </c>
      <c r="F2817" t="inlineStr">
        <is>
          <t>Holmen skog AB</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9994-2020</t>
        </is>
      </c>
      <c r="B2818" s="1" t="n">
        <v>43882</v>
      </c>
      <c r="C2818" s="1" t="n">
        <v>45204</v>
      </c>
      <c r="D2818" t="inlineStr">
        <is>
          <t>VÄSTERBOTTENS LÄN</t>
        </is>
      </c>
      <c r="E2818" t="inlineStr">
        <is>
          <t>LYCKSELE</t>
        </is>
      </c>
      <c r="G2818" t="n">
        <v>3.9</v>
      </c>
      <c r="H2818" t="n">
        <v>0</v>
      </c>
      <c r="I2818" t="n">
        <v>0</v>
      </c>
      <c r="J2818" t="n">
        <v>0</v>
      </c>
      <c r="K2818" t="n">
        <v>0</v>
      </c>
      <c r="L2818" t="n">
        <v>0</v>
      </c>
      <c r="M2818" t="n">
        <v>0</v>
      </c>
      <c r="N2818" t="n">
        <v>0</v>
      </c>
      <c r="O2818" t="n">
        <v>0</v>
      </c>
      <c r="P2818" t="n">
        <v>0</v>
      </c>
      <c r="Q2818" t="n">
        <v>0</v>
      </c>
      <c r="R2818" s="2" t="inlineStr"/>
    </row>
    <row r="2819" ht="15" customHeight="1">
      <c r="A2819" t="inlineStr">
        <is>
          <t>A 10056-2020</t>
        </is>
      </c>
      <c r="B2819" s="1" t="n">
        <v>43882</v>
      </c>
      <c r="C2819" s="1" t="n">
        <v>45204</v>
      </c>
      <c r="D2819" t="inlineStr">
        <is>
          <t>VÄSTERBOTTENS LÄN</t>
        </is>
      </c>
      <c r="E2819" t="inlineStr">
        <is>
          <t>ROBERTSFORS</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10073-2020</t>
        </is>
      </c>
      <c r="B2820" s="1" t="n">
        <v>43884</v>
      </c>
      <c r="C2820" s="1" t="n">
        <v>45204</v>
      </c>
      <c r="D2820" t="inlineStr">
        <is>
          <t>VÄSTERBOTTENS LÄN</t>
        </is>
      </c>
      <c r="E2820" t="inlineStr">
        <is>
          <t>DOROTEA</t>
        </is>
      </c>
      <c r="G2820" t="n">
        <v>0.1</v>
      </c>
      <c r="H2820" t="n">
        <v>0</v>
      </c>
      <c r="I2820" t="n">
        <v>0</v>
      </c>
      <c r="J2820" t="n">
        <v>0</v>
      </c>
      <c r="K2820" t="n">
        <v>0</v>
      </c>
      <c r="L2820" t="n">
        <v>0</v>
      </c>
      <c r="M2820" t="n">
        <v>0</v>
      </c>
      <c r="N2820" t="n">
        <v>0</v>
      </c>
      <c r="O2820" t="n">
        <v>0</v>
      </c>
      <c r="P2820" t="n">
        <v>0</v>
      </c>
      <c r="Q2820" t="n">
        <v>0</v>
      </c>
      <c r="R2820" s="2" t="inlineStr"/>
    </row>
    <row r="2821" ht="15" customHeight="1">
      <c r="A2821" t="inlineStr">
        <is>
          <t>A 10279-2020</t>
        </is>
      </c>
      <c r="B2821" s="1" t="n">
        <v>43885</v>
      </c>
      <c r="C2821" s="1" t="n">
        <v>45204</v>
      </c>
      <c r="D2821" t="inlineStr">
        <is>
          <t>VÄSTERBOTTENS LÄN</t>
        </is>
      </c>
      <c r="E2821" t="inlineStr">
        <is>
          <t>SKELLEFTEÅ</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11084-2020</t>
        </is>
      </c>
      <c r="B2822" s="1" t="n">
        <v>43885</v>
      </c>
      <c r="C2822" s="1" t="n">
        <v>45204</v>
      </c>
      <c r="D2822" t="inlineStr">
        <is>
          <t>VÄSTERBOTTENS LÄN</t>
        </is>
      </c>
      <c r="E2822" t="inlineStr">
        <is>
          <t>UMEÅ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11087-2020</t>
        </is>
      </c>
      <c r="B2823" s="1" t="n">
        <v>43885</v>
      </c>
      <c r="C2823" s="1" t="n">
        <v>45204</v>
      </c>
      <c r="D2823" t="inlineStr">
        <is>
          <t>VÄSTERBOTTENS LÄN</t>
        </is>
      </c>
      <c r="E2823" t="inlineStr">
        <is>
          <t>UMEÅ</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11085-2020</t>
        </is>
      </c>
      <c r="B2824" s="1" t="n">
        <v>43885</v>
      </c>
      <c r="C2824" s="1" t="n">
        <v>45204</v>
      </c>
      <c r="D2824" t="inlineStr">
        <is>
          <t>VÄSTERBOTTENS LÄN</t>
        </is>
      </c>
      <c r="E2824" t="inlineStr">
        <is>
          <t>UMEÅ</t>
        </is>
      </c>
      <c r="G2824" t="n">
        <v>2.6</v>
      </c>
      <c r="H2824" t="n">
        <v>0</v>
      </c>
      <c r="I2824" t="n">
        <v>0</v>
      </c>
      <c r="J2824" t="n">
        <v>0</v>
      </c>
      <c r="K2824" t="n">
        <v>0</v>
      </c>
      <c r="L2824" t="n">
        <v>0</v>
      </c>
      <c r="M2824" t="n">
        <v>0</v>
      </c>
      <c r="N2824" t="n">
        <v>0</v>
      </c>
      <c r="O2824" t="n">
        <v>0</v>
      </c>
      <c r="P2824" t="n">
        <v>0</v>
      </c>
      <c r="Q2824" t="n">
        <v>0</v>
      </c>
      <c r="R2824" s="2" t="inlineStr"/>
    </row>
    <row r="2825" ht="15" customHeight="1">
      <c r="A2825" t="inlineStr">
        <is>
          <t>A 11083-2020</t>
        </is>
      </c>
      <c r="B2825" s="1" t="n">
        <v>43885</v>
      </c>
      <c r="C2825" s="1" t="n">
        <v>45204</v>
      </c>
      <c r="D2825" t="inlineStr">
        <is>
          <t>VÄSTERBOTTENS LÄN</t>
        </is>
      </c>
      <c r="E2825" t="inlineStr">
        <is>
          <t>SKELLEFTEÅ</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11048-2020</t>
        </is>
      </c>
      <c r="B2826" s="1" t="n">
        <v>43886</v>
      </c>
      <c r="C2826" s="1" t="n">
        <v>45204</v>
      </c>
      <c r="D2826" t="inlineStr">
        <is>
          <t>VÄSTERBOTTENS LÄN</t>
        </is>
      </c>
      <c r="E2826" t="inlineStr">
        <is>
          <t>SKELLEFTEÅ</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11037-2020</t>
        </is>
      </c>
      <c r="B2827" s="1" t="n">
        <v>43886</v>
      </c>
      <c r="C2827" s="1" t="n">
        <v>45204</v>
      </c>
      <c r="D2827" t="inlineStr">
        <is>
          <t>VÄSTERBOTTENS LÄN</t>
        </is>
      </c>
      <c r="E2827" t="inlineStr">
        <is>
          <t>SKELLEFTEÅ</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11058-2020</t>
        </is>
      </c>
      <c r="B2828" s="1" t="n">
        <v>43886</v>
      </c>
      <c r="C2828" s="1" t="n">
        <v>45204</v>
      </c>
      <c r="D2828" t="inlineStr">
        <is>
          <t>VÄSTERBOTTENS LÄN</t>
        </is>
      </c>
      <c r="E2828" t="inlineStr">
        <is>
          <t>NORSJÖ</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11495-2020</t>
        </is>
      </c>
      <c r="B2829" s="1" t="n">
        <v>43887</v>
      </c>
      <c r="C2829" s="1" t="n">
        <v>45204</v>
      </c>
      <c r="D2829" t="inlineStr">
        <is>
          <t>VÄSTERBOTTENS LÄN</t>
        </is>
      </c>
      <c r="E2829" t="inlineStr">
        <is>
          <t>UMEÅ</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10114-2020</t>
        </is>
      </c>
      <c r="B2830" s="1" t="n">
        <v>43887</v>
      </c>
      <c r="C2830" s="1" t="n">
        <v>45204</v>
      </c>
      <c r="D2830" t="inlineStr">
        <is>
          <t>VÄSTERBOTTENS LÄN</t>
        </is>
      </c>
      <c r="E2830" t="inlineStr">
        <is>
          <t>SKELLEFTEÅ</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10181-2020</t>
        </is>
      </c>
      <c r="B2831" s="1" t="n">
        <v>43887</v>
      </c>
      <c r="C2831" s="1" t="n">
        <v>45204</v>
      </c>
      <c r="D2831" t="inlineStr">
        <is>
          <t>VÄSTERBOTTENS LÄN</t>
        </is>
      </c>
      <c r="E2831" t="inlineStr">
        <is>
          <t>SKELLEFTEÅ</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10745-2020</t>
        </is>
      </c>
      <c r="B2832" s="1" t="n">
        <v>43888</v>
      </c>
      <c r="C2832" s="1" t="n">
        <v>45204</v>
      </c>
      <c r="D2832" t="inlineStr">
        <is>
          <t>VÄSTERBOTTENS LÄN</t>
        </is>
      </c>
      <c r="E2832" t="inlineStr">
        <is>
          <t>UMEÅ</t>
        </is>
      </c>
      <c r="F2832" t="inlineStr">
        <is>
          <t>Holmen skog AB</t>
        </is>
      </c>
      <c r="G2832" t="n">
        <v>29.5</v>
      </c>
      <c r="H2832" t="n">
        <v>0</v>
      </c>
      <c r="I2832" t="n">
        <v>0</v>
      </c>
      <c r="J2832" t="n">
        <v>0</v>
      </c>
      <c r="K2832" t="n">
        <v>0</v>
      </c>
      <c r="L2832" t="n">
        <v>0</v>
      </c>
      <c r="M2832" t="n">
        <v>0</v>
      </c>
      <c r="N2832" t="n">
        <v>0</v>
      </c>
      <c r="O2832" t="n">
        <v>0</v>
      </c>
      <c r="P2832" t="n">
        <v>0</v>
      </c>
      <c r="Q2832" t="n">
        <v>0</v>
      </c>
      <c r="R2832" s="2" t="inlineStr"/>
    </row>
    <row r="2833" ht="15" customHeight="1">
      <c r="A2833" t="inlineStr">
        <is>
          <t>A 11926-2020</t>
        </is>
      </c>
      <c r="B2833" s="1" t="n">
        <v>43888</v>
      </c>
      <c r="C2833" s="1" t="n">
        <v>45204</v>
      </c>
      <c r="D2833" t="inlineStr">
        <is>
          <t>VÄSTERBOTTENS LÄN</t>
        </is>
      </c>
      <c r="E2833" t="inlineStr">
        <is>
          <t>ÅSELE</t>
        </is>
      </c>
      <c r="F2833" t="inlineStr">
        <is>
          <t>Övriga Aktiebolag</t>
        </is>
      </c>
      <c r="G2833" t="n">
        <v>7</v>
      </c>
      <c r="H2833" t="n">
        <v>0</v>
      </c>
      <c r="I2833" t="n">
        <v>0</v>
      </c>
      <c r="J2833" t="n">
        <v>0</v>
      </c>
      <c r="K2833" t="n">
        <v>0</v>
      </c>
      <c r="L2833" t="n">
        <v>0</v>
      </c>
      <c r="M2833" t="n">
        <v>0</v>
      </c>
      <c r="N2833" t="n">
        <v>0</v>
      </c>
      <c r="O2833" t="n">
        <v>0</v>
      </c>
      <c r="P2833" t="n">
        <v>0</v>
      </c>
      <c r="Q2833" t="n">
        <v>0</v>
      </c>
      <c r="R2833" s="2" t="inlineStr"/>
    </row>
    <row r="2834" ht="15" customHeight="1">
      <c r="A2834" t="inlineStr">
        <is>
          <t>A 11888-2020</t>
        </is>
      </c>
      <c r="B2834" s="1" t="n">
        <v>43888</v>
      </c>
      <c r="C2834" s="1" t="n">
        <v>45204</v>
      </c>
      <c r="D2834" t="inlineStr">
        <is>
          <t>VÄSTERBOTTENS LÄN</t>
        </is>
      </c>
      <c r="E2834" t="inlineStr">
        <is>
          <t>UMEÅ</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11928-2020</t>
        </is>
      </c>
      <c r="B2835" s="1" t="n">
        <v>43888</v>
      </c>
      <c r="C2835" s="1" t="n">
        <v>45204</v>
      </c>
      <c r="D2835" t="inlineStr">
        <is>
          <t>VÄSTERBOTTENS LÄN</t>
        </is>
      </c>
      <c r="E2835" t="inlineStr">
        <is>
          <t>VÄNNÄS</t>
        </is>
      </c>
      <c r="G2835" t="n">
        <v>8.199999999999999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11947-2020</t>
        </is>
      </c>
      <c r="B2836" s="1" t="n">
        <v>43889</v>
      </c>
      <c r="C2836" s="1" t="n">
        <v>45204</v>
      </c>
      <c r="D2836" t="inlineStr">
        <is>
          <t>VÄSTERBOTTENS LÄN</t>
        </is>
      </c>
      <c r="E2836" t="inlineStr">
        <is>
          <t>UMEÅ</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11954-2020</t>
        </is>
      </c>
      <c r="B2837" s="1" t="n">
        <v>43889</v>
      </c>
      <c r="C2837" s="1" t="n">
        <v>45204</v>
      </c>
      <c r="D2837" t="inlineStr">
        <is>
          <t>VÄSTERBOTTENS LÄN</t>
        </is>
      </c>
      <c r="E2837" t="inlineStr">
        <is>
          <t>STORUMAN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12775-2020</t>
        </is>
      </c>
      <c r="B2838" s="1" t="n">
        <v>43893</v>
      </c>
      <c r="C2838" s="1" t="n">
        <v>45204</v>
      </c>
      <c r="D2838" t="inlineStr">
        <is>
          <t>VÄSTERBOTTENS LÄN</t>
        </is>
      </c>
      <c r="E2838" t="inlineStr">
        <is>
          <t>SKELLEFTEÅ</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12720-2020</t>
        </is>
      </c>
      <c r="B2839" s="1" t="n">
        <v>43893</v>
      </c>
      <c r="C2839" s="1" t="n">
        <v>45204</v>
      </c>
      <c r="D2839" t="inlineStr">
        <is>
          <t>VÄSTERBOTTENS LÄN</t>
        </is>
      </c>
      <c r="E2839" t="inlineStr">
        <is>
          <t>NORDMALING</t>
        </is>
      </c>
      <c r="G2839" t="n">
        <v>4.6</v>
      </c>
      <c r="H2839" t="n">
        <v>0</v>
      </c>
      <c r="I2839" t="n">
        <v>0</v>
      </c>
      <c r="J2839" t="n">
        <v>0</v>
      </c>
      <c r="K2839" t="n">
        <v>0</v>
      </c>
      <c r="L2839" t="n">
        <v>0</v>
      </c>
      <c r="M2839" t="n">
        <v>0</v>
      </c>
      <c r="N2839" t="n">
        <v>0</v>
      </c>
      <c r="O2839" t="n">
        <v>0</v>
      </c>
      <c r="P2839" t="n">
        <v>0</v>
      </c>
      <c r="Q2839" t="n">
        <v>0</v>
      </c>
      <c r="R2839" s="2" t="inlineStr"/>
    </row>
    <row r="2840" ht="15" customHeight="1">
      <c r="A2840" t="inlineStr">
        <is>
          <t>A 11745-2020</t>
        </is>
      </c>
      <c r="B2840" s="1" t="n">
        <v>43894</v>
      </c>
      <c r="C2840" s="1" t="n">
        <v>45204</v>
      </c>
      <c r="D2840" t="inlineStr">
        <is>
          <t>VÄSTERBOTTENS LÄN</t>
        </is>
      </c>
      <c r="E2840" t="inlineStr">
        <is>
          <t>VINDELN</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13371-2020</t>
        </is>
      </c>
      <c r="B2841" s="1" t="n">
        <v>43894</v>
      </c>
      <c r="C2841" s="1" t="n">
        <v>45204</v>
      </c>
      <c r="D2841" t="inlineStr">
        <is>
          <t>VÄSTERBOTTENS LÄN</t>
        </is>
      </c>
      <c r="E2841" t="inlineStr">
        <is>
          <t>MALÅ</t>
        </is>
      </c>
      <c r="G2841" t="n">
        <v>5.5</v>
      </c>
      <c r="H2841" t="n">
        <v>0</v>
      </c>
      <c r="I2841" t="n">
        <v>0</v>
      </c>
      <c r="J2841" t="n">
        <v>0</v>
      </c>
      <c r="K2841" t="n">
        <v>0</v>
      </c>
      <c r="L2841" t="n">
        <v>0</v>
      </c>
      <c r="M2841" t="n">
        <v>0</v>
      </c>
      <c r="N2841" t="n">
        <v>0</v>
      </c>
      <c r="O2841" t="n">
        <v>0</v>
      </c>
      <c r="P2841" t="n">
        <v>0</v>
      </c>
      <c r="Q2841" t="n">
        <v>0</v>
      </c>
      <c r="R2841" s="2" t="inlineStr"/>
    </row>
    <row r="2842" ht="15" customHeight="1">
      <c r="A2842" t="inlineStr">
        <is>
          <t>A 12204-2020</t>
        </is>
      </c>
      <c r="B2842" s="1" t="n">
        <v>43895</v>
      </c>
      <c r="C2842" s="1" t="n">
        <v>45204</v>
      </c>
      <c r="D2842" t="inlineStr">
        <is>
          <t>VÄSTERBOTTENS LÄN</t>
        </is>
      </c>
      <c r="E2842" t="inlineStr">
        <is>
          <t>NORDMALING</t>
        </is>
      </c>
      <c r="G2842" t="n">
        <v>7</v>
      </c>
      <c r="H2842" t="n">
        <v>0</v>
      </c>
      <c r="I2842" t="n">
        <v>0</v>
      </c>
      <c r="J2842" t="n">
        <v>0</v>
      </c>
      <c r="K2842" t="n">
        <v>0</v>
      </c>
      <c r="L2842" t="n">
        <v>0</v>
      </c>
      <c r="M2842" t="n">
        <v>0</v>
      </c>
      <c r="N2842" t="n">
        <v>0</v>
      </c>
      <c r="O2842" t="n">
        <v>0</v>
      </c>
      <c r="P2842" t="n">
        <v>0</v>
      </c>
      <c r="Q2842" t="n">
        <v>0</v>
      </c>
      <c r="R2842" s="2" t="inlineStr"/>
    </row>
    <row r="2843" ht="15" customHeight="1">
      <c r="A2843" t="inlineStr">
        <is>
          <t>A 12419-2020</t>
        </is>
      </c>
      <c r="B2843" s="1" t="n">
        <v>43896</v>
      </c>
      <c r="C2843" s="1" t="n">
        <v>45204</v>
      </c>
      <c r="D2843" t="inlineStr">
        <is>
          <t>VÄSTERBOTTENS LÄN</t>
        </is>
      </c>
      <c r="E2843" t="inlineStr">
        <is>
          <t>VILHELMINA</t>
        </is>
      </c>
      <c r="F2843" t="inlineStr">
        <is>
          <t>Kommuner</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12533-2020</t>
        </is>
      </c>
      <c r="B2844" s="1" t="n">
        <v>43896</v>
      </c>
      <c r="C2844" s="1" t="n">
        <v>45204</v>
      </c>
      <c r="D2844" t="inlineStr">
        <is>
          <t>VÄSTERBOTTENS LÄN</t>
        </is>
      </c>
      <c r="E2844" t="inlineStr">
        <is>
          <t>SKELLEFTEÅ</t>
        </is>
      </c>
      <c r="F2844" t="inlineStr">
        <is>
          <t>SCA</t>
        </is>
      </c>
      <c r="G2844" t="n">
        <v>8.1</v>
      </c>
      <c r="H2844" t="n">
        <v>0</v>
      </c>
      <c r="I2844" t="n">
        <v>0</v>
      </c>
      <c r="J2844" t="n">
        <v>0</v>
      </c>
      <c r="K2844" t="n">
        <v>0</v>
      </c>
      <c r="L2844" t="n">
        <v>0</v>
      </c>
      <c r="M2844" t="n">
        <v>0</v>
      </c>
      <c r="N2844" t="n">
        <v>0</v>
      </c>
      <c r="O2844" t="n">
        <v>0</v>
      </c>
      <c r="P2844" t="n">
        <v>0</v>
      </c>
      <c r="Q2844" t="n">
        <v>0</v>
      </c>
      <c r="R2844" s="2" t="inlineStr"/>
    </row>
    <row r="2845" ht="15" customHeight="1">
      <c r="A2845" t="inlineStr">
        <is>
          <t>A 12532-2020</t>
        </is>
      </c>
      <c r="B2845" s="1" t="n">
        <v>43896</v>
      </c>
      <c r="C2845" s="1" t="n">
        <v>45204</v>
      </c>
      <c r="D2845" t="inlineStr">
        <is>
          <t>VÄSTERBOTTENS LÄN</t>
        </is>
      </c>
      <c r="E2845" t="inlineStr">
        <is>
          <t>ROBERTSFORS</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12424-2020</t>
        </is>
      </c>
      <c r="B2846" s="1" t="n">
        <v>43896</v>
      </c>
      <c r="C2846" s="1" t="n">
        <v>45204</v>
      </c>
      <c r="D2846" t="inlineStr">
        <is>
          <t>VÄSTERBOTTENS LÄN</t>
        </is>
      </c>
      <c r="E2846" t="inlineStr">
        <is>
          <t>VILHELMINA</t>
        </is>
      </c>
      <c r="F2846" t="inlineStr">
        <is>
          <t>Kommuner</t>
        </is>
      </c>
      <c r="G2846" t="n">
        <v>8.199999999999999</v>
      </c>
      <c r="H2846" t="n">
        <v>0</v>
      </c>
      <c r="I2846" t="n">
        <v>0</v>
      </c>
      <c r="J2846" t="n">
        <v>0</v>
      </c>
      <c r="K2846" t="n">
        <v>0</v>
      </c>
      <c r="L2846" t="n">
        <v>0</v>
      </c>
      <c r="M2846" t="n">
        <v>0</v>
      </c>
      <c r="N2846" t="n">
        <v>0</v>
      </c>
      <c r="O2846" t="n">
        <v>0</v>
      </c>
      <c r="P2846" t="n">
        <v>0</v>
      </c>
      <c r="Q2846" t="n">
        <v>0</v>
      </c>
      <c r="R2846" s="2" t="inlineStr"/>
    </row>
    <row r="2847" ht="15" customHeight="1">
      <c r="A2847" t="inlineStr">
        <is>
          <t>A 12451-2020</t>
        </is>
      </c>
      <c r="B2847" s="1" t="n">
        <v>43896</v>
      </c>
      <c r="C2847" s="1" t="n">
        <v>45204</v>
      </c>
      <c r="D2847" t="inlineStr">
        <is>
          <t>VÄSTERBOTTENS LÄN</t>
        </is>
      </c>
      <c r="E2847" t="inlineStr">
        <is>
          <t>VILHELMINA</t>
        </is>
      </c>
      <c r="F2847" t="inlineStr">
        <is>
          <t>Kommuner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12423-2020</t>
        </is>
      </c>
      <c r="B2848" s="1" t="n">
        <v>43896</v>
      </c>
      <c r="C2848" s="1" t="n">
        <v>45204</v>
      </c>
      <c r="D2848" t="inlineStr">
        <is>
          <t>VÄSTERBOTTENS LÄN</t>
        </is>
      </c>
      <c r="E2848" t="inlineStr">
        <is>
          <t>VILHELMINA</t>
        </is>
      </c>
      <c r="F2848" t="inlineStr">
        <is>
          <t>Kommuner</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12534-2020</t>
        </is>
      </c>
      <c r="B2849" s="1" t="n">
        <v>43896</v>
      </c>
      <c r="C2849" s="1" t="n">
        <v>45204</v>
      </c>
      <c r="D2849" t="inlineStr">
        <is>
          <t>VÄSTERBOTTENS LÄN</t>
        </is>
      </c>
      <c r="E2849" t="inlineStr">
        <is>
          <t>SKELLEFTEÅ</t>
        </is>
      </c>
      <c r="F2849" t="inlineStr">
        <is>
          <t>SCA</t>
        </is>
      </c>
      <c r="G2849" t="n">
        <v>7.3</v>
      </c>
      <c r="H2849" t="n">
        <v>0</v>
      </c>
      <c r="I2849" t="n">
        <v>0</v>
      </c>
      <c r="J2849" t="n">
        <v>0</v>
      </c>
      <c r="K2849" t="n">
        <v>0</v>
      </c>
      <c r="L2849" t="n">
        <v>0</v>
      </c>
      <c r="M2849" t="n">
        <v>0</v>
      </c>
      <c r="N2849" t="n">
        <v>0</v>
      </c>
      <c r="O2849" t="n">
        <v>0</v>
      </c>
      <c r="P2849" t="n">
        <v>0</v>
      </c>
      <c r="Q2849" t="n">
        <v>0</v>
      </c>
      <c r="R2849" s="2" t="inlineStr"/>
    </row>
    <row r="2850" ht="15" customHeight="1">
      <c r="A2850" t="inlineStr">
        <is>
          <t>A 12589-2020</t>
        </is>
      </c>
      <c r="B2850" s="1" t="n">
        <v>43899</v>
      </c>
      <c r="C2850" s="1" t="n">
        <v>45204</v>
      </c>
      <c r="D2850" t="inlineStr">
        <is>
          <t>VÄSTERBOTTENS LÄN</t>
        </is>
      </c>
      <c r="E2850" t="inlineStr">
        <is>
          <t>DOROTEA</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13415-2020</t>
        </is>
      </c>
      <c r="B2851" s="1" t="n">
        <v>43899</v>
      </c>
      <c r="C2851" s="1" t="n">
        <v>45204</v>
      </c>
      <c r="D2851" t="inlineStr">
        <is>
          <t>VÄSTERBOTTENS LÄN</t>
        </is>
      </c>
      <c r="E2851" t="inlineStr">
        <is>
          <t>SKELLEFTEÅ</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12870-2020</t>
        </is>
      </c>
      <c r="B2852" s="1" t="n">
        <v>43899</v>
      </c>
      <c r="C2852" s="1" t="n">
        <v>45204</v>
      </c>
      <c r="D2852" t="inlineStr">
        <is>
          <t>VÄSTERBOTTENS LÄN</t>
        </is>
      </c>
      <c r="E2852" t="inlineStr">
        <is>
          <t>DOROTEA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12939-2020</t>
        </is>
      </c>
      <c r="B2853" s="1" t="n">
        <v>43900</v>
      </c>
      <c r="C2853" s="1" t="n">
        <v>45204</v>
      </c>
      <c r="D2853" t="inlineStr">
        <is>
          <t>VÄSTERBOTTENS LÄN</t>
        </is>
      </c>
      <c r="E2853" t="inlineStr">
        <is>
          <t>SKELLEFTEÅ</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14147-2020</t>
        </is>
      </c>
      <c r="B2854" s="1" t="n">
        <v>43900</v>
      </c>
      <c r="C2854" s="1" t="n">
        <v>45204</v>
      </c>
      <c r="D2854" t="inlineStr">
        <is>
          <t>VÄSTERBOTTENS LÄN</t>
        </is>
      </c>
      <c r="E2854" t="inlineStr">
        <is>
          <t>SKELLEFTEÅ</t>
        </is>
      </c>
      <c r="G2854" t="n">
        <v>2.6</v>
      </c>
      <c r="H2854" t="n">
        <v>0</v>
      </c>
      <c r="I2854" t="n">
        <v>0</v>
      </c>
      <c r="J2854" t="n">
        <v>0</v>
      </c>
      <c r="K2854" t="n">
        <v>0</v>
      </c>
      <c r="L2854" t="n">
        <v>0</v>
      </c>
      <c r="M2854" t="n">
        <v>0</v>
      </c>
      <c r="N2854" t="n">
        <v>0</v>
      </c>
      <c r="O2854" t="n">
        <v>0</v>
      </c>
      <c r="P2854" t="n">
        <v>0</v>
      </c>
      <c r="Q2854" t="n">
        <v>0</v>
      </c>
      <c r="R2854" s="2" t="inlineStr"/>
    </row>
    <row r="2855" ht="15" customHeight="1">
      <c r="A2855" t="inlineStr">
        <is>
          <t>A 12945-2020</t>
        </is>
      </c>
      <c r="B2855" s="1" t="n">
        <v>43900</v>
      </c>
      <c r="C2855" s="1" t="n">
        <v>45204</v>
      </c>
      <c r="D2855" t="inlineStr">
        <is>
          <t>VÄSTERBOTTENS LÄN</t>
        </is>
      </c>
      <c r="E2855" t="inlineStr">
        <is>
          <t>SKELLEFTEÅ</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13298-2020</t>
        </is>
      </c>
      <c r="B2856" s="1" t="n">
        <v>43901</v>
      </c>
      <c r="C2856" s="1" t="n">
        <v>45204</v>
      </c>
      <c r="D2856" t="inlineStr">
        <is>
          <t>VÄSTERBOTTENS LÄN</t>
        </is>
      </c>
      <c r="E2856" t="inlineStr">
        <is>
          <t>NORDMALING</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14186-2020</t>
        </is>
      </c>
      <c r="B2857" s="1" t="n">
        <v>43901</v>
      </c>
      <c r="C2857" s="1" t="n">
        <v>45204</v>
      </c>
      <c r="D2857" t="inlineStr">
        <is>
          <t>VÄSTERBOTTENS LÄN</t>
        </is>
      </c>
      <c r="E2857" t="inlineStr">
        <is>
          <t>SKELLEFTEÅ</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13101-2020</t>
        </is>
      </c>
      <c r="B2858" s="1" t="n">
        <v>43901</v>
      </c>
      <c r="C2858" s="1" t="n">
        <v>45204</v>
      </c>
      <c r="D2858" t="inlineStr">
        <is>
          <t>VÄSTERBOTTENS LÄN</t>
        </is>
      </c>
      <c r="E2858" t="inlineStr">
        <is>
          <t>ROBERTSFORS</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13110-2020</t>
        </is>
      </c>
      <c r="B2859" s="1" t="n">
        <v>43901</v>
      </c>
      <c r="C2859" s="1" t="n">
        <v>45204</v>
      </c>
      <c r="D2859" t="inlineStr">
        <is>
          <t>VÄSTERBOTTENS LÄN</t>
        </is>
      </c>
      <c r="E2859" t="inlineStr">
        <is>
          <t>BJURHOLM</t>
        </is>
      </c>
      <c r="G2859" t="n">
        <v>4.3</v>
      </c>
      <c r="H2859" t="n">
        <v>0</v>
      </c>
      <c r="I2859" t="n">
        <v>0</v>
      </c>
      <c r="J2859" t="n">
        <v>0</v>
      </c>
      <c r="K2859" t="n">
        <v>0</v>
      </c>
      <c r="L2859" t="n">
        <v>0</v>
      </c>
      <c r="M2859" t="n">
        <v>0</v>
      </c>
      <c r="N2859" t="n">
        <v>0</v>
      </c>
      <c r="O2859" t="n">
        <v>0</v>
      </c>
      <c r="P2859" t="n">
        <v>0</v>
      </c>
      <c r="Q2859" t="n">
        <v>0</v>
      </c>
      <c r="R2859" s="2" t="inlineStr"/>
    </row>
    <row r="2860" ht="15" customHeight="1">
      <c r="A2860" t="inlineStr">
        <is>
          <t>A 13297-2020</t>
        </is>
      </c>
      <c r="B2860" s="1" t="n">
        <v>43901</v>
      </c>
      <c r="C2860" s="1" t="n">
        <v>45204</v>
      </c>
      <c r="D2860" t="inlineStr">
        <is>
          <t>VÄSTERBOTTENS LÄN</t>
        </is>
      </c>
      <c r="E2860" t="inlineStr">
        <is>
          <t>NORDMALING</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13553-2020</t>
        </is>
      </c>
      <c r="B2861" s="1" t="n">
        <v>43902</v>
      </c>
      <c r="C2861" s="1" t="n">
        <v>45204</v>
      </c>
      <c r="D2861" t="inlineStr">
        <is>
          <t>VÄSTERBOTTENS LÄN</t>
        </is>
      </c>
      <c r="E2861" t="inlineStr">
        <is>
          <t>NORDMALING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13568-2020</t>
        </is>
      </c>
      <c r="B2862" s="1" t="n">
        <v>43902</v>
      </c>
      <c r="C2862" s="1" t="n">
        <v>45204</v>
      </c>
      <c r="D2862" t="inlineStr">
        <is>
          <t>VÄSTERBOTTENS LÄN</t>
        </is>
      </c>
      <c r="E2862" t="inlineStr">
        <is>
          <t>SKELLEFTEÅ</t>
        </is>
      </c>
      <c r="F2862" t="inlineStr">
        <is>
          <t>SCA</t>
        </is>
      </c>
      <c r="G2862" t="n">
        <v>6.9</v>
      </c>
      <c r="H2862" t="n">
        <v>0</v>
      </c>
      <c r="I2862" t="n">
        <v>0</v>
      </c>
      <c r="J2862" t="n">
        <v>0</v>
      </c>
      <c r="K2862" t="n">
        <v>0</v>
      </c>
      <c r="L2862" t="n">
        <v>0</v>
      </c>
      <c r="M2862" t="n">
        <v>0</v>
      </c>
      <c r="N2862" t="n">
        <v>0</v>
      </c>
      <c r="O2862" t="n">
        <v>0</v>
      </c>
      <c r="P2862" t="n">
        <v>0</v>
      </c>
      <c r="Q2862" t="n">
        <v>0</v>
      </c>
      <c r="R2862" s="2" t="inlineStr"/>
    </row>
    <row r="2863" ht="15" customHeight="1">
      <c r="A2863" t="inlineStr">
        <is>
          <t>A 14499-2020</t>
        </is>
      </c>
      <c r="B2863" s="1" t="n">
        <v>43902</v>
      </c>
      <c r="C2863" s="1" t="n">
        <v>45204</v>
      </c>
      <c r="D2863" t="inlineStr">
        <is>
          <t>VÄSTERBOTTENS LÄN</t>
        </is>
      </c>
      <c r="E2863" t="inlineStr">
        <is>
          <t>NORDMALING</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13566-2020</t>
        </is>
      </c>
      <c r="B2864" s="1" t="n">
        <v>43902</v>
      </c>
      <c r="C2864" s="1" t="n">
        <v>45204</v>
      </c>
      <c r="D2864" t="inlineStr">
        <is>
          <t>VÄSTERBOTTENS LÄN</t>
        </is>
      </c>
      <c r="E2864" t="inlineStr">
        <is>
          <t>SKELLEFTEÅ</t>
        </is>
      </c>
      <c r="F2864" t="inlineStr">
        <is>
          <t>SCA</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13883-2020</t>
        </is>
      </c>
      <c r="B2865" s="1" t="n">
        <v>43906</v>
      </c>
      <c r="C2865" s="1" t="n">
        <v>45204</v>
      </c>
      <c r="D2865" t="inlineStr">
        <is>
          <t>VÄSTERBOTTENS LÄN</t>
        </is>
      </c>
      <c r="E2865" t="inlineStr">
        <is>
          <t>SKELLEFTEÅ</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13851-2020</t>
        </is>
      </c>
      <c r="B2866" s="1" t="n">
        <v>43906</v>
      </c>
      <c r="C2866" s="1" t="n">
        <v>45204</v>
      </c>
      <c r="D2866" t="inlineStr">
        <is>
          <t>VÄSTERBOTTENS LÄN</t>
        </is>
      </c>
      <c r="E2866" t="inlineStr">
        <is>
          <t>SKELLEFTEÅ</t>
        </is>
      </c>
      <c r="G2866" t="n">
        <v>0.1</v>
      </c>
      <c r="H2866" t="n">
        <v>0</v>
      </c>
      <c r="I2866" t="n">
        <v>0</v>
      </c>
      <c r="J2866" t="n">
        <v>0</v>
      </c>
      <c r="K2866" t="n">
        <v>0</v>
      </c>
      <c r="L2866" t="n">
        <v>0</v>
      </c>
      <c r="M2866" t="n">
        <v>0</v>
      </c>
      <c r="N2866" t="n">
        <v>0</v>
      </c>
      <c r="O2866" t="n">
        <v>0</v>
      </c>
      <c r="P2866" t="n">
        <v>0</v>
      </c>
      <c r="Q2866" t="n">
        <v>0</v>
      </c>
      <c r="R2866" s="2" t="inlineStr"/>
    </row>
    <row r="2867" ht="15" customHeight="1">
      <c r="A2867" t="inlineStr">
        <is>
          <t>A 14882-2020</t>
        </is>
      </c>
      <c r="B2867" s="1" t="n">
        <v>43906</v>
      </c>
      <c r="C2867" s="1" t="n">
        <v>45204</v>
      </c>
      <c r="D2867" t="inlineStr">
        <is>
          <t>VÄSTERBOTTENS LÄN</t>
        </is>
      </c>
      <c r="E2867" t="inlineStr">
        <is>
          <t>NORSJÖ</t>
        </is>
      </c>
      <c r="G2867" t="n">
        <v>6.4</v>
      </c>
      <c r="H2867" t="n">
        <v>0</v>
      </c>
      <c r="I2867" t="n">
        <v>0</v>
      </c>
      <c r="J2867" t="n">
        <v>0</v>
      </c>
      <c r="K2867" t="n">
        <v>0</v>
      </c>
      <c r="L2867" t="n">
        <v>0</v>
      </c>
      <c r="M2867" t="n">
        <v>0</v>
      </c>
      <c r="N2867" t="n">
        <v>0</v>
      </c>
      <c r="O2867" t="n">
        <v>0</v>
      </c>
      <c r="P2867" t="n">
        <v>0</v>
      </c>
      <c r="Q2867" t="n">
        <v>0</v>
      </c>
      <c r="R2867" s="2" t="inlineStr"/>
    </row>
    <row r="2868" ht="15" customHeight="1">
      <c r="A2868" t="inlineStr">
        <is>
          <t>A 15181-2020</t>
        </is>
      </c>
      <c r="B2868" s="1" t="n">
        <v>43906</v>
      </c>
      <c r="C2868" s="1" t="n">
        <v>45204</v>
      </c>
      <c r="D2868" t="inlineStr">
        <is>
          <t>VÄSTERBOTTENS LÄN</t>
        </is>
      </c>
      <c r="E2868" t="inlineStr">
        <is>
          <t>VINDELN</t>
        </is>
      </c>
      <c r="G2868" t="n">
        <v>7.8</v>
      </c>
      <c r="H2868" t="n">
        <v>0</v>
      </c>
      <c r="I2868" t="n">
        <v>0</v>
      </c>
      <c r="J2868" t="n">
        <v>0</v>
      </c>
      <c r="K2868" t="n">
        <v>0</v>
      </c>
      <c r="L2868" t="n">
        <v>0</v>
      </c>
      <c r="M2868" t="n">
        <v>0</v>
      </c>
      <c r="N2868" t="n">
        <v>0</v>
      </c>
      <c r="O2868" t="n">
        <v>0</v>
      </c>
      <c r="P2868" t="n">
        <v>0</v>
      </c>
      <c r="Q2868" t="n">
        <v>0</v>
      </c>
      <c r="R2868" s="2" t="inlineStr"/>
    </row>
    <row r="2869" ht="15" customHeight="1">
      <c r="A2869" t="inlineStr">
        <is>
          <t>A 13933-2020</t>
        </is>
      </c>
      <c r="B2869" s="1" t="n">
        <v>43906</v>
      </c>
      <c r="C2869" s="1" t="n">
        <v>45204</v>
      </c>
      <c r="D2869" t="inlineStr">
        <is>
          <t>VÄSTERBOTTENS LÄN</t>
        </is>
      </c>
      <c r="E2869" t="inlineStr">
        <is>
          <t>SKELLEFTEÅ</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16089-2020</t>
        </is>
      </c>
      <c r="B2870" s="1" t="n">
        <v>43907</v>
      </c>
      <c r="C2870" s="1" t="n">
        <v>45204</v>
      </c>
      <c r="D2870" t="inlineStr">
        <is>
          <t>VÄSTERBOTTENS LÄN</t>
        </is>
      </c>
      <c r="E2870" t="inlineStr">
        <is>
          <t>STORUMAN</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15025-2020</t>
        </is>
      </c>
      <c r="B2871" s="1" t="n">
        <v>43907</v>
      </c>
      <c r="C2871" s="1" t="n">
        <v>45204</v>
      </c>
      <c r="D2871" t="inlineStr">
        <is>
          <t>VÄSTERBOTTENS LÄN</t>
        </is>
      </c>
      <c r="E2871" t="inlineStr">
        <is>
          <t>NORDMALING</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16097-2020</t>
        </is>
      </c>
      <c r="B2872" s="1" t="n">
        <v>43907</v>
      </c>
      <c r="C2872" s="1" t="n">
        <v>45204</v>
      </c>
      <c r="D2872" t="inlineStr">
        <is>
          <t>VÄSTERBOTTENS LÄN</t>
        </is>
      </c>
      <c r="E2872" t="inlineStr">
        <is>
          <t>STORUMAN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14738-2020</t>
        </is>
      </c>
      <c r="B2873" s="1" t="n">
        <v>43909</v>
      </c>
      <c r="C2873" s="1" t="n">
        <v>45204</v>
      </c>
      <c r="D2873" t="inlineStr">
        <is>
          <t>VÄSTERBOTTENS LÄN</t>
        </is>
      </c>
      <c r="E2873" t="inlineStr">
        <is>
          <t>VILHELMINA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16610-2020</t>
        </is>
      </c>
      <c r="B2874" s="1" t="n">
        <v>43909</v>
      </c>
      <c r="C2874" s="1" t="n">
        <v>45204</v>
      </c>
      <c r="D2874" t="inlineStr">
        <is>
          <t>VÄSTERBOTTENS LÄN</t>
        </is>
      </c>
      <c r="E2874" t="inlineStr">
        <is>
          <t>SORSELE</t>
        </is>
      </c>
      <c r="G2874" t="n">
        <v>4.2</v>
      </c>
      <c r="H2874" t="n">
        <v>0</v>
      </c>
      <c r="I2874" t="n">
        <v>0</v>
      </c>
      <c r="J2874" t="n">
        <v>0</v>
      </c>
      <c r="K2874" t="n">
        <v>0</v>
      </c>
      <c r="L2874" t="n">
        <v>0</v>
      </c>
      <c r="M2874" t="n">
        <v>0</v>
      </c>
      <c r="N2874" t="n">
        <v>0</v>
      </c>
      <c r="O2874" t="n">
        <v>0</v>
      </c>
      <c r="P2874" t="n">
        <v>0</v>
      </c>
      <c r="Q2874" t="n">
        <v>0</v>
      </c>
      <c r="R2874" s="2" t="inlineStr"/>
    </row>
    <row r="2875" ht="15" customHeight="1">
      <c r="A2875" t="inlineStr">
        <is>
          <t>A 16540-2020</t>
        </is>
      </c>
      <c r="B2875" s="1" t="n">
        <v>43909</v>
      </c>
      <c r="C2875" s="1" t="n">
        <v>45204</v>
      </c>
      <c r="D2875" t="inlineStr">
        <is>
          <t>VÄSTERBOTTENS LÄN</t>
        </is>
      </c>
      <c r="E2875" t="inlineStr">
        <is>
          <t>UMEÅ</t>
        </is>
      </c>
      <c r="G2875" t="n">
        <v>3.7</v>
      </c>
      <c r="H2875" t="n">
        <v>0</v>
      </c>
      <c r="I2875" t="n">
        <v>0</v>
      </c>
      <c r="J2875" t="n">
        <v>0</v>
      </c>
      <c r="K2875" t="n">
        <v>0</v>
      </c>
      <c r="L2875" t="n">
        <v>0</v>
      </c>
      <c r="M2875" t="n">
        <v>0</v>
      </c>
      <c r="N2875" t="n">
        <v>0</v>
      </c>
      <c r="O2875" t="n">
        <v>0</v>
      </c>
      <c r="P2875" t="n">
        <v>0</v>
      </c>
      <c r="Q2875" t="n">
        <v>0</v>
      </c>
      <c r="R2875" s="2" t="inlineStr"/>
    </row>
    <row r="2876" ht="15" customHeight="1">
      <c r="A2876" t="inlineStr">
        <is>
          <t>A 14672-2020</t>
        </is>
      </c>
      <c r="B2876" s="1" t="n">
        <v>43909</v>
      </c>
      <c r="C2876" s="1" t="n">
        <v>45204</v>
      </c>
      <c r="D2876" t="inlineStr">
        <is>
          <t>VÄSTERBOTTENS LÄN</t>
        </is>
      </c>
      <c r="E2876" t="inlineStr">
        <is>
          <t>BJURHOLM</t>
        </is>
      </c>
      <c r="G2876" t="n">
        <v>7.9</v>
      </c>
      <c r="H2876" t="n">
        <v>0</v>
      </c>
      <c r="I2876" t="n">
        <v>0</v>
      </c>
      <c r="J2876" t="n">
        <v>0</v>
      </c>
      <c r="K2876" t="n">
        <v>0</v>
      </c>
      <c r="L2876" t="n">
        <v>0</v>
      </c>
      <c r="M2876" t="n">
        <v>0</v>
      </c>
      <c r="N2876" t="n">
        <v>0</v>
      </c>
      <c r="O2876" t="n">
        <v>0</v>
      </c>
      <c r="P2876" t="n">
        <v>0</v>
      </c>
      <c r="Q2876" t="n">
        <v>0</v>
      </c>
      <c r="R2876" s="2" t="inlineStr"/>
    </row>
    <row r="2877" ht="15" customHeight="1">
      <c r="A2877" t="inlineStr">
        <is>
          <t>A 15095-2020</t>
        </is>
      </c>
      <c r="B2877" s="1" t="n">
        <v>43910</v>
      </c>
      <c r="C2877" s="1" t="n">
        <v>45204</v>
      </c>
      <c r="D2877" t="inlineStr">
        <is>
          <t>VÄSTERBOTTENS LÄN</t>
        </is>
      </c>
      <c r="E2877" t="inlineStr">
        <is>
          <t>UMEÅ</t>
        </is>
      </c>
      <c r="G2877" t="n">
        <v>4.4</v>
      </c>
      <c r="H2877" t="n">
        <v>0</v>
      </c>
      <c r="I2877" t="n">
        <v>0</v>
      </c>
      <c r="J2877" t="n">
        <v>0</v>
      </c>
      <c r="K2877" t="n">
        <v>0</v>
      </c>
      <c r="L2877" t="n">
        <v>0</v>
      </c>
      <c r="M2877" t="n">
        <v>0</v>
      </c>
      <c r="N2877" t="n">
        <v>0</v>
      </c>
      <c r="O2877" t="n">
        <v>0</v>
      </c>
      <c r="P2877" t="n">
        <v>0</v>
      </c>
      <c r="Q2877" t="n">
        <v>0</v>
      </c>
      <c r="R2877" s="2" t="inlineStr"/>
    </row>
    <row r="2878" ht="15" customHeight="1">
      <c r="A2878" t="inlineStr">
        <is>
          <t>A 16690-2020</t>
        </is>
      </c>
      <c r="B2878" s="1" t="n">
        <v>43910</v>
      </c>
      <c r="C2878" s="1" t="n">
        <v>45204</v>
      </c>
      <c r="D2878" t="inlineStr">
        <is>
          <t>VÄSTERBOTTENS LÄN</t>
        </is>
      </c>
      <c r="E2878" t="inlineStr">
        <is>
          <t>VINDELN</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15087-2020</t>
        </is>
      </c>
      <c r="B2879" s="1" t="n">
        <v>43910</v>
      </c>
      <c r="C2879" s="1" t="n">
        <v>45204</v>
      </c>
      <c r="D2879" t="inlineStr">
        <is>
          <t>VÄSTERBOTTENS LÄN</t>
        </is>
      </c>
      <c r="E2879" t="inlineStr">
        <is>
          <t>VÄNNÄS</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16678-2020</t>
        </is>
      </c>
      <c r="B2880" s="1" t="n">
        <v>43910</v>
      </c>
      <c r="C2880" s="1" t="n">
        <v>45204</v>
      </c>
      <c r="D2880" t="inlineStr">
        <is>
          <t>VÄSTERBOTTENS LÄN</t>
        </is>
      </c>
      <c r="E2880" t="inlineStr">
        <is>
          <t>VÄNNÄS</t>
        </is>
      </c>
      <c r="G2880" t="n">
        <v>18.8</v>
      </c>
      <c r="H2880" t="n">
        <v>0</v>
      </c>
      <c r="I2880" t="n">
        <v>0</v>
      </c>
      <c r="J2880" t="n">
        <v>0</v>
      </c>
      <c r="K2880" t="n">
        <v>0</v>
      </c>
      <c r="L2880" t="n">
        <v>0</v>
      </c>
      <c r="M2880" t="n">
        <v>0</v>
      </c>
      <c r="N2880" t="n">
        <v>0</v>
      </c>
      <c r="O2880" t="n">
        <v>0</v>
      </c>
      <c r="P2880" t="n">
        <v>0</v>
      </c>
      <c r="Q2880" t="n">
        <v>0</v>
      </c>
      <c r="R2880" s="2" t="inlineStr"/>
    </row>
    <row r="2881" ht="15" customHeight="1">
      <c r="A2881" t="inlineStr">
        <is>
          <t>A 14940-2020</t>
        </is>
      </c>
      <c r="B2881" s="1" t="n">
        <v>43910</v>
      </c>
      <c r="C2881" s="1" t="n">
        <v>45204</v>
      </c>
      <c r="D2881" t="inlineStr">
        <is>
          <t>VÄSTERBOTTENS LÄN</t>
        </is>
      </c>
      <c r="E2881" t="inlineStr">
        <is>
          <t>LYCKSELE</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16709-2020</t>
        </is>
      </c>
      <c r="B2882" s="1" t="n">
        <v>43910</v>
      </c>
      <c r="C2882" s="1" t="n">
        <v>45204</v>
      </c>
      <c r="D2882" t="inlineStr">
        <is>
          <t>VÄSTERBOTTENS LÄN</t>
        </is>
      </c>
      <c r="E2882" t="inlineStr">
        <is>
          <t>NORDMALING</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15113-2020</t>
        </is>
      </c>
      <c r="B2883" s="1" t="n">
        <v>43910</v>
      </c>
      <c r="C2883" s="1" t="n">
        <v>45204</v>
      </c>
      <c r="D2883" t="inlineStr">
        <is>
          <t>VÄSTERBOTTENS LÄN</t>
        </is>
      </c>
      <c r="E2883" t="inlineStr">
        <is>
          <t>VILHELMINA</t>
        </is>
      </c>
      <c r="G2883" t="n">
        <v>9.5</v>
      </c>
      <c r="H2883" t="n">
        <v>0</v>
      </c>
      <c r="I2883" t="n">
        <v>0</v>
      </c>
      <c r="J2883" t="n">
        <v>0</v>
      </c>
      <c r="K2883" t="n">
        <v>0</v>
      </c>
      <c r="L2883" t="n">
        <v>0</v>
      </c>
      <c r="M2883" t="n">
        <v>0</v>
      </c>
      <c r="N2883" t="n">
        <v>0</v>
      </c>
      <c r="O2883" t="n">
        <v>0</v>
      </c>
      <c r="P2883" t="n">
        <v>0</v>
      </c>
      <c r="Q2883" t="n">
        <v>0</v>
      </c>
      <c r="R2883" s="2" t="inlineStr"/>
    </row>
    <row r="2884" ht="15" customHeight="1">
      <c r="A2884" t="inlineStr">
        <is>
          <t>A 16650-2020</t>
        </is>
      </c>
      <c r="B2884" s="1" t="n">
        <v>43910</v>
      </c>
      <c r="C2884" s="1" t="n">
        <v>45204</v>
      </c>
      <c r="D2884" t="inlineStr">
        <is>
          <t>VÄSTERBOTTENS LÄN</t>
        </is>
      </c>
      <c r="E2884" t="inlineStr">
        <is>
          <t>STORUMAN</t>
        </is>
      </c>
      <c r="G2884" t="n">
        <v>19.1</v>
      </c>
      <c r="H2884" t="n">
        <v>0</v>
      </c>
      <c r="I2884" t="n">
        <v>0</v>
      </c>
      <c r="J2884" t="n">
        <v>0</v>
      </c>
      <c r="K2884" t="n">
        <v>0</v>
      </c>
      <c r="L2884" t="n">
        <v>0</v>
      </c>
      <c r="M2884" t="n">
        <v>0</v>
      </c>
      <c r="N2884" t="n">
        <v>0</v>
      </c>
      <c r="O2884" t="n">
        <v>0</v>
      </c>
      <c r="P2884" t="n">
        <v>0</v>
      </c>
      <c r="Q2884" t="n">
        <v>0</v>
      </c>
      <c r="R2884" s="2" t="inlineStr"/>
    </row>
    <row r="2885" ht="15" customHeight="1">
      <c r="A2885" t="inlineStr">
        <is>
          <t>A 16728-2020</t>
        </is>
      </c>
      <c r="B2885" s="1" t="n">
        <v>43910</v>
      </c>
      <c r="C2885" s="1" t="n">
        <v>45204</v>
      </c>
      <c r="D2885" t="inlineStr">
        <is>
          <t>VÄSTERBOTTENS LÄN</t>
        </is>
      </c>
      <c r="E2885" t="inlineStr">
        <is>
          <t>SKELLEFTEÅ</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15400-2020</t>
        </is>
      </c>
      <c r="B2886" s="1" t="n">
        <v>43913</v>
      </c>
      <c r="C2886" s="1" t="n">
        <v>45204</v>
      </c>
      <c r="D2886" t="inlineStr">
        <is>
          <t>VÄSTERBOTTENS LÄN</t>
        </is>
      </c>
      <c r="E2886" t="inlineStr">
        <is>
          <t>VILHELMINA</t>
        </is>
      </c>
      <c r="F2886" t="inlineStr">
        <is>
          <t>SCA</t>
        </is>
      </c>
      <c r="G2886" t="n">
        <v>11.7</v>
      </c>
      <c r="H2886" t="n">
        <v>0</v>
      </c>
      <c r="I2886" t="n">
        <v>0</v>
      </c>
      <c r="J2886" t="n">
        <v>0</v>
      </c>
      <c r="K2886" t="n">
        <v>0</v>
      </c>
      <c r="L2886" t="n">
        <v>0</v>
      </c>
      <c r="M2886" t="n">
        <v>0</v>
      </c>
      <c r="N2886" t="n">
        <v>0</v>
      </c>
      <c r="O2886" t="n">
        <v>0</v>
      </c>
      <c r="P2886" t="n">
        <v>0</v>
      </c>
      <c r="Q2886" t="n">
        <v>0</v>
      </c>
      <c r="R2886" s="2" t="inlineStr"/>
    </row>
    <row r="2887" ht="15" customHeight="1">
      <c r="A2887" t="inlineStr">
        <is>
          <t>A 15409-2020</t>
        </is>
      </c>
      <c r="B2887" s="1" t="n">
        <v>43913</v>
      </c>
      <c r="C2887" s="1" t="n">
        <v>45204</v>
      </c>
      <c r="D2887" t="inlineStr">
        <is>
          <t>VÄSTERBOTTENS LÄN</t>
        </is>
      </c>
      <c r="E2887" t="inlineStr">
        <is>
          <t>VILHELMINA</t>
        </is>
      </c>
      <c r="F2887" t="inlineStr">
        <is>
          <t>SCA</t>
        </is>
      </c>
      <c r="G2887" t="n">
        <v>11.1</v>
      </c>
      <c r="H2887" t="n">
        <v>0</v>
      </c>
      <c r="I2887" t="n">
        <v>0</v>
      </c>
      <c r="J2887" t="n">
        <v>0</v>
      </c>
      <c r="K2887" t="n">
        <v>0</v>
      </c>
      <c r="L2887" t="n">
        <v>0</v>
      </c>
      <c r="M2887" t="n">
        <v>0</v>
      </c>
      <c r="N2887" t="n">
        <v>0</v>
      </c>
      <c r="O2887" t="n">
        <v>0</v>
      </c>
      <c r="P2887" t="n">
        <v>0</v>
      </c>
      <c r="Q2887" t="n">
        <v>0</v>
      </c>
      <c r="R2887" s="2" t="inlineStr"/>
    </row>
    <row r="2888" ht="15" customHeight="1">
      <c r="A2888" t="inlineStr">
        <is>
          <t>A 16823-2020</t>
        </is>
      </c>
      <c r="B2888" s="1" t="n">
        <v>43913</v>
      </c>
      <c r="C2888" s="1" t="n">
        <v>45204</v>
      </c>
      <c r="D2888" t="inlineStr">
        <is>
          <t>VÄSTERBOTTENS LÄN</t>
        </is>
      </c>
      <c r="E2888" t="inlineStr">
        <is>
          <t>UMEÅ</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15411-2020</t>
        </is>
      </c>
      <c r="B2889" s="1" t="n">
        <v>43913</v>
      </c>
      <c r="C2889" s="1" t="n">
        <v>45204</v>
      </c>
      <c r="D2889" t="inlineStr">
        <is>
          <t>VÄSTERBOTTENS LÄN</t>
        </is>
      </c>
      <c r="E2889" t="inlineStr">
        <is>
          <t>VILHELMINA</t>
        </is>
      </c>
      <c r="F2889" t="inlineStr">
        <is>
          <t>SCA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17110-2020</t>
        </is>
      </c>
      <c r="B2890" s="1" t="n">
        <v>43913</v>
      </c>
      <c r="C2890" s="1" t="n">
        <v>45204</v>
      </c>
      <c r="D2890" t="inlineStr">
        <is>
          <t>VÄSTERBOTTENS LÄN</t>
        </is>
      </c>
      <c r="E2890" t="inlineStr">
        <is>
          <t>VILHELMINA</t>
        </is>
      </c>
      <c r="G2890" t="n">
        <v>15.1</v>
      </c>
      <c r="H2890" t="n">
        <v>0</v>
      </c>
      <c r="I2890" t="n">
        <v>0</v>
      </c>
      <c r="J2890" t="n">
        <v>0</v>
      </c>
      <c r="K2890" t="n">
        <v>0</v>
      </c>
      <c r="L2890" t="n">
        <v>0</v>
      </c>
      <c r="M2890" t="n">
        <v>0</v>
      </c>
      <c r="N2890" t="n">
        <v>0</v>
      </c>
      <c r="O2890" t="n">
        <v>0</v>
      </c>
      <c r="P2890" t="n">
        <v>0</v>
      </c>
      <c r="Q2890" t="n">
        <v>0</v>
      </c>
      <c r="R2890" s="2" t="inlineStr"/>
    </row>
    <row r="2891" ht="15" customHeight="1">
      <c r="A2891" t="inlineStr">
        <is>
          <t>A 15410-2020</t>
        </is>
      </c>
      <c r="B2891" s="1" t="n">
        <v>43913</v>
      </c>
      <c r="C2891" s="1" t="n">
        <v>45204</v>
      </c>
      <c r="D2891" t="inlineStr">
        <is>
          <t>VÄSTERBOTTENS LÄN</t>
        </is>
      </c>
      <c r="E2891" t="inlineStr">
        <is>
          <t>VILHELMINA</t>
        </is>
      </c>
      <c r="F2891" t="inlineStr">
        <is>
          <t>SCA</t>
        </is>
      </c>
      <c r="G2891" t="n">
        <v>7.4</v>
      </c>
      <c r="H2891" t="n">
        <v>0</v>
      </c>
      <c r="I2891" t="n">
        <v>0</v>
      </c>
      <c r="J2891" t="n">
        <v>0</v>
      </c>
      <c r="K2891" t="n">
        <v>0</v>
      </c>
      <c r="L2891" t="n">
        <v>0</v>
      </c>
      <c r="M2891" t="n">
        <v>0</v>
      </c>
      <c r="N2891" t="n">
        <v>0</v>
      </c>
      <c r="O2891" t="n">
        <v>0</v>
      </c>
      <c r="P2891" t="n">
        <v>0</v>
      </c>
      <c r="Q2891" t="n">
        <v>0</v>
      </c>
      <c r="R2891" s="2" t="inlineStr"/>
    </row>
    <row r="2892" ht="15" customHeight="1">
      <c r="A2892" t="inlineStr">
        <is>
          <t>A 15320-2020</t>
        </is>
      </c>
      <c r="B2892" s="1" t="n">
        <v>43913</v>
      </c>
      <c r="C2892" s="1" t="n">
        <v>45204</v>
      </c>
      <c r="D2892" t="inlineStr">
        <is>
          <t>VÄSTERBOTTENS LÄN</t>
        </is>
      </c>
      <c r="E2892" t="inlineStr">
        <is>
          <t>SKELLEFTEÅ</t>
        </is>
      </c>
      <c r="G2892" t="n">
        <v>5.8</v>
      </c>
      <c r="H2892" t="n">
        <v>0</v>
      </c>
      <c r="I2892" t="n">
        <v>0</v>
      </c>
      <c r="J2892" t="n">
        <v>0</v>
      </c>
      <c r="K2892" t="n">
        <v>0</v>
      </c>
      <c r="L2892" t="n">
        <v>0</v>
      </c>
      <c r="M2892" t="n">
        <v>0</v>
      </c>
      <c r="N2892" t="n">
        <v>0</v>
      </c>
      <c r="O2892" t="n">
        <v>0</v>
      </c>
      <c r="P2892" t="n">
        <v>0</v>
      </c>
      <c r="Q2892" t="n">
        <v>0</v>
      </c>
      <c r="R2892" s="2" t="inlineStr"/>
    </row>
    <row r="2893" ht="15" customHeight="1">
      <c r="A2893" t="inlineStr">
        <is>
          <t>A 15399-2020</t>
        </is>
      </c>
      <c r="B2893" s="1" t="n">
        <v>43913</v>
      </c>
      <c r="C2893" s="1" t="n">
        <v>45204</v>
      </c>
      <c r="D2893" t="inlineStr">
        <is>
          <t>VÄSTERBOTTENS LÄN</t>
        </is>
      </c>
      <c r="E2893" t="inlineStr">
        <is>
          <t>VILHELMINA</t>
        </is>
      </c>
      <c r="F2893" t="inlineStr">
        <is>
          <t>SCA</t>
        </is>
      </c>
      <c r="G2893" t="n">
        <v>9.699999999999999</v>
      </c>
      <c r="H2893" t="n">
        <v>0</v>
      </c>
      <c r="I2893" t="n">
        <v>0</v>
      </c>
      <c r="J2893" t="n">
        <v>0</v>
      </c>
      <c r="K2893" t="n">
        <v>0</v>
      </c>
      <c r="L2893" t="n">
        <v>0</v>
      </c>
      <c r="M2893" t="n">
        <v>0</v>
      </c>
      <c r="N2893" t="n">
        <v>0</v>
      </c>
      <c r="O2893" t="n">
        <v>0</v>
      </c>
      <c r="P2893" t="n">
        <v>0</v>
      </c>
      <c r="Q2893" t="n">
        <v>0</v>
      </c>
      <c r="R2893" s="2" t="inlineStr"/>
    </row>
    <row r="2894" ht="15" customHeight="1">
      <c r="A2894" t="inlineStr">
        <is>
          <t>A 15407-2020</t>
        </is>
      </c>
      <c r="B2894" s="1" t="n">
        <v>43913</v>
      </c>
      <c r="C2894" s="1" t="n">
        <v>45204</v>
      </c>
      <c r="D2894" t="inlineStr">
        <is>
          <t>VÄSTERBOTTENS LÄN</t>
        </is>
      </c>
      <c r="E2894" t="inlineStr">
        <is>
          <t>VILHELMINA</t>
        </is>
      </c>
      <c r="F2894" t="inlineStr">
        <is>
          <t>SCA</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15413-2020</t>
        </is>
      </c>
      <c r="B2895" s="1" t="n">
        <v>43913</v>
      </c>
      <c r="C2895" s="1" t="n">
        <v>45204</v>
      </c>
      <c r="D2895" t="inlineStr">
        <is>
          <t>VÄSTERBOTTENS LÄN</t>
        </is>
      </c>
      <c r="E2895" t="inlineStr">
        <is>
          <t>VILHELMINA</t>
        </is>
      </c>
      <c r="F2895" t="inlineStr">
        <is>
          <t>SCA</t>
        </is>
      </c>
      <c r="G2895" t="n">
        <v>12.1</v>
      </c>
      <c r="H2895" t="n">
        <v>0</v>
      </c>
      <c r="I2895" t="n">
        <v>0</v>
      </c>
      <c r="J2895" t="n">
        <v>0</v>
      </c>
      <c r="K2895" t="n">
        <v>0</v>
      </c>
      <c r="L2895" t="n">
        <v>0</v>
      </c>
      <c r="M2895" t="n">
        <v>0</v>
      </c>
      <c r="N2895" t="n">
        <v>0</v>
      </c>
      <c r="O2895" t="n">
        <v>0</v>
      </c>
      <c r="P2895" t="n">
        <v>0</v>
      </c>
      <c r="Q2895" t="n">
        <v>0</v>
      </c>
      <c r="R2895" s="2" t="inlineStr"/>
    </row>
    <row r="2896" ht="15" customHeight="1">
      <c r="A2896" t="inlineStr">
        <is>
          <t>A 17115-2020</t>
        </is>
      </c>
      <c r="B2896" s="1" t="n">
        <v>43913</v>
      </c>
      <c r="C2896" s="1" t="n">
        <v>45204</v>
      </c>
      <c r="D2896" t="inlineStr">
        <is>
          <t>VÄSTERBOTTENS LÄN</t>
        </is>
      </c>
      <c r="E2896" t="inlineStr">
        <is>
          <t>VILHELMINA</t>
        </is>
      </c>
      <c r="G2896" t="n">
        <v>19.8</v>
      </c>
      <c r="H2896" t="n">
        <v>0</v>
      </c>
      <c r="I2896" t="n">
        <v>0</v>
      </c>
      <c r="J2896" t="n">
        <v>0</v>
      </c>
      <c r="K2896" t="n">
        <v>0</v>
      </c>
      <c r="L2896" t="n">
        <v>0</v>
      </c>
      <c r="M2896" t="n">
        <v>0</v>
      </c>
      <c r="N2896" t="n">
        <v>0</v>
      </c>
      <c r="O2896" t="n">
        <v>0</v>
      </c>
      <c r="P2896" t="n">
        <v>0</v>
      </c>
      <c r="Q2896" t="n">
        <v>0</v>
      </c>
      <c r="R2896" s="2" t="inlineStr"/>
    </row>
    <row r="2897" ht="15" customHeight="1">
      <c r="A2897" t="inlineStr">
        <is>
          <t>A 15428-2020</t>
        </is>
      </c>
      <c r="B2897" s="1" t="n">
        <v>43914</v>
      </c>
      <c r="C2897" s="1" t="n">
        <v>45204</v>
      </c>
      <c r="D2897" t="inlineStr">
        <is>
          <t>VÄSTERBOTTENS LÄN</t>
        </is>
      </c>
      <c r="E2897" t="inlineStr">
        <is>
          <t>SORSELE</t>
        </is>
      </c>
      <c r="F2897" t="inlineStr">
        <is>
          <t>Sveaskog</t>
        </is>
      </c>
      <c r="G2897" t="n">
        <v>19.6</v>
      </c>
      <c r="H2897" t="n">
        <v>0</v>
      </c>
      <c r="I2897" t="n">
        <v>0</v>
      </c>
      <c r="J2897" t="n">
        <v>0</v>
      </c>
      <c r="K2897" t="n">
        <v>0</v>
      </c>
      <c r="L2897" t="n">
        <v>0</v>
      </c>
      <c r="M2897" t="n">
        <v>0</v>
      </c>
      <c r="N2897" t="n">
        <v>0</v>
      </c>
      <c r="O2897" t="n">
        <v>0</v>
      </c>
      <c r="P2897" t="n">
        <v>0</v>
      </c>
      <c r="Q2897" t="n">
        <v>0</v>
      </c>
      <c r="R2897" s="2" t="inlineStr"/>
    </row>
    <row r="2898" ht="15" customHeight="1">
      <c r="A2898" t="inlineStr">
        <is>
          <t>A 17124-2020</t>
        </is>
      </c>
      <c r="B2898" s="1" t="n">
        <v>43914</v>
      </c>
      <c r="C2898" s="1" t="n">
        <v>45204</v>
      </c>
      <c r="D2898" t="inlineStr">
        <is>
          <t>VÄSTERBOTTENS LÄN</t>
        </is>
      </c>
      <c r="E2898" t="inlineStr">
        <is>
          <t>SKELLEFTEÅ</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15695-2020</t>
        </is>
      </c>
      <c r="B2899" s="1" t="n">
        <v>43915</v>
      </c>
      <c r="C2899" s="1" t="n">
        <v>45204</v>
      </c>
      <c r="D2899" t="inlineStr">
        <is>
          <t>VÄSTERBOTTENS LÄN</t>
        </is>
      </c>
      <c r="E2899" t="inlineStr">
        <is>
          <t>VILHELMINA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15870-2020</t>
        </is>
      </c>
      <c r="B2900" s="1" t="n">
        <v>43915</v>
      </c>
      <c r="C2900" s="1" t="n">
        <v>45204</v>
      </c>
      <c r="D2900" t="inlineStr">
        <is>
          <t>VÄSTERBOTTENS LÄN</t>
        </is>
      </c>
      <c r="E2900" t="inlineStr">
        <is>
          <t>SKELLEFTEÅ</t>
        </is>
      </c>
      <c r="F2900" t="inlineStr">
        <is>
          <t>Sveaskog</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15869-2020</t>
        </is>
      </c>
      <c r="B2901" s="1" t="n">
        <v>43915</v>
      </c>
      <c r="C2901" s="1" t="n">
        <v>45204</v>
      </c>
      <c r="D2901" t="inlineStr">
        <is>
          <t>VÄSTERBOTTENS LÄN</t>
        </is>
      </c>
      <c r="E2901" t="inlineStr">
        <is>
          <t>SKELLEFTEÅ</t>
        </is>
      </c>
      <c r="F2901" t="inlineStr">
        <is>
          <t>Sveaskog</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15897-2020</t>
        </is>
      </c>
      <c r="B2902" s="1" t="n">
        <v>43915</v>
      </c>
      <c r="C2902" s="1" t="n">
        <v>45204</v>
      </c>
      <c r="D2902" t="inlineStr">
        <is>
          <t>VÄSTERBOTTENS LÄN</t>
        </is>
      </c>
      <c r="E2902" t="inlineStr">
        <is>
          <t>VILHELMINA</t>
        </is>
      </c>
      <c r="F2902" t="inlineStr">
        <is>
          <t>SCA</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17361-2020</t>
        </is>
      </c>
      <c r="B2903" s="1" t="n">
        <v>43916</v>
      </c>
      <c r="C2903" s="1" t="n">
        <v>45204</v>
      </c>
      <c r="D2903" t="inlineStr">
        <is>
          <t>VÄSTERBOTTENS LÄN</t>
        </is>
      </c>
      <c r="E2903" t="inlineStr">
        <is>
          <t>ROBERTSFORS</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17399-2020</t>
        </is>
      </c>
      <c r="B2904" s="1" t="n">
        <v>43917</v>
      </c>
      <c r="C2904" s="1" t="n">
        <v>45204</v>
      </c>
      <c r="D2904" t="inlineStr">
        <is>
          <t>VÄSTERBOTTENS LÄN</t>
        </is>
      </c>
      <c r="E2904" t="inlineStr">
        <is>
          <t>VINDELN</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16193-2020</t>
        </is>
      </c>
      <c r="B2905" s="1" t="n">
        <v>43917</v>
      </c>
      <c r="C2905" s="1" t="n">
        <v>45204</v>
      </c>
      <c r="D2905" t="inlineStr">
        <is>
          <t>VÄSTERBOTTENS LÄN</t>
        </is>
      </c>
      <c r="E2905" t="inlineStr">
        <is>
          <t>BJURHOLM</t>
        </is>
      </c>
      <c r="G2905" t="n">
        <v>4.8</v>
      </c>
      <c r="H2905" t="n">
        <v>0</v>
      </c>
      <c r="I2905" t="n">
        <v>0</v>
      </c>
      <c r="J2905" t="n">
        <v>0</v>
      </c>
      <c r="K2905" t="n">
        <v>0</v>
      </c>
      <c r="L2905" t="n">
        <v>0</v>
      </c>
      <c r="M2905" t="n">
        <v>0</v>
      </c>
      <c r="N2905" t="n">
        <v>0</v>
      </c>
      <c r="O2905" t="n">
        <v>0</v>
      </c>
      <c r="P2905" t="n">
        <v>0</v>
      </c>
      <c r="Q2905" t="n">
        <v>0</v>
      </c>
      <c r="R2905" s="2" t="inlineStr"/>
    </row>
    <row r="2906" ht="15" customHeight="1">
      <c r="A2906" t="inlineStr">
        <is>
          <t>A 17395-2020</t>
        </is>
      </c>
      <c r="B2906" s="1" t="n">
        <v>43917</v>
      </c>
      <c r="C2906" s="1" t="n">
        <v>45204</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16392-2020</t>
        </is>
      </c>
      <c r="B2907" s="1" t="n">
        <v>43917</v>
      </c>
      <c r="C2907" s="1" t="n">
        <v>45204</v>
      </c>
      <c r="D2907" t="inlineStr">
        <is>
          <t>VÄSTERBOTTENS LÄN</t>
        </is>
      </c>
      <c r="E2907" t="inlineStr">
        <is>
          <t>SORSELE</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17434-2020</t>
        </is>
      </c>
      <c r="B2908" s="1" t="n">
        <v>43917</v>
      </c>
      <c r="C2908" s="1" t="n">
        <v>45204</v>
      </c>
      <c r="D2908" t="inlineStr">
        <is>
          <t>VÄSTERBOTTENS LÄN</t>
        </is>
      </c>
      <c r="E2908" t="inlineStr">
        <is>
          <t>SKELLEFTEÅ</t>
        </is>
      </c>
      <c r="G2908" t="n">
        <v>2.6</v>
      </c>
      <c r="H2908" t="n">
        <v>0</v>
      </c>
      <c r="I2908" t="n">
        <v>0</v>
      </c>
      <c r="J2908" t="n">
        <v>0</v>
      </c>
      <c r="K2908" t="n">
        <v>0</v>
      </c>
      <c r="L2908" t="n">
        <v>0</v>
      </c>
      <c r="M2908" t="n">
        <v>0</v>
      </c>
      <c r="N2908" t="n">
        <v>0</v>
      </c>
      <c r="O2908" t="n">
        <v>0</v>
      </c>
      <c r="P2908" t="n">
        <v>0</v>
      </c>
      <c r="Q2908" t="n">
        <v>0</v>
      </c>
      <c r="R2908" s="2" t="inlineStr"/>
    </row>
    <row r="2909" ht="15" customHeight="1">
      <c r="A2909" t="inlineStr">
        <is>
          <t>A 17396-2020</t>
        </is>
      </c>
      <c r="B2909" s="1" t="n">
        <v>43917</v>
      </c>
      <c r="C2909" s="1" t="n">
        <v>45204</v>
      </c>
      <c r="D2909" t="inlineStr">
        <is>
          <t>VÄSTERBOTTENS LÄN</t>
        </is>
      </c>
      <c r="E2909" t="inlineStr">
        <is>
          <t>VINDELN</t>
        </is>
      </c>
      <c r="G2909" t="n">
        <v>3.7</v>
      </c>
      <c r="H2909" t="n">
        <v>0</v>
      </c>
      <c r="I2909" t="n">
        <v>0</v>
      </c>
      <c r="J2909" t="n">
        <v>0</v>
      </c>
      <c r="K2909" t="n">
        <v>0</v>
      </c>
      <c r="L2909" t="n">
        <v>0</v>
      </c>
      <c r="M2909" t="n">
        <v>0</v>
      </c>
      <c r="N2909" t="n">
        <v>0</v>
      </c>
      <c r="O2909" t="n">
        <v>0</v>
      </c>
      <c r="P2909" t="n">
        <v>0</v>
      </c>
      <c r="Q2909" t="n">
        <v>0</v>
      </c>
      <c r="R2909" s="2" t="inlineStr"/>
    </row>
    <row r="2910" ht="15" customHeight="1">
      <c r="A2910" t="inlineStr">
        <is>
          <t>A 17417-2020</t>
        </is>
      </c>
      <c r="B2910" s="1" t="n">
        <v>43917</v>
      </c>
      <c r="C2910" s="1" t="n">
        <v>45204</v>
      </c>
      <c r="D2910" t="inlineStr">
        <is>
          <t>VÄSTERBOTTENS LÄN</t>
        </is>
      </c>
      <c r="E2910" t="inlineStr">
        <is>
          <t>VINDELN</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16811-2020</t>
        </is>
      </c>
      <c r="B2911" s="1" t="n">
        <v>43920</v>
      </c>
      <c r="C2911" s="1" t="n">
        <v>45204</v>
      </c>
      <c r="D2911" t="inlineStr">
        <is>
          <t>VÄSTERBOTTENS LÄN</t>
        </is>
      </c>
      <c r="E2911" t="inlineStr">
        <is>
          <t>BJURHOLM</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16587-2020</t>
        </is>
      </c>
      <c r="B2912" s="1" t="n">
        <v>43920</v>
      </c>
      <c r="C2912" s="1" t="n">
        <v>45204</v>
      </c>
      <c r="D2912" t="inlineStr">
        <is>
          <t>VÄSTERBOTTENS LÄN</t>
        </is>
      </c>
      <c r="E2912" t="inlineStr">
        <is>
          <t>SORSELE</t>
        </is>
      </c>
      <c r="F2912" t="inlineStr">
        <is>
          <t>Sveaskog</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17016-2020</t>
        </is>
      </c>
      <c r="B2913" s="1" t="n">
        <v>43921</v>
      </c>
      <c r="C2913" s="1" t="n">
        <v>45204</v>
      </c>
      <c r="D2913" t="inlineStr">
        <is>
          <t>VÄSTERBOTTENS LÄN</t>
        </is>
      </c>
      <c r="E2913" t="inlineStr">
        <is>
          <t>UMEÅ</t>
        </is>
      </c>
      <c r="G2913" t="n">
        <v>4.7</v>
      </c>
      <c r="H2913" t="n">
        <v>0</v>
      </c>
      <c r="I2913" t="n">
        <v>0</v>
      </c>
      <c r="J2913" t="n">
        <v>0</v>
      </c>
      <c r="K2913" t="n">
        <v>0</v>
      </c>
      <c r="L2913" t="n">
        <v>0</v>
      </c>
      <c r="M2913" t="n">
        <v>0</v>
      </c>
      <c r="N2913" t="n">
        <v>0</v>
      </c>
      <c r="O2913" t="n">
        <v>0</v>
      </c>
      <c r="P2913" t="n">
        <v>0</v>
      </c>
      <c r="Q2913" t="n">
        <v>0</v>
      </c>
      <c r="R2913" s="2" t="inlineStr"/>
    </row>
    <row r="2914" ht="15" customHeight="1">
      <c r="A2914" t="inlineStr">
        <is>
          <t>A 16868-2020</t>
        </is>
      </c>
      <c r="B2914" s="1" t="n">
        <v>43921</v>
      </c>
      <c r="C2914" s="1" t="n">
        <v>45204</v>
      </c>
      <c r="D2914" t="inlineStr">
        <is>
          <t>VÄSTERBOTTENS LÄN</t>
        </is>
      </c>
      <c r="E2914" t="inlineStr">
        <is>
          <t>UMEÅ</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17062-2020</t>
        </is>
      </c>
      <c r="B2915" s="1" t="n">
        <v>43921</v>
      </c>
      <c r="C2915" s="1" t="n">
        <v>45204</v>
      </c>
      <c r="D2915" t="inlineStr">
        <is>
          <t>VÄSTERBOTTENS LÄN</t>
        </is>
      </c>
      <c r="E2915" t="inlineStr">
        <is>
          <t>VINDELN</t>
        </is>
      </c>
      <c r="F2915" t="inlineStr">
        <is>
          <t>Övriga Aktiebolag</t>
        </is>
      </c>
      <c r="G2915" t="n">
        <v>49.1</v>
      </c>
      <c r="H2915" t="n">
        <v>0</v>
      </c>
      <c r="I2915" t="n">
        <v>0</v>
      </c>
      <c r="J2915" t="n">
        <v>0</v>
      </c>
      <c r="K2915" t="n">
        <v>0</v>
      </c>
      <c r="L2915" t="n">
        <v>0</v>
      </c>
      <c r="M2915" t="n">
        <v>0</v>
      </c>
      <c r="N2915" t="n">
        <v>0</v>
      </c>
      <c r="O2915" t="n">
        <v>0</v>
      </c>
      <c r="P2915" t="n">
        <v>0</v>
      </c>
      <c r="Q2915" t="n">
        <v>0</v>
      </c>
      <c r="R2915" s="2" t="inlineStr"/>
    </row>
    <row r="2916" ht="15" customHeight="1">
      <c r="A2916" t="inlineStr">
        <is>
          <t>A 17126-2020</t>
        </is>
      </c>
      <c r="B2916" s="1" t="n">
        <v>43922</v>
      </c>
      <c r="C2916" s="1" t="n">
        <v>45204</v>
      </c>
      <c r="D2916" t="inlineStr">
        <is>
          <t>VÄSTERBOTTENS LÄN</t>
        </is>
      </c>
      <c r="E2916" t="inlineStr">
        <is>
          <t>LYCKSELE</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17722-2020</t>
        </is>
      </c>
      <c r="B2917" s="1" t="n">
        <v>43922</v>
      </c>
      <c r="C2917" s="1" t="n">
        <v>45204</v>
      </c>
      <c r="D2917" t="inlineStr">
        <is>
          <t>VÄSTERBOTTENS LÄN</t>
        </is>
      </c>
      <c r="E2917" t="inlineStr">
        <is>
          <t>SORSELE</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17137-2020</t>
        </is>
      </c>
      <c r="B2918" s="1" t="n">
        <v>43922</v>
      </c>
      <c r="C2918" s="1" t="n">
        <v>45204</v>
      </c>
      <c r="D2918" t="inlineStr">
        <is>
          <t>VÄSTERBOTTENS LÄN</t>
        </is>
      </c>
      <c r="E2918" t="inlineStr">
        <is>
          <t>LYCKSELE</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17730-2020</t>
        </is>
      </c>
      <c r="B2919" s="1" t="n">
        <v>43922</v>
      </c>
      <c r="C2919" s="1" t="n">
        <v>45204</v>
      </c>
      <c r="D2919" t="inlineStr">
        <is>
          <t>VÄSTERBOTTENS LÄN</t>
        </is>
      </c>
      <c r="E2919" t="inlineStr">
        <is>
          <t>SORSELE</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17513-2020</t>
        </is>
      </c>
      <c r="B2920" s="1" t="n">
        <v>43923</v>
      </c>
      <c r="C2920" s="1" t="n">
        <v>45204</v>
      </c>
      <c r="D2920" t="inlineStr">
        <is>
          <t>VÄSTERBOTTENS LÄN</t>
        </is>
      </c>
      <c r="E2920" t="inlineStr">
        <is>
          <t>NORDMALING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17894-2020</t>
        </is>
      </c>
      <c r="B2921" s="1" t="n">
        <v>43923</v>
      </c>
      <c r="C2921" s="1" t="n">
        <v>45204</v>
      </c>
      <c r="D2921" t="inlineStr">
        <is>
          <t>VÄSTERBOTTENS LÄN</t>
        </is>
      </c>
      <c r="E2921" t="inlineStr">
        <is>
          <t>SKELLEFTEÅ</t>
        </is>
      </c>
      <c r="G2921" t="n">
        <v>3.5</v>
      </c>
      <c r="H2921" t="n">
        <v>0</v>
      </c>
      <c r="I2921" t="n">
        <v>0</v>
      </c>
      <c r="J2921" t="n">
        <v>0</v>
      </c>
      <c r="K2921" t="n">
        <v>0</v>
      </c>
      <c r="L2921" t="n">
        <v>0</v>
      </c>
      <c r="M2921" t="n">
        <v>0</v>
      </c>
      <c r="N2921" t="n">
        <v>0</v>
      </c>
      <c r="O2921" t="n">
        <v>0</v>
      </c>
      <c r="P2921" t="n">
        <v>0</v>
      </c>
      <c r="Q2921" t="n">
        <v>0</v>
      </c>
      <c r="R2921" s="2" t="inlineStr"/>
    </row>
    <row r="2922" ht="15" customHeight="1">
      <c r="A2922" t="inlineStr">
        <is>
          <t>A 17619-2020</t>
        </is>
      </c>
      <c r="B2922" s="1" t="n">
        <v>43923</v>
      </c>
      <c r="C2922" s="1" t="n">
        <v>45204</v>
      </c>
      <c r="D2922" t="inlineStr">
        <is>
          <t>VÄSTERBOTTENS LÄN</t>
        </is>
      </c>
      <c r="E2922" t="inlineStr">
        <is>
          <t>VILHELMINA</t>
        </is>
      </c>
      <c r="G2922" t="n">
        <v>5.5</v>
      </c>
      <c r="H2922" t="n">
        <v>0</v>
      </c>
      <c r="I2922" t="n">
        <v>0</v>
      </c>
      <c r="J2922" t="n">
        <v>0</v>
      </c>
      <c r="K2922" t="n">
        <v>0</v>
      </c>
      <c r="L2922" t="n">
        <v>0</v>
      </c>
      <c r="M2922" t="n">
        <v>0</v>
      </c>
      <c r="N2922" t="n">
        <v>0</v>
      </c>
      <c r="O2922" t="n">
        <v>0</v>
      </c>
      <c r="P2922" t="n">
        <v>0</v>
      </c>
      <c r="Q2922" t="n">
        <v>0</v>
      </c>
      <c r="R2922" s="2" t="inlineStr"/>
    </row>
    <row r="2923" ht="15" customHeight="1">
      <c r="A2923" t="inlineStr">
        <is>
          <t>A 17789-2020</t>
        </is>
      </c>
      <c r="B2923" s="1" t="n">
        <v>43923</v>
      </c>
      <c r="C2923" s="1" t="n">
        <v>45204</v>
      </c>
      <c r="D2923" t="inlineStr">
        <is>
          <t>VÄSTERBOTTENS LÄN</t>
        </is>
      </c>
      <c r="E2923" t="inlineStr">
        <is>
          <t>VILHELMINA</t>
        </is>
      </c>
      <c r="F2923" t="inlineStr">
        <is>
          <t>Allmännings- och besparingsskogar</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18139-2020</t>
        </is>
      </c>
      <c r="B2924" s="1" t="n">
        <v>43924</v>
      </c>
      <c r="C2924" s="1" t="n">
        <v>45204</v>
      </c>
      <c r="D2924" t="inlineStr">
        <is>
          <t>VÄSTERBOTTENS LÄN</t>
        </is>
      </c>
      <c r="E2924" t="inlineStr">
        <is>
          <t>ÅSELE</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18540-2020</t>
        </is>
      </c>
      <c r="B2925" s="1" t="n">
        <v>43927</v>
      </c>
      <c r="C2925" s="1" t="n">
        <v>45204</v>
      </c>
      <c r="D2925" t="inlineStr">
        <is>
          <t>VÄSTERBOTTENS LÄN</t>
        </is>
      </c>
      <c r="E2925" t="inlineStr">
        <is>
          <t>NORSJÖ</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18536-2020</t>
        </is>
      </c>
      <c r="B2926" s="1" t="n">
        <v>43927</v>
      </c>
      <c r="C2926" s="1" t="n">
        <v>45204</v>
      </c>
      <c r="D2926" t="inlineStr">
        <is>
          <t>VÄSTERBOTTENS LÄN</t>
        </is>
      </c>
      <c r="E2926" t="inlineStr">
        <is>
          <t>NORSJÖ</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18165-2020</t>
        </is>
      </c>
      <c r="B2927" s="1" t="n">
        <v>43927</v>
      </c>
      <c r="C2927" s="1" t="n">
        <v>45204</v>
      </c>
      <c r="D2927" t="inlineStr">
        <is>
          <t>VÄSTERBOTTENS LÄN</t>
        </is>
      </c>
      <c r="E2927" t="inlineStr">
        <is>
          <t>VILHELMINA</t>
        </is>
      </c>
      <c r="F2927" t="inlineStr">
        <is>
          <t>Kommuner</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18233-2020</t>
        </is>
      </c>
      <c r="B2928" s="1" t="n">
        <v>43928</v>
      </c>
      <c r="C2928" s="1" t="n">
        <v>45204</v>
      </c>
      <c r="D2928" t="inlineStr">
        <is>
          <t>VÄSTERBOTTENS LÄN</t>
        </is>
      </c>
      <c r="E2928" t="inlineStr">
        <is>
          <t>UMEÅ</t>
        </is>
      </c>
      <c r="G2928" t="n">
        <v>26.8</v>
      </c>
      <c r="H2928" t="n">
        <v>0</v>
      </c>
      <c r="I2928" t="n">
        <v>0</v>
      </c>
      <c r="J2928" t="n">
        <v>0</v>
      </c>
      <c r="K2928" t="n">
        <v>0</v>
      </c>
      <c r="L2928" t="n">
        <v>0</v>
      </c>
      <c r="M2928" t="n">
        <v>0</v>
      </c>
      <c r="N2928" t="n">
        <v>0</v>
      </c>
      <c r="O2928" t="n">
        <v>0</v>
      </c>
      <c r="P2928" t="n">
        <v>0</v>
      </c>
      <c r="Q2928" t="n">
        <v>0</v>
      </c>
      <c r="R2928" s="2" t="inlineStr"/>
    </row>
    <row r="2929" ht="15" customHeight="1">
      <c r="A2929" t="inlineStr">
        <is>
          <t>A 18361-2020</t>
        </is>
      </c>
      <c r="B2929" s="1" t="n">
        <v>43928</v>
      </c>
      <c r="C2929" s="1" t="n">
        <v>45204</v>
      </c>
      <c r="D2929" t="inlineStr">
        <is>
          <t>VÄSTERBOTTENS LÄN</t>
        </is>
      </c>
      <c r="E2929" t="inlineStr">
        <is>
          <t>VINDELN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18619-2020</t>
        </is>
      </c>
      <c r="B2930" s="1" t="n">
        <v>43928</v>
      </c>
      <c r="C2930" s="1" t="n">
        <v>45204</v>
      </c>
      <c r="D2930" t="inlineStr">
        <is>
          <t>VÄSTERBOTTENS LÄN</t>
        </is>
      </c>
      <c r="E2930" t="inlineStr">
        <is>
          <t>SKELLEFTEÅ</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18636-2020</t>
        </is>
      </c>
      <c r="B2931" s="1" t="n">
        <v>43928</v>
      </c>
      <c r="C2931" s="1" t="n">
        <v>45204</v>
      </c>
      <c r="D2931" t="inlineStr">
        <is>
          <t>VÄSTERBOTTENS LÄN</t>
        </is>
      </c>
      <c r="E2931" t="inlineStr">
        <is>
          <t>UMEÅ</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18605-2020</t>
        </is>
      </c>
      <c r="B2932" s="1" t="n">
        <v>43929</v>
      </c>
      <c r="C2932" s="1" t="n">
        <v>45204</v>
      </c>
      <c r="D2932" t="inlineStr">
        <is>
          <t>VÄSTERBOTTENS LÄN</t>
        </is>
      </c>
      <c r="E2932" t="inlineStr">
        <is>
          <t>NORDMALING</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18647-2020</t>
        </is>
      </c>
      <c r="B2933" s="1" t="n">
        <v>43929</v>
      </c>
      <c r="C2933" s="1" t="n">
        <v>45204</v>
      </c>
      <c r="D2933" t="inlineStr">
        <is>
          <t>VÄSTERBOTTENS LÄN</t>
        </is>
      </c>
      <c r="E2933" t="inlineStr">
        <is>
          <t>BJURHOLM</t>
        </is>
      </c>
      <c r="G2933" t="n">
        <v>3.1</v>
      </c>
      <c r="H2933" t="n">
        <v>0</v>
      </c>
      <c r="I2933" t="n">
        <v>0</v>
      </c>
      <c r="J2933" t="n">
        <v>0</v>
      </c>
      <c r="K2933" t="n">
        <v>0</v>
      </c>
      <c r="L2933" t="n">
        <v>0</v>
      </c>
      <c r="M2933" t="n">
        <v>0</v>
      </c>
      <c r="N2933" t="n">
        <v>0</v>
      </c>
      <c r="O2933" t="n">
        <v>0</v>
      </c>
      <c r="P2933" t="n">
        <v>0</v>
      </c>
      <c r="Q2933" t="n">
        <v>0</v>
      </c>
      <c r="R2933" s="2" t="inlineStr"/>
    </row>
    <row r="2934" ht="15" customHeight="1">
      <c r="A2934" t="inlineStr">
        <is>
          <t>A 18609-2020</t>
        </is>
      </c>
      <c r="B2934" s="1" t="n">
        <v>43929</v>
      </c>
      <c r="C2934" s="1" t="n">
        <v>45204</v>
      </c>
      <c r="D2934" t="inlineStr">
        <is>
          <t>VÄSTERBOTTENS LÄN</t>
        </is>
      </c>
      <c r="E2934" t="inlineStr">
        <is>
          <t>LYCKSELE</t>
        </is>
      </c>
      <c r="F2934" t="inlineStr">
        <is>
          <t>SCA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18898-2020</t>
        </is>
      </c>
      <c r="B2935" s="1" t="n">
        <v>43930</v>
      </c>
      <c r="C2935" s="1" t="n">
        <v>45204</v>
      </c>
      <c r="D2935" t="inlineStr">
        <is>
          <t>VÄSTERBOTTENS LÄN</t>
        </is>
      </c>
      <c r="E2935" t="inlineStr">
        <is>
          <t>LYCKSELE</t>
        </is>
      </c>
      <c r="G2935" t="n">
        <v>2.3</v>
      </c>
      <c r="H2935" t="n">
        <v>0</v>
      </c>
      <c r="I2935" t="n">
        <v>0</v>
      </c>
      <c r="J2935" t="n">
        <v>0</v>
      </c>
      <c r="K2935" t="n">
        <v>0</v>
      </c>
      <c r="L2935" t="n">
        <v>0</v>
      </c>
      <c r="M2935" t="n">
        <v>0</v>
      </c>
      <c r="N2935" t="n">
        <v>0</v>
      </c>
      <c r="O2935" t="n">
        <v>0</v>
      </c>
      <c r="P2935" t="n">
        <v>0</v>
      </c>
      <c r="Q2935" t="n">
        <v>0</v>
      </c>
      <c r="R2935" s="2" t="inlineStr"/>
    </row>
    <row r="2936" ht="15" customHeight="1">
      <c r="A2936" t="inlineStr">
        <is>
          <t>A 18908-2020</t>
        </is>
      </c>
      <c r="B2936" s="1" t="n">
        <v>43930</v>
      </c>
      <c r="C2936" s="1" t="n">
        <v>45204</v>
      </c>
      <c r="D2936" t="inlineStr">
        <is>
          <t>VÄSTERBOTTENS LÄN</t>
        </is>
      </c>
      <c r="E2936" t="inlineStr">
        <is>
          <t>UMEÅ</t>
        </is>
      </c>
      <c r="G2936" t="n">
        <v>7</v>
      </c>
      <c r="H2936" t="n">
        <v>0</v>
      </c>
      <c r="I2936" t="n">
        <v>0</v>
      </c>
      <c r="J2936" t="n">
        <v>0</v>
      </c>
      <c r="K2936" t="n">
        <v>0</v>
      </c>
      <c r="L2936" t="n">
        <v>0</v>
      </c>
      <c r="M2936" t="n">
        <v>0</v>
      </c>
      <c r="N2936" t="n">
        <v>0</v>
      </c>
      <c r="O2936" t="n">
        <v>0</v>
      </c>
      <c r="P2936" t="n">
        <v>0</v>
      </c>
      <c r="Q2936" t="n">
        <v>0</v>
      </c>
      <c r="R2936" s="2" t="inlineStr"/>
    </row>
    <row r="2937" ht="15" customHeight="1">
      <c r="A2937" t="inlineStr">
        <is>
          <t>A 19009-2020</t>
        </is>
      </c>
      <c r="B2937" s="1" t="n">
        <v>43935</v>
      </c>
      <c r="C2937" s="1" t="n">
        <v>45204</v>
      </c>
      <c r="D2937" t="inlineStr">
        <is>
          <t>VÄSTERBOTTENS LÄN</t>
        </is>
      </c>
      <c r="E2937" t="inlineStr">
        <is>
          <t>VILHELMINA</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18938-2020</t>
        </is>
      </c>
      <c r="B2938" s="1" t="n">
        <v>43935</v>
      </c>
      <c r="C2938" s="1" t="n">
        <v>45204</v>
      </c>
      <c r="D2938" t="inlineStr">
        <is>
          <t>VÄSTERBOTTENS LÄN</t>
        </is>
      </c>
      <c r="E2938" t="inlineStr">
        <is>
          <t>SORSELE</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19561-2020</t>
        </is>
      </c>
      <c r="B2939" s="1" t="n">
        <v>43936</v>
      </c>
      <c r="C2939" s="1" t="n">
        <v>45204</v>
      </c>
      <c r="D2939" t="inlineStr">
        <is>
          <t>VÄSTERBOTTENS LÄN</t>
        </is>
      </c>
      <c r="E2939" t="inlineStr">
        <is>
          <t>VINDELN</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19588-2020</t>
        </is>
      </c>
      <c r="B2940" s="1" t="n">
        <v>43936</v>
      </c>
      <c r="C2940" s="1" t="n">
        <v>45204</v>
      </c>
      <c r="D2940" t="inlineStr">
        <is>
          <t>VÄSTERBOTTENS LÄN</t>
        </is>
      </c>
      <c r="E2940" t="inlineStr">
        <is>
          <t>ÅSELE</t>
        </is>
      </c>
      <c r="G2940" t="n">
        <v>13.2</v>
      </c>
      <c r="H2940" t="n">
        <v>0</v>
      </c>
      <c r="I2940" t="n">
        <v>0</v>
      </c>
      <c r="J2940" t="n">
        <v>0</v>
      </c>
      <c r="K2940" t="n">
        <v>0</v>
      </c>
      <c r="L2940" t="n">
        <v>0</v>
      </c>
      <c r="M2940" t="n">
        <v>0</v>
      </c>
      <c r="N2940" t="n">
        <v>0</v>
      </c>
      <c r="O2940" t="n">
        <v>0</v>
      </c>
      <c r="P2940" t="n">
        <v>0</v>
      </c>
      <c r="Q2940" t="n">
        <v>0</v>
      </c>
      <c r="R2940" s="2" t="inlineStr"/>
    </row>
    <row r="2941" ht="15" customHeight="1">
      <c r="A2941" t="inlineStr">
        <is>
          <t>A 19590-2020</t>
        </is>
      </c>
      <c r="B2941" s="1" t="n">
        <v>43936</v>
      </c>
      <c r="C2941" s="1" t="n">
        <v>45204</v>
      </c>
      <c r="D2941" t="inlineStr">
        <is>
          <t>VÄSTERBOTTENS LÄN</t>
        </is>
      </c>
      <c r="E2941" t="inlineStr">
        <is>
          <t>ÅSELE</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19559-2020</t>
        </is>
      </c>
      <c r="B2942" s="1" t="n">
        <v>43936</v>
      </c>
      <c r="C2942" s="1" t="n">
        <v>45204</v>
      </c>
      <c r="D2942" t="inlineStr">
        <is>
          <t>VÄSTERBOTTENS LÄN</t>
        </is>
      </c>
      <c r="E2942" t="inlineStr">
        <is>
          <t>VINDELN</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19572-2020</t>
        </is>
      </c>
      <c r="B2943" s="1" t="n">
        <v>43936</v>
      </c>
      <c r="C2943" s="1" t="n">
        <v>45204</v>
      </c>
      <c r="D2943" t="inlineStr">
        <is>
          <t>VÄSTERBOTTENS LÄN</t>
        </is>
      </c>
      <c r="E2943" t="inlineStr">
        <is>
          <t>VINDELN</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19006-2020</t>
        </is>
      </c>
      <c r="B2944" s="1" t="n">
        <v>43936</v>
      </c>
      <c r="C2944" s="1" t="n">
        <v>45204</v>
      </c>
      <c r="D2944" t="inlineStr">
        <is>
          <t>VÄSTERBOTTENS LÄN</t>
        </is>
      </c>
      <c r="E2944" t="inlineStr">
        <is>
          <t>SKELLEFTEÅ</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19558-2020</t>
        </is>
      </c>
      <c r="B2945" s="1" t="n">
        <v>43936</v>
      </c>
      <c r="C2945" s="1" t="n">
        <v>45204</v>
      </c>
      <c r="D2945" t="inlineStr">
        <is>
          <t>VÄSTERBOTTENS LÄN</t>
        </is>
      </c>
      <c r="E2945" t="inlineStr">
        <is>
          <t>VINDELN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19652-2020</t>
        </is>
      </c>
      <c r="B2946" s="1" t="n">
        <v>43937</v>
      </c>
      <c r="C2946" s="1" t="n">
        <v>45204</v>
      </c>
      <c r="D2946" t="inlineStr">
        <is>
          <t>VÄSTERBOTTENS LÄN</t>
        </is>
      </c>
      <c r="E2946" t="inlineStr">
        <is>
          <t>BJURHOLM</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19707-2020</t>
        </is>
      </c>
      <c r="B2947" s="1" t="n">
        <v>43937</v>
      </c>
      <c r="C2947" s="1" t="n">
        <v>45204</v>
      </c>
      <c r="D2947" t="inlineStr">
        <is>
          <t>VÄSTERBOTTENS LÄN</t>
        </is>
      </c>
      <c r="E2947" t="inlineStr">
        <is>
          <t>NORDMALING</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19541-2020</t>
        </is>
      </c>
      <c r="B2948" s="1" t="n">
        <v>43941</v>
      </c>
      <c r="C2948" s="1" t="n">
        <v>45204</v>
      </c>
      <c r="D2948" t="inlineStr">
        <is>
          <t>VÄSTERBOTTENS LÄN</t>
        </is>
      </c>
      <c r="E2948" t="inlineStr">
        <is>
          <t>UMEÅ</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19693-2020</t>
        </is>
      </c>
      <c r="B2949" s="1" t="n">
        <v>43941</v>
      </c>
      <c r="C2949" s="1" t="n">
        <v>45204</v>
      </c>
      <c r="D2949" t="inlineStr">
        <is>
          <t>VÄSTERBOTTENS LÄN</t>
        </is>
      </c>
      <c r="E2949" t="inlineStr">
        <is>
          <t>VÄNNÄS</t>
        </is>
      </c>
      <c r="G2949" t="n">
        <v>6.1</v>
      </c>
      <c r="H2949" t="n">
        <v>0</v>
      </c>
      <c r="I2949" t="n">
        <v>0</v>
      </c>
      <c r="J2949" t="n">
        <v>0</v>
      </c>
      <c r="K2949" t="n">
        <v>0</v>
      </c>
      <c r="L2949" t="n">
        <v>0</v>
      </c>
      <c r="M2949" t="n">
        <v>0</v>
      </c>
      <c r="N2949" t="n">
        <v>0</v>
      </c>
      <c r="O2949" t="n">
        <v>0</v>
      </c>
      <c r="P2949" t="n">
        <v>0</v>
      </c>
      <c r="Q2949" t="n">
        <v>0</v>
      </c>
      <c r="R2949" s="2" t="inlineStr"/>
    </row>
    <row r="2950" ht="15" customHeight="1">
      <c r="A2950" t="inlineStr">
        <is>
          <t>A 19580-2020</t>
        </is>
      </c>
      <c r="B2950" s="1" t="n">
        <v>43941</v>
      </c>
      <c r="C2950" s="1" t="n">
        <v>45204</v>
      </c>
      <c r="D2950" t="inlineStr">
        <is>
          <t>VÄSTERBOTTENS LÄN</t>
        </is>
      </c>
      <c r="E2950" t="inlineStr">
        <is>
          <t>UMEÅ</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19767-2020</t>
        </is>
      </c>
      <c r="B2951" s="1" t="n">
        <v>43942</v>
      </c>
      <c r="C2951" s="1" t="n">
        <v>45204</v>
      </c>
      <c r="D2951" t="inlineStr">
        <is>
          <t>VÄSTERBOTTENS LÄN</t>
        </is>
      </c>
      <c r="E2951" t="inlineStr">
        <is>
          <t>UMEÅ</t>
        </is>
      </c>
      <c r="G2951" t="n">
        <v>2</v>
      </c>
      <c r="H2951" t="n">
        <v>0</v>
      </c>
      <c r="I2951" t="n">
        <v>0</v>
      </c>
      <c r="J2951" t="n">
        <v>0</v>
      </c>
      <c r="K2951" t="n">
        <v>0</v>
      </c>
      <c r="L2951" t="n">
        <v>0</v>
      </c>
      <c r="M2951" t="n">
        <v>0</v>
      </c>
      <c r="N2951" t="n">
        <v>0</v>
      </c>
      <c r="O2951" t="n">
        <v>0</v>
      </c>
      <c r="P2951" t="n">
        <v>0</v>
      </c>
      <c r="Q2951" t="n">
        <v>0</v>
      </c>
      <c r="R2951" s="2" t="inlineStr"/>
    </row>
    <row r="2952" ht="15" customHeight="1">
      <c r="A2952" t="inlineStr">
        <is>
          <t>A 19814-2020</t>
        </is>
      </c>
      <c r="B2952" s="1" t="n">
        <v>43942</v>
      </c>
      <c r="C2952" s="1" t="n">
        <v>45204</v>
      </c>
      <c r="D2952" t="inlineStr">
        <is>
          <t>VÄSTERBOTTENS LÄN</t>
        </is>
      </c>
      <c r="E2952" t="inlineStr">
        <is>
          <t>VINDELN</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19961-2020</t>
        </is>
      </c>
      <c r="B2953" s="1" t="n">
        <v>43943</v>
      </c>
      <c r="C2953" s="1" t="n">
        <v>45204</v>
      </c>
      <c r="D2953" t="inlineStr">
        <is>
          <t>VÄSTERBOTTENS LÄN</t>
        </is>
      </c>
      <c r="E2953" t="inlineStr">
        <is>
          <t>SKELLEFTEÅ</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20099-2020</t>
        </is>
      </c>
      <c r="B2954" s="1" t="n">
        <v>43943</v>
      </c>
      <c r="C2954" s="1" t="n">
        <v>45204</v>
      </c>
      <c r="D2954" t="inlineStr">
        <is>
          <t>VÄSTERBOTTENS LÄN</t>
        </is>
      </c>
      <c r="E2954" t="inlineStr">
        <is>
          <t>MALÅ</t>
        </is>
      </c>
      <c r="G2954" t="n">
        <v>6.5</v>
      </c>
      <c r="H2954" t="n">
        <v>0</v>
      </c>
      <c r="I2954" t="n">
        <v>0</v>
      </c>
      <c r="J2954" t="n">
        <v>0</v>
      </c>
      <c r="K2954" t="n">
        <v>0</v>
      </c>
      <c r="L2954" t="n">
        <v>0</v>
      </c>
      <c r="M2954" t="n">
        <v>0</v>
      </c>
      <c r="N2954" t="n">
        <v>0</v>
      </c>
      <c r="O2954" t="n">
        <v>0</v>
      </c>
      <c r="P2954" t="n">
        <v>0</v>
      </c>
      <c r="Q2954" t="n">
        <v>0</v>
      </c>
      <c r="R2954" s="2" t="inlineStr"/>
    </row>
    <row r="2955" ht="15" customHeight="1">
      <c r="A2955" t="inlineStr">
        <is>
          <t>A 20187-2020</t>
        </is>
      </c>
      <c r="B2955" s="1" t="n">
        <v>43944</v>
      </c>
      <c r="C2955" s="1" t="n">
        <v>45204</v>
      </c>
      <c r="D2955" t="inlineStr">
        <is>
          <t>VÄSTERBOTTENS LÄN</t>
        </is>
      </c>
      <c r="E2955" t="inlineStr">
        <is>
          <t>VILHELMINA</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20283-2020</t>
        </is>
      </c>
      <c r="B2956" s="1" t="n">
        <v>43945</v>
      </c>
      <c r="C2956" s="1" t="n">
        <v>45204</v>
      </c>
      <c r="D2956" t="inlineStr">
        <is>
          <t>VÄSTERBOTTENS LÄN</t>
        </is>
      </c>
      <c r="E2956" t="inlineStr">
        <is>
          <t>SKELLEFTEÅ</t>
        </is>
      </c>
      <c r="G2956" t="n">
        <v>6.2</v>
      </c>
      <c r="H2956" t="n">
        <v>0</v>
      </c>
      <c r="I2956" t="n">
        <v>0</v>
      </c>
      <c r="J2956" t="n">
        <v>0</v>
      </c>
      <c r="K2956" t="n">
        <v>0</v>
      </c>
      <c r="L2956" t="n">
        <v>0</v>
      </c>
      <c r="M2956" t="n">
        <v>0</v>
      </c>
      <c r="N2956" t="n">
        <v>0</v>
      </c>
      <c r="O2956" t="n">
        <v>0</v>
      </c>
      <c r="P2956" t="n">
        <v>0</v>
      </c>
      <c r="Q2956" t="n">
        <v>0</v>
      </c>
      <c r="R2956" s="2" t="inlineStr"/>
    </row>
    <row r="2957" ht="15" customHeight="1">
      <c r="A2957" t="inlineStr">
        <is>
          <t>A 20383-2020</t>
        </is>
      </c>
      <c r="B2957" s="1" t="n">
        <v>43945</v>
      </c>
      <c r="C2957" s="1" t="n">
        <v>45204</v>
      </c>
      <c r="D2957" t="inlineStr">
        <is>
          <t>VÄSTERBOTTENS LÄN</t>
        </is>
      </c>
      <c r="E2957" t="inlineStr">
        <is>
          <t>LYCKSELE</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20243-2020</t>
        </is>
      </c>
      <c r="B2958" s="1" t="n">
        <v>43945</v>
      </c>
      <c r="C2958" s="1" t="n">
        <v>45204</v>
      </c>
      <c r="D2958" t="inlineStr">
        <is>
          <t>VÄSTERBOTTENS LÄN</t>
        </is>
      </c>
      <c r="E2958" t="inlineStr">
        <is>
          <t>SKELLEFTEÅ</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20351-2020</t>
        </is>
      </c>
      <c r="B2959" s="1" t="n">
        <v>43945</v>
      </c>
      <c r="C2959" s="1" t="n">
        <v>45204</v>
      </c>
      <c r="D2959" t="inlineStr">
        <is>
          <t>VÄSTERBOTTENS LÄN</t>
        </is>
      </c>
      <c r="E2959" t="inlineStr">
        <is>
          <t>SKELLEFTEÅ</t>
        </is>
      </c>
      <c r="G2959" t="n">
        <v>6.3</v>
      </c>
      <c r="H2959" t="n">
        <v>0</v>
      </c>
      <c r="I2959" t="n">
        <v>0</v>
      </c>
      <c r="J2959" t="n">
        <v>0</v>
      </c>
      <c r="K2959" t="n">
        <v>0</v>
      </c>
      <c r="L2959" t="n">
        <v>0</v>
      </c>
      <c r="M2959" t="n">
        <v>0</v>
      </c>
      <c r="N2959" t="n">
        <v>0</v>
      </c>
      <c r="O2959" t="n">
        <v>0</v>
      </c>
      <c r="P2959" t="n">
        <v>0</v>
      </c>
      <c r="Q2959" t="n">
        <v>0</v>
      </c>
      <c r="R2959" s="2" t="inlineStr"/>
    </row>
    <row r="2960" ht="15" customHeight="1">
      <c r="A2960" t="inlineStr">
        <is>
          <t>A 20288-2020</t>
        </is>
      </c>
      <c r="B2960" s="1" t="n">
        <v>43945</v>
      </c>
      <c r="C2960" s="1" t="n">
        <v>45204</v>
      </c>
      <c r="D2960" t="inlineStr">
        <is>
          <t>VÄSTERBOTTENS LÄN</t>
        </is>
      </c>
      <c r="E2960" t="inlineStr">
        <is>
          <t>UMEÅ</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20388-2020</t>
        </is>
      </c>
      <c r="B2961" s="1" t="n">
        <v>43945</v>
      </c>
      <c r="C2961" s="1" t="n">
        <v>45204</v>
      </c>
      <c r="D2961" t="inlineStr">
        <is>
          <t>VÄSTERBOTTENS LÄN</t>
        </is>
      </c>
      <c r="E2961" t="inlineStr">
        <is>
          <t>LYCKSELE</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20403-2020</t>
        </is>
      </c>
      <c r="B2962" s="1" t="n">
        <v>43945</v>
      </c>
      <c r="C2962" s="1" t="n">
        <v>45204</v>
      </c>
      <c r="D2962" t="inlineStr">
        <is>
          <t>VÄSTERBOTTENS LÄN</t>
        </is>
      </c>
      <c r="E2962" t="inlineStr">
        <is>
          <t>BJURHOLM</t>
        </is>
      </c>
      <c r="F2962" t="inlineStr">
        <is>
          <t>Holmen skog AB</t>
        </is>
      </c>
      <c r="G2962" t="n">
        <v>2.4</v>
      </c>
      <c r="H2962" t="n">
        <v>0</v>
      </c>
      <c r="I2962" t="n">
        <v>0</v>
      </c>
      <c r="J2962" t="n">
        <v>0</v>
      </c>
      <c r="K2962" t="n">
        <v>0</v>
      </c>
      <c r="L2962" t="n">
        <v>0</v>
      </c>
      <c r="M2962" t="n">
        <v>0</v>
      </c>
      <c r="N2962" t="n">
        <v>0</v>
      </c>
      <c r="O2962" t="n">
        <v>0</v>
      </c>
      <c r="P2962" t="n">
        <v>0</v>
      </c>
      <c r="Q2962" t="n">
        <v>0</v>
      </c>
      <c r="R2962" s="2" t="inlineStr"/>
    </row>
    <row r="2963" ht="15" customHeight="1">
      <c r="A2963" t="inlineStr">
        <is>
          <t>A 20445-2020</t>
        </is>
      </c>
      <c r="B2963" s="1" t="n">
        <v>43945</v>
      </c>
      <c r="C2963" s="1" t="n">
        <v>45204</v>
      </c>
      <c r="D2963" t="inlineStr">
        <is>
          <t>VÄSTERBOTTENS LÄN</t>
        </is>
      </c>
      <c r="E2963" t="inlineStr">
        <is>
          <t>LYCKSELE</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20420-2020</t>
        </is>
      </c>
      <c r="B2964" s="1" t="n">
        <v>43945</v>
      </c>
      <c r="C2964" s="1" t="n">
        <v>45204</v>
      </c>
      <c r="D2964" t="inlineStr">
        <is>
          <t>VÄSTERBOTTENS LÄN</t>
        </is>
      </c>
      <c r="E2964" t="inlineStr">
        <is>
          <t>VILHELMINA</t>
        </is>
      </c>
      <c r="F2964" t="inlineStr">
        <is>
          <t>SCA</t>
        </is>
      </c>
      <c r="G2964" t="n">
        <v>4.7</v>
      </c>
      <c r="H2964" t="n">
        <v>0</v>
      </c>
      <c r="I2964" t="n">
        <v>0</v>
      </c>
      <c r="J2964" t="n">
        <v>0</v>
      </c>
      <c r="K2964" t="n">
        <v>0</v>
      </c>
      <c r="L2964" t="n">
        <v>0</v>
      </c>
      <c r="M2964" t="n">
        <v>0</v>
      </c>
      <c r="N2964" t="n">
        <v>0</v>
      </c>
      <c r="O2964" t="n">
        <v>0</v>
      </c>
      <c r="P2964" t="n">
        <v>0</v>
      </c>
      <c r="Q2964" t="n">
        <v>0</v>
      </c>
      <c r="R2964" s="2" t="inlineStr"/>
    </row>
    <row r="2965" ht="15" customHeight="1">
      <c r="A2965" t="inlineStr">
        <is>
          <t>A 20537-2020</t>
        </is>
      </c>
      <c r="B2965" s="1" t="n">
        <v>43948</v>
      </c>
      <c r="C2965" s="1" t="n">
        <v>45204</v>
      </c>
      <c r="D2965" t="inlineStr">
        <is>
          <t>VÄSTERBOTTENS LÄN</t>
        </is>
      </c>
      <c r="E2965" t="inlineStr">
        <is>
          <t>VINDELN</t>
        </is>
      </c>
      <c r="G2965" t="n">
        <v>5.4</v>
      </c>
      <c r="H2965" t="n">
        <v>0</v>
      </c>
      <c r="I2965" t="n">
        <v>0</v>
      </c>
      <c r="J2965" t="n">
        <v>0</v>
      </c>
      <c r="K2965" t="n">
        <v>0</v>
      </c>
      <c r="L2965" t="n">
        <v>0</v>
      </c>
      <c r="M2965" t="n">
        <v>0</v>
      </c>
      <c r="N2965" t="n">
        <v>0</v>
      </c>
      <c r="O2965" t="n">
        <v>0</v>
      </c>
      <c r="P2965" t="n">
        <v>0</v>
      </c>
      <c r="Q2965" t="n">
        <v>0</v>
      </c>
      <c r="R2965" s="2" t="inlineStr"/>
    </row>
    <row r="2966" ht="15" customHeight="1">
      <c r="A2966" t="inlineStr">
        <is>
          <t>A 20444-2020</t>
        </is>
      </c>
      <c r="B2966" s="1" t="n">
        <v>43948</v>
      </c>
      <c r="C2966" s="1" t="n">
        <v>45204</v>
      </c>
      <c r="D2966" t="inlineStr">
        <is>
          <t>VÄSTERBOTTENS LÄN</t>
        </is>
      </c>
      <c r="E2966" t="inlineStr">
        <is>
          <t>SKELLEFTEÅ</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20851-2020</t>
        </is>
      </c>
      <c r="B2967" s="1" t="n">
        <v>43948</v>
      </c>
      <c r="C2967" s="1" t="n">
        <v>45204</v>
      </c>
      <c r="D2967" t="inlineStr">
        <is>
          <t>VÄSTERBOTTENS LÄN</t>
        </is>
      </c>
      <c r="E2967" t="inlineStr">
        <is>
          <t>BJURHOLM</t>
        </is>
      </c>
      <c r="G2967" t="n">
        <v>2.5</v>
      </c>
      <c r="H2967" t="n">
        <v>0</v>
      </c>
      <c r="I2967" t="n">
        <v>0</v>
      </c>
      <c r="J2967" t="n">
        <v>0</v>
      </c>
      <c r="K2967" t="n">
        <v>0</v>
      </c>
      <c r="L2967" t="n">
        <v>0</v>
      </c>
      <c r="M2967" t="n">
        <v>0</v>
      </c>
      <c r="N2967" t="n">
        <v>0</v>
      </c>
      <c r="O2967" t="n">
        <v>0</v>
      </c>
      <c r="P2967" t="n">
        <v>0</v>
      </c>
      <c r="Q2967" t="n">
        <v>0</v>
      </c>
      <c r="R2967" s="2" t="inlineStr"/>
    </row>
    <row r="2968" ht="15" customHeight="1">
      <c r="A2968" t="inlineStr">
        <is>
          <t>A 20536-2020</t>
        </is>
      </c>
      <c r="B2968" s="1" t="n">
        <v>43948</v>
      </c>
      <c r="C2968" s="1" t="n">
        <v>45204</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20695-2020</t>
        </is>
      </c>
      <c r="B2969" s="1" t="n">
        <v>43949</v>
      </c>
      <c r="C2969" s="1" t="n">
        <v>45204</v>
      </c>
      <c r="D2969" t="inlineStr">
        <is>
          <t>VÄSTERBOTTENS LÄN</t>
        </is>
      </c>
      <c r="E2969" t="inlineStr">
        <is>
          <t>VINDELN</t>
        </is>
      </c>
      <c r="G2969" t="n">
        <v>2.8</v>
      </c>
      <c r="H2969" t="n">
        <v>0</v>
      </c>
      <c r="I2969" t="n">
        <v>0</v>
      </c>
      <c r="J2969" t="n">
        <v>0</v>
      </c>
      <c r="K2969" t="n">
        <v>0</v>
      </c>
      <c r="L2969" t="n">
        <v>0</v>
      </c>
      <c r="M2969" t="n">
        <v>0</v>
      </c>
      <c r="N2969" t="n">
        <v>0</v>
      </c>
      <c r="O2969" t="n">
        <v>0</v>
      </c>
      <c r="P2969" t="n">
        <v>0</v>
      </c>
      <c r="Q2969" t="n">
        <v>0</v>
      </c>
      <c r="R2969" s="2" t="inlineStr"/>
    </row>
    <row r="2970" ht="15" customHeight="1">
      <c r="A2970" t="inlineStr">
        <is>
          <t>A 20956-2020</t>
        </is>
      </c>
      <c r="B2970" s="1" t="n">
        <v>43950</v>
      </c>
      <c r="C2970" s="1" t="n">
        <v>45204</v>
      </c>
      <c r="D2970" t="inlineStr">
        <is>
          <t>VÄSTERBOTTENS LÄN</t>
        </is>
      </c>
      <c r="E2970" t="inlineStr">
        <is>
          <t>UMEÅ</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21025-2020</t>
        </is>
      </c>
      <c r="B2971" s="1" t="n">
        <v>43950</v>
      </c>
      <c r="C2971" s="1" t="n">
        <v>45204</v>
      </c>
      <c r="D2971" t="inlineStr">
        <is>
          <t>VÄSTERBOTTENS LÄN</t>
        </is>
      </c>
      <c r="E2971" t="inlineStr">
        <is>
          <t>DOROTEA</t>
        </is>
      </c>
      <c r="F2971" t="inlineStr">
        <is>
          <t>SCA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21538-2020</t>
        </is>
      </c>
      <c r="B2972" s="1" t="n">
        <v>43951</v>
      </c>
      <c r="C2972" s="1" t="n">
        <v>45204</v>
      </c>
      <c r="D2972" t="inlineStr">
        <is>
          <t>VÄSTERBOTTENS LÄN</t>
        </is>
      </c>
      <c r="E2972" t="inlineStr">
        <is>
          <t>ROBERTSFORS</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21248-2020</t>
        </is>
      </c>
      <c r="B2973" s="1" t="n">
        <v>43951</v>
      </c>
      <c r="C2973" s="1" t="n">
        <v>45204</v>
      </c>
      <c r="D2973" t="inlineStr">
        <is>
          <t>VÄSTERBOTTENS LÄN</t>
        </is>
      </c>
      <c r="E2973" t="inlineStr">
        <is>
          <t>ROBERTSFORS</t>
        </is>
      </c>
      <c r="G2973" t="n">
        <v>12.7</v>
      </c>
      <c r="H2973" t="n">
        <v>0</v>
      </c>
      <c r="I2973" t="n">
        <v>0</v>
      </c>
      <c r="J2973" t="n">
        <v>0</v>
      </c>
      <c r="K2973" t="n">
        <v>0</v>
      </c>
      <c r="L2973" t="n">
        <v>0</v>
      </c>
      <c r="M2973" t="n">
        <v>0</v>
      </c>
      <c r="N2973" t="n">
        <v>0</v>
      </c>
      <c r="O2973" t="n">
        <v>0</v>
      </c>
      <c r="P2973" t="n">
        <v>0</v>
      </c>
      <c r="Q2973" t="n">
        <v>0</v>
      </c>
      <c r="R2973" s="2" t="inlineStr"/>
    </row>
    <row r="2974" ht="15" customHeight="1">
      <c r="A2974" t="inlineStr">
        <is>
          <t>A 21524-2020</t>
        </is>
      </c>
      <c r="B2974" s="1" t="n">
        <v>43951</v>
      </c>
      <c r="C2974" s="1" t="n">
        <v>45204</v>
      </c>
      <c r="D2974" t="inlineStr">
        <is>
          <t>VÄSTERBOTTENS LÄN</t>
        </is>
      </c>
      <c r="E2974" t="inlineStr">
        <is>
          <t>ROBERTSFORS</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21235-2020</t>
        </is>
      </c>
      <c r="B2975" s="1" t="n">
        <v>43952</v>
      </c>
      <c r="C2975" s="1" t="n">
        <v>45204</v>
      </c>
      <c r="D2975" t="inlineStr">
        <is>
          <t>VÄSTERBOTTENS LÄN</t>
        </is>
      </c>
      <c r="E2975" t="inlineStr">
        <is>
          <t>UMEÅ</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21245-2020</t>
        </is>
      </c>
      <c r="B2976" s="1" t="n">
        <v>43955</v>
      </c>
      <c r="C2976" s="1" t="n">
        <v>45204</v>
      </c>
      <c r="D2976" t="inlineStr">
        <is>
          <t>VÄSTERBOTTENS LÄN</t>
        </is>
      </c>
      <c r="E2976" t="inlineStr">
        <is>
          <t>ROBERTSFORS</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21398-2020</t>
        </is>
      </c>
      <c r="B2977" s="1" t="n">
        <v>43955</v>
      </c>
      <c r="C2977" s="1" t="n">
        <v>45204</v>
      </c>
      <c r="D2977" t="inlineStr">
        <is>
          <t>VÄSTERBOTTENS LÄN</t>
        </is>
      </c>
      <c r="E2977" t="inlineStr">
        <is>
          <t>DOROTEA</t>
        </is>
      </c>
      <c r="G2977" t="n">
        <v>17.4</v>
      </c>
      <c r="H2977" t="n">
        <v>0</v>
      </c>
      <c r="I2977" t="n">
        <v>0</v>
      </c>
      <c r="J2977" t="n">
        <v>0</v>
      </c>
      <c r="K2977" t="n">
        <v>0</v>
      </c>
      <c r="L2977" t="n">
        <v>0</v>
      </c>
      <c r="M2977" t="n">
        <v>0</v>
      </c>
      <c r="N2977" t="n">
        <v>0</v>
      </c>
      <c r="O2977" t="n">
        <v>0</v>
      </c>
      <c r="P2977" t="n">
        <v>0</v>
      </c>
      <c r="Q2977" t="n">
        <v>0</v>
      </c>
      <c r="R2977" s="2" t="inlineStr"/>
    </row>
    <row r="2978" ht="15" customHeight="1">
      <c r="A2978" t="inlineStr">
        <is>
          <t>A 21405-2020</t>
        </is>
      </c>
      <c r="B2978" s="1" t="n">
        <v>43955</v>
      </c>
      <c r="C2978" s="1" t="n">
        <v>45204</v>
      </c>
      <c r="D2978" t="inlineStr">
        <is>
          <t>VÄSTERBOTTENS LÄN</t>
        </is>
      </c>
      <c r="E2978" t="inlineStr">
        <is>
          <t>ROBERTSFORS</t>
        </is>
      </c>
      <c r="F2978" t="inlineStr">
        <is>
          <t>Holmen skog AB</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21288-2020</t>
        </is>
      </c>
      <c r="B2979" s="1" t="n">
        <v>43955</v>
      </c>
      <c r="C2979" s="1" t="n">
        <v>45204</v>
      </c>
      <c r="D2979" t="inlineStr">
        <is>
          <t>VÄSTERBOTTENS LÄN</t>
        </is>
      </c>
      <c r="E2979" t="inlineStr">
        <is>
          <t>UMEÅ</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22464-2020</t>
        </is>
      </c>
      <c r="B2980" s="1" t="n">
        <v>43958</v>
      </c>
      <c r="C2980" s="1" t="n">
        <v>45204</v>
      </c>
      <c r="D2980" t="inlineStr">
        <is>
          <t>VÄSTERBOTTENS LÄN</t>
        </is>
      </c>
      <c r="E2980" t="inlineStr">
        <is>
          <t>SORSELE</t>
        </is>
      </c>
      <c r="G2980" t="n">
        <v>12.2</v>
      </c>
      <c r="H2980" t="n">
        <v>0</v>
      </c>
      <c r="I2980" t="n">
        <v>0</v>
      </c>
      <c r="J2980" t="n">
        <v>0</v>
      </c>
      <c r="K2980" t="n">
        <v>0</v>
      </c>
      <c r="L2980" t="n">
        <v>0</v>
      </c>
      <c r="M2980" t="n">
        <v>0</v>
      </c>
      <c r="N2980" t="n">
        <v>0</v>
      </c>
      <c r="O2980" t="n">
        <v>0</v>
      </c>
      <c r="P2980" t="n">
        <v>0</v>
      </c>
      <c r="Q2980" t="n">
        <v>0</v>
      </c>
      <c r="R2980" s="2" t="inlineStr"/>
    </row>
    <row r="2981" ht="15" customHeight="1">
      <c r="A2981" t="inlineStr">
        <is>
          <t>A 22468-2020</t>
        </is>
      </c>
      <c r="B2981" s="1" t="n">
        <v>43958</v>
      </c>
      <c r="C2981" s="1" t="n">
        <v>45204</v>
      </c>
      <c r="D2981" t="inlineStr">
        <is>
          <t>VÄSTERBOTTENS LÄN</t>
        </is>
      </c>
      <c r="E2981" t="inlineStr">
        <is>
          <t>SORSELE</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22009-2020</t>
        </is>
      </c>
      <c r="B2982" s="1" t="n">
        <v>43959</v>
      </c>
      <c r="C2982" s="1" t="n">
        <v>45204</v>
      </c>
      <c r="D2982" t="inlineStr">
        <is>
          <t>VÄSTERBOTTENS LÄN</t>
        </is>
      </c>
      <c r="E2982" t="inlineStr">
        <is>
          <t>STORUMAN</t>
        </is>
      </c>
      <c r="F2982" t="inlineStr">
        <is>
          <t>Kommuner</t>
        </is>
      </c>
      <c r="G2982" t="n">
        <v>3.9</v>
      </c>
      <c r="H2982" t="n">
        <v>0</v>
      </c>
      <c r="I2982" t="n">
        <v>0</v>
      </c>
      <c r="J2982" t="n">
        <v>0</v>
      </c>
      <c r="K2982" t="n">
        <v>0</v>
      </c>
      <c r="L2982" t="n">
        <v>0</v>
      </c>
      <c r="M2982" t="n">
        <v>0</v>
      </c>
      <c r="N2982" t="n">
        <v>0</v>
      </c>
      <c r="O2982" t="n">
        <v>0</v>
      </c>
      <c r="P2982" t="n">
        <v>0</v>
      </c>
      <c r="Q2982" t="n">
        <v>0</v>
      </c>
      <c r="R2982" s="2" t="inlineStr"/>
    </row>
    <row r="2983" ht="15" customHeight="1">
      <c r="A2983" t="inlineStr">
        <is>
          <t>A 22030-2020</t>
        </is>
      </c>
      <c r="B2983" s="1" t="n">
        <v>43959</v>
      </c>
      <c r="C2983" s="1" t="n">
        <v>45204</v>
      </c>
      <c r="D2983" t="inlineStr">
        <is>
          <t>VÄSTERBOTTENS LÄN</t>
        </is>
      </c>
      <c r="E2983" t="inlineStr">
        <is>
          <t>UMEÅ</t>
        </is>
      </c>
      <c r="F2983" t="inlineStr">
        <is>
          <t>Holmen skog AB</t>
        </is>
      </c>
      <c r="G2983" t="n">
        <v>12.5</v>
      </c>
      <c r="H2983" t="n">
        <v>0</v>
      </c>
      <c r="I2983" t="n">
        <v>0</v>
      </c>
      <c r="J2983" t="n">
        <v>0</v>
      </c>
      <c r="K2983" t="n">
        <v>0</v>
      </c>
      <c r="L2983" t="n">
        <v>0</v>
      </c>
      <c r="M2983" t="n">
        <v>0</v>
      </c>
      <c r="N2983" t="n">
        <v>0</v>
      </c>
      <c r="O2983" t="n">
        <v>0</v>
      </c>
      <c r="P2983" t="n">
        <v>0</v>
      </c>
      <c r="Q2983" t="n">
        <v>0</v>
      </c>
      <c r="R2983" s="2" t="inlineStr"/>
    </row>
    <row r="2984" ht="15" customHeight="1">
      <c r="A2984" t="inlineStr">
        <is>
          <t>A 22529-2020</t>
        </is>
      </c>
      <c r="B2984" s="1" t="n">
        <v>43959</v>
      </c>
      <c r="C2984" s="1" t="n">
        <v>45204</v>
      </c>
      <c r="D2984" t="inlineStr">
        <is>
          <t>VÄSTERBOTTENS LÄN</t>
        </is>
      </c>
      <c r="E2984" t="inlineStr">
        <is>
          <t>STORUMAN</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22142-2020</t>
        </is>
      </c>
      <c r="B2985" s="1" t="n">
        <v>43961</v>
      </c>
      <c r="C2985" s="1" t="n">
        <v>45204</v>
      </c>
      <c r="D2985" t="inlineStr">
        <is>
          <t>VÄSTERBOTTENS LÄN</t>
        </is>
      </c>
      <c r="E2985" t="inlineStr">
        <is>
          <t>UMEÅ</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22145-2020</t>
        </is>
      </c>
      <c r="B2986" s="1" t="n">
        <v>43961</v>
      </c>
      <c r="C2986" s="1" t="n">
        <v>45204</v>
      </c>
      <c r="D2986" t="inlineStr">
        <is>
          <t>VÄSTERBOTTENS LÄN</t>
        </is>
      </c>
      <c r="E2986" t="inlineStr">
        <is>
          <t>ÅSELE</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22136-2020</t>
        </is>
      </c>
      <c r="B2987" s="1" t="n">
        <v>43961</v>
      </c>
      <c r="C2987" s="1" t="n">
        <v>45204</v>
      </c>
      <c r="D2987" t="inlineStr">
        <is>
          <t>VÄSTERBOTTENS LÄN</t>
        </is>
      </c>
      <c r="E2987" t="inlineStr">
        <is>
          <t>UMEÅ</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22159-2020</t>
        </is>
      </c>
      <c r="B2988" s="1" t="n">
        <v>43962</v>
      </c>
      <c r="C2988" s="1" t="n">
        <v>45204</v>
      </c>
      <c r="D2988" t="inlineStr">
        <is>
          <t>VÄSTERBOTTENS LÄN</t>
        </is>
      </c>
      <c r="E2988" t="inlineStr">
        <is>
          <t>ROBERTSFORS</t>
        </is>
      </c>
      <c r="F2988" t="inlineStr">
        <is>
          <t>Holmen skog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22436-2020</t>
        </is>
      </c>
      <c r="B2989" s="1" t="n">
        <v>43963</v>
      </c>
      <c r="C2989" s="1" t="n">
        <v>45204</v>
      </c>
      <c r="D2989" t="inlineStr">
        <is>
          <t>VÄSTERBOTTENS LÄN</t>
        </is>
      </c>
      <c r="E2989" t="inlineStr">
        <is>
          <t>UMEÅ</t>
        </is>
      </c>
      <c r="F2989" t="inlineStr">
        <is>
          <t>Holmen skog AB</t>
        </is>
      </c>
      <c r="G2989" t="n">
        <v>14.3</v>
      </c>
      <c r="H2989" t="n">
        <v>0</v>
      </c>
      <c r="I2989" t="n">
        <v>0</v>
      </c>
      <c r="J2989" t="n">
        <v>0</v>
      </c>
      <c r="K2989" t="n">
        <v>0</v>
      </c>
      <c r="L2989" t="n">
        <v>0</v>
      </c>
      <c r="M2989" t="n">
        <v>0</v>
      </c>
      <c r="N2989" t="n">
        <v>0</v>
      </c>
      <c r="O2989" t="n">
        <v>0</v>
      </c>
      <c r="P2989" t="n">
        <v>0</v>
      </c>
      <c r="Q2989" t="n">
        <v>0</v>
      </c>
      <c r="R2989" s="2" t="inlineStr"/>
    </row>
    <row r="2990" ht="15" customHeight="1">
      <c r="A2990" t="inlineStr">
        <is>
          <t>A 22451-2020</t>
        </is>
      </c>
      <c r="B2990" s="1" t="n">
        <v>43963</v>
      </c>
      <c r="C2990" s="1" t="n">
        <v>45204</v>
      </c>
      <c r="D2990" t="inlineStr">
        <is>
          <t>VÄSTERBOTTENS LÄN</t>
        </is>
      </c>
      <c r="E2990" t="inlineStr">
        <is>
          <t>SKELLEFTEÅ</t>
        </is>
      </c>
      <c r="G2990" t="n">
        <v>2.6</v>
      </c>
      <c r="H2990" t="n">
        <v>0</v>
      </c>
      <c r="I2990" t="n">
        <v>0</v>
      </c>
      <c r="J2990" t="n">
        <v>0</v>
      </c>
      <c r="K2990" t="n">
        <v>0</v>
      </c>
      <c r="L2990" t="n">
        <v>0</v>
      </c>
      <c r="M2990" t="n">
        <v>0</v>
      </c>
      <c r="N2990" t="n">
        <v>0</v>
      </c>
      <c r="O2990" t="n">
        <v>0</v>
      </c>
      <c r="P2990" t="n">
        <v>0</v>
      </c>
      <c r="Q2990" t="n">
        <v>0</v>
      </c>
      <c r="R2990" s="2" t="inlineStr"/>
    </row>
    <row r="2991" ht="15" customHeight="1">
      <c r="A2991" t="inlineStr">
        <is>
          <t>A 22423-2020</t>
        </is>
      </c>
      <c r="B2991" s="1" t="n">
        <v>43963</v>
      </c>
      <c r="C2991" s="1" t="n">
        <v>45204</v>
      </c>
      <c r="D2991" t="inlineStr">
        <is>
          <t>VÄSTERBOTTENS LÄN</t>
        </is>
      </c>
      <c r="E2991" t="inlineStr">
        <is>
          <t>UMEÅ</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22442-2020</t>
        </is>
      </c>
      <c r="B2992" s="1" t="n">
        <v>43963</v>
      </c>
      <c r="C2992" s="1" t="n">
        <v>45204</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22752-2020</t>
        </is>
      </c>
      <c r="B2993" s="1" t="n">
        <v>43963</v>
      </c>
      <c r="C2993" s="1" t="n">
        <v>45204</v>
      </c>
      <c r="D2993" t="inlineStr">
        <is>
          <t>VÄSTERBOTTENS LÄN</t>
        </is>
      </c>
      <c r="E2993" t="inlineStr">
        <is>
          <t>SKELLEFTEÅ</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22789-2020</t>
        </is>
      </c>
      <c r="B2994" s="1" t="n">
        <v>43964</v>
      </c>
      <c r="C2994" s="1" t="n">
        <v>45204</v>
      </c>
      <c r="D2994" t="inlineStr">
        <is>
          <t>VÄSTERBOTTENS LÄN</t>
        </is>
      </c>
      <c r="E2994" t="inlineStr">
        <is>
          <t>VILHELMINA</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22791-2020</t>
        </is>
      </c>
      <c r="B2995" s="1" t="n">
        <v>43964</v>
      </c>
      <c r="C2995" s="1" t="n">
        <v>45204</v>
      </c>
      <c r="D2995" t="inlineStr">
        <is>
          <t>VÄSTERBOTTENS LÄN</t>
        </is>
      </c>
      <c r="E2995" t="inlineStr">
        <is>
          <t>VILHELMINA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22865-2020</t>
        </is>
      </c>
      <c r="B2996" s="1" t="n">
        <v>43964</v>
      </c>
      <c r="C2996" s="1" t="n">
        <v>45204</v>
      </c>
      <c r="D2996" t="inlineStr">
        <is>
          <t>VÄSTERBOTTENS LÄN</t>
        </is>
      </c>
      <c r="E2996" t="inlineStr">
        <is>
          <t>VINDELN</t>
        </is>
      </c>
      <c r="G2996" t="n">
        <v>8.4</v>
      </c>
      <c r="H2996" t="n">
        <v>0</v>
      </c>
      <c r="I2996" t="n">
        <v>0</v>
      </c>
      <c r="J2996" t="n">
        <v>0</v>
      </c>
      <c r="K2996" t="n">
        <v>0</v>
      </c>
      <c r="L2996" t="n">
        <v>0</v>
      </c>
      <c r="M2996" t="n">
        <v>0</v>
      </c>
      <c r="N2996" t="n">
        <v>0</v>
      </c>
      <c r="O2996" t="n">
        <v>0</v>
      </c>
      <c r="P2996" t="n">
        <v>0</v>
      </c>
      <c r="Q2996" t="n">
        <v>0</v>
      </c>
      <c r="R2996" s="2" t="inlineStr"/>
    </row>
    <row r="2997" ht="15" customHeight="1">
      <c r="A2997" t="inlineStr">
        <is>
          <t>A 22975-2020</t>
        </is>
      </c>
      <c r="B2997" s="1" t="n">
        <v>43965</v>
      </c>
      <c r="C2997" s="1" t="n">
        <v>45204</v>
      </c>
      <c r="D2997" t="inlineStr">
        <is>
          <t>VÄSTERBOTTENS LÄN</t>
        </is>
      </c>
      <c r="E2997" t="inlineStr">
        <is>
          <t>UMEÅ</t>
        </is>
      </c>
      <c r="G2997" t="n">
        <v>27.5</v>
      </c>
      <c r="H2997" t="n">
        <v>0</v>
      </c>
      <c r="I2997" t="n">
        <v>0</v>
      </c>
      <c r="J2997" t="n">
        <v>0</v>
      </c>
      <c r="K2997" t="n">
        <v>0</v>
      </c>
      <c r="L2997" t="n">
        <v>0</v>
      </c>
      <c r="M2997" t="n">
        <v>0</v>
      </c>
      <c r="N2997" t="n">
        <v>0</v>
      </c>
      <c r="O2997" t="n">
        <v>0</v>
      </c>
      <c r="P2997" t="n">
        <v>0</v>
      </c>
      <c r="Q2997" t="n">
        <v>0</v>
      </c>
      <c r="R2997" s="2" t="inlineStr"/>
    </row>
    <row r="2998" ht="15" customHeight="1">
      <c r="A2998" t="inlineStr">
        <is>
          <t>A 23181-2020</t>
        </is>
      </c>
      <c r="B2998" s="1" t="n">
        <v>43965</v>
      </c>
      <c r="C2998" s="1" t="n">
        <v>45204</v>
      </c>
      <c r="D2998" t="inlineStr">
        <is>
          <t>VÄSTERBOTTENS LÄN</t>
        </is>
      </c>
      <c r="E2998" t="inlineStr">
        <is>
          <t>SKELLEFTEÅ</t>
        </is>
      </c>
      <c r="G2998" t="n">
        <v>8.1</v>
      </c>
      <c r="H2998" t="n">
        <v>0</v>
      </c>
      <c r="I2998" t="n">
        <v>0</v>
      </c>
      <c r="J2998" t="n">
        <v>0</v>
      </c>
      <c r="K2998" t="n">
        <v>0</v>
      </c>
      <c r="L2998" t="n">
        <v>0</v>
      </c>
      <c r="M2998" t="n">
        <v>0</v>
      </c>
      <c r="N2998" t="n">
        <v>0</v>
      </c>
      <c r="O2998" t="n">
        <v>0</v>
      </c>
      <c r="P2998" t="n">
        <v>0</v>
      </c>
      <c r="Q2998" t="n">
        <v>0</v>
      </c>
      <c r="R2998" s="2" t="inlineStr"/>
    </row>
    <row r="2999" ht="15" customHeight="1">
      <c r="A2999" t="inlineStr">
        <is>
          <t>A 23006-2020</t>
        </is>
      </c>
      <c r="B2999" s="1" t="n">
        <v>43965</v>
      </c>
      <c r="C2999" s="1" t="n">
        <v>45204</v>
      </c>
      <c r="D2999" t="inlineStr">
        <is>
          <t>VÄSTERBOTTENS LÄN</t>
        </is>
      </c>
      <c r="E2999" t="inlineStr">
        <is>
          <t>SKELLEFTEÅ</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23080-2020</t>
        </is>
      </c>
      <c r="B3000" s="1" t="n">
        <v>43965</v>
      </c>
      <c r="C3000" s="1" t="n">
        <v>45204</v>
      </c>
      <c r="D3000" t="inlineStr">
        <is>
          <t>VÄSTERBOTTENS LÄN</t>
        </is>
      </c>
      <c r="E3000" t="inlineStr">
        <is>
          <t>ROBERTSFORS</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23104-2020</t>
        </is>
      </c>
      <c r="B3001" s="1" t="n">
        <v>43965</v>
      </c>
      <c r="C3001" s="1" t="n">
        <v>45204</v>
      </c>
      <c r="D3001" t="inlineStr">
        <is>
          <t>VÄSTERBOTTENS LÄN</t>
        </is>
      </c>
      <c r="E3001" t="inlineStr">
        <is>
          <t>SORSELE</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22956-2020</t>
        </is>
      </c>
      <c r="B3002" s="1" t="n">
        <v>43965</v>
      </c>
      <c r="C3002" s="1" t="n">
        <v>45204</v>
      </c>
      <c r="D3002" t="inlineStr">
        <is>
          <t>VÄSTERBOTTENS LÄN</t>
        </is>
      </c>
      <c r="E3002" t="inlineStr">
        <is>
          <t>UMEÅ</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23106-2020</t>
        </is>
      </c>
      <c r="B3003" s="1" t="n">
        <v>43965</v>
      </c>
      <c r="C3003" s="1" t="n">
        <v>45204</v>
      </c>
      <c r="D3003" t="inlineStr">
        <is>
          <t>VÄSTERBOTTENS LÄN</t>
        </is>
      </c>
      <c r="E3003" t="inlineStr">
        <is>
          <t>UMEÅ</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23191-2020</t>
        </is>
      </c>
      <c r="B3004" s="1" t="n">
        <v>43965</v>
      </c>
      <c r="C3004" s="1" t="n">
        <v>45204</v>
      </c>
      <c r="D3004" t="inlineStr">
        <is>
          <t>VÄSTERBOTTENS LÄN</t>
        </is>
      </c>
      <c r="E3004" t="inlineStr">
        <is>
          <t>VINDELN</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23193-2020</t>
        </is>
      </c>
      <c r="B3005" s="1" t="n">
        <v>43966</v>
      </c>
      <c r="C3005" s="1" t="n">
        <v>45204</v>
      </c>
      <c r="D3005" t="inlineStr">
        <is>
          <t>VÄSTERBOTTENS LÄN</t>
        </is>
      </c>
      <c r="E3005" t="inlineStr">
        <is>
          <t>UMEÅ</t>
        </is>
      </c>
      <c r="F3005" t="inlineStr">
        <is>
          <t>Holmen skog AB</t>
        </is>
      </c>
      <c r="G3005" t="n">
        <v>25.9</v>
      </c>
      <c r="H3005" t="n">
        <v>0</v>
      </c>
      <c r="I3005" t="n">
        <v>0</v>
      </c>
      <c r="J3005" t="n">
        <v>0</v>
      </c>
      <c r="K3005" t="n">
        <v>0</v>
      </c>
      <c r="L3005" t="n">
        <v>0</v>
      </c>
      <c r="M3005" t="n">
        <v>0</v>
      </c>
      <c r="N3005" t="n">
        <v>0</v>
      </c>
      <c r="O3005" t="n">
        <v>0</v>
      </c>
      <c r="P3005" t="n">
        <v>0</v>
      </c>
      <c r="Q3005" t="n">
        <v>0</v>
      </c>
      <c r="R3005" s="2" t="inlineStr"/>
    </row>
    <row r="3006" ht="15" customHeight="1">
      <c r="A3006" t="inlineStr">
        <is>
          <t>A 23250-2020</t>
        </is>
      </c>
      <c r="B3006" s="1" t="n">
        <v>43966</v>
      </c>
      <c r="C3006" s="1" t="n">
        <v>45204</v>
      </c>
      <c r="D3006" t="inlineStr">
        <is>
          <t>VÄSTERBOTTENS LÄN</t>
        </is>
      </c>
      <c r="E3006" t="inlineStr">
        <is>
          <t>ROBERTSFORS</t>
        </is>
      </c>
      <c r="G3006" t="n">
        <v>6.1</v>
      </c>
      <c r="H3006" t="n">
        <v>0</v>
      </c>
      <c r="I3006" t="n">
        <v>0</v>
      </c>
      <c r="J3006" t="n">
        <v>0</v>
      </c>
      <c r="K3006" t="n">
        <v>0</v>
      </c>
      <c r="L3006" t="n">
        <v>0</v>
      </c>
      <c r="M3006" t="n">
        <v>0</v>
      </c>
      <c r="N3006" t="n">
        <v>0</v>
      </c>
      <c r="O3006" t="n">
        <v>0</v>
      </c>
      <c r="P3006" t="n">
        <v>0</v>
      </c>
      <c r="Q3006" t="n">
        <v>0</v>
      </c>
      <c r="R3006" s="2" t="inlineStr"/>
    </row>
    <row r="3007" ht="15" customHeight="1">
      <c r="A3007" t="inlineStr">
        <is>
          <t>A 23487-2020</t>
        </is>
      </c>
      <c r="B3007" s="1" t="n">
        <v>43966</v>
      </c>
      <c r="C3007" s="1" t="n">
        <v>45204</v>
      </c>
      <c r="D3007" t="inlineStr">
        <is>
          <t>VÄSTERBOTTENS LÄN</t>
        </is>
      </c>
      <c r="E3007" t="inlineStr">
        <is>
          <t>UMEÅ</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23489-2020</t>
        </is>
      </c>
      <c r="B3008" s="1" t="n">
        <v>43966</v>
      </c>
      <c r="C3008" s="1" t="n">
        <v>45204</v>
      </c>
      <c r="D3008" t="inlineStr">
        <is>
          <t>VÄSTERBOTTENS LÄN</t>
        </is>
      </c>
      <c r="E3008" t="inlineStr">
        <is>
          <t>UMEÅ</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23168-2020</t>
        </is>
      </c>
      <c r="B3009" s="1" t="n">
        <v>43966</v>
      </c>
      <c r="C3009" s="1" t="n">
        <v>45204</v>
      </c>
      <c r="D3009" t="inlineStr">
        <is>
          <t>VÄSTERBOTTENS LÄN</t>
        </is>
      </c>
      <c r="E3009" t="inlineStr">
        <is>
          <t>VILHELMINA</t>
        </is>
      </c>
      <c r="F3009" t="inlineStr">
        <is>
          <t>Övriga Aktiebolag</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23175-2020</t>
        </is>
      </c>
      <c r="B3010" s="1" t="n">
        <v>43966</v>
      </c>
      <c r="C3010" s="1" t="n">
        <v>45204</v>
      </c>
      <c r="D3010" t="inlineStr">
        <is>
          <t>VÄSTERBOTTENS LÄN</t>
        </is>
      </c>
      <c r="E3010" t="inlineStr">
        <is>
          <t>VILHELMINA</t>
        </is>
      </c>
      <c r="F3010" t="inlineStr">
        <is>
          <t>Övriga Aktiebolag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23431-2020</t>
        </is>
      </c>
      <c r="B3011" s="1" t="n">
        <v>43966</v>
      </c>
      <c r="C3011" s="1" t="n">
        <v>45204</v>
      </c>
      <c r="D3011" t="inlineStr">
        <is>
          <t>VÄSTERBOTTENS LÄN</t>
        </is>
      </c>
      <c r="E3011" t="inlineStr">
        <is>
          <t>NORSJÖ</t>
        </is>
      </c>
      <c r="G3011" t="n">
        <v>8.199999999999999</v>
      </c>
      <c r="H3011" t="n">
        <v>0</v>
      </c>
      <c r="I3011" t="n">
        <v>0</v>
      </c>
      <c r="J3011" t="n">
        <v>0</v>
      </c>
      <c r="K3011" t="n">
        <v>0</v>
      </c>
      <c r="L3011" t="n">
        <v>0</v>
      </c>
      <c r="M3011" t="n">
        <v>0</v>
      </c>
      <c r="N3011" t="n">
        <v>0</v>
      </c>
      <c r="O3011" t="n">
        <v>0</v>
      </c>
      <c r="P3011" t="n">
        <v>0</v>
      </c>
      <c r="Q3011" t="n">
        <v>0</v>
      </c>
      <c r="R3011" s="2" t="inlineStr"/>
    </row>
    <row r="3012" ht="15" customHeight="1">
      <c r="A3012" t="inlineStr">
        <is>
          <t>A 23522-2020</t>
        </is>
      </c>
      <c r="B3012" s="1" t="n">
        <v>43969</v>
      </c>
      <c r="C3012" s="1" t="n">
        <v>45204</v>
      </c>
      <c r="D3012" t="inlineStr">
        <is>
          <t>VÄSTERBOTTENS LÄN</t>
        </is>
      </c>
      <c r="E3012" t="inlineStr">
        <is>
          <t>SKELLEFTEÅ</t>
        </is>
      </c>
      <c r="G3012" t="n">
        <v>0.2</v>
      </c>
      <c r="H3012" t="n">
        <v>0</v>
      </c>
      <c r="I3012" t="n">
        <v>0</v>
      </c>
      <c r="J3012" t="n">
        <v>0</v>
      </c>
      <c r="K3012" t="n">
        <v>0</v>
      </c>
      <c r="L3012" t="n">
        <v>0</v>
      </c>
      <c r="M3012" t="n">
        <v>0</v>
      </c>
      <c r="N3012" t="n">
        <v>0</v>
      </c>
      <c r="O3012" t="n">
        <v>0</v>
      </c>
      <c r="P3012" t="n">
        <v>0</v>
      </c>
      <c r="Q3012" t="n">
        <v>0</v>
      </c>
      <c r="R3012" s="2" t="inlineStr"/>
    </row>
    <row r="3013" ht="15" customHeight="1">
      <c r="A3013" t="inlineStr">
        <is>
          <t>A 24280-2020</t>
        </is>
      </c>
      <c r="B3013" s="1" t="n">
        <v>43970</v>
      </c>
      <c r="C3013" s="1" t="n">
        <v>45204</v>
      </c>
      <c r="D3013" t="inlineStr">
        <is>
          <t>VÄSTERBOTTENS LÄN</t>
        </is>
      </c>
      <c r="E3013" t="inlineStr">
        <is>
          <t>SKELLEFTEÅ</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23672-2020</t>
        </is>
      </c>
      <c r="B3014" s="1" t="n">
        <v>43970</v>
      </c>
      <c r="C3014" s="1" t="n">
        <v>45204</v>
      </c>
      <c r="D3014" t="inlineStr">
        <is>
          <t>VÄSTERBOTTENS LÄN</t>
        </is>
      </c>
      <c r="E3014" t="inlineStr">
        <is>
          <t>SKELLEFTEÅ</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24276-2020</t>
        </is>
      </c>
      <c r="B3015" s="1" t="n">
        <v>43970</v>
      </c>
      <c r="C3015" s="1" t="n">
        <v>45204</v>
      </c>
      <c r="D3015" t="inlineStr">
        <is>
          <t>VÄSTERBOTTENS LÄN</t>
        </is>
      </c>
      <c r="E3015" t="inlineStr">
        <is>
          <t>SKELLEFTEÅ</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23730-2020</t>
        </is>
      </c>
      <c r="B3016" s="1" t="n">
        <v>43970</v>
      </c>
      <c r="C3016" s="1" t="n">
        <v>45204</v>
      </c>
      <c r="D3016" t="inlineStr">
        <is>
          <t>VÄSTERBOTTENS LÄN</t>
        </is>
      </c>
      <c r="E3016" t="inlineStr">
        <is>
          <t>ÅSELE</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23908-2020</t>
        </is>
      </c>
      <c r="B3017" s="1" t="n">
        <v>43970</v>
      </c>
      <c r="C3017" s="1" t="n">
        <v>45204</v>
      </c>
      <c r="D3017" t="inlineStr">
        <is>
          <t>VÄSTERBOTTENS LÄN</t>
        </is>
      </c>
      <c r="E3017" t="inlineStr">
        <is>
          <t>SKELLEFTEÅ</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24249-2020</t>
        </is>
      </c>
      <c r="B3018" s="1" t="n">
        <v>43970</v>
      </c>
      <c r="C3018" s="1" t="n">
        <v>45204</v>
      </c>
      <c r="D3018" t="inlineStr">
        <is>
          <t>VÄSTERBOTTENS LÄN</t>
        </is>
      </c>
      <c r="E3018" t="inlineStr">
        <is>
          <t>MALÅ</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24274-2020</t>
        </is>
      </c>
      <c r="B3019" s="1" t="n">
        <v>43970</v>
      </c>
      <c r="C3019" s="1" t="n">
        <v>45204</v>
      </c>
      <c r="D3019" t="inlineStr">
        <is>
          <t>VÄSTERBOTTENS LÄN</t>
        </is>
      </c>
      <c r="E3019" t="inlineStr">
        <is>
          <t>SKELLEFTEÅ</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23907-2020</t>
        </is>
      </c>
      <c r="B3020" s="1" t="n">
        <v>43970</v>
      </c>
      <c r="C3020" s="1" t="n">
        <v>45204</v>
      </c>
      <c r="D3020" t="inlineStr">
        <is>
          <t>VÄSTERBOTTENS LÄN</t>
        </is>
      </c>
      <c r="E3020" t="inlineStr">
        <is>
          <t>SKELLEFTEÅ</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24264-2020</t>
        </is>
      </c>
      <c r="B3021" s="1" t="n">
        <v>43970</v>
      </c>
      <c r="C3021" s="1" t="n">
        <v>45204</v>
      </c>
      <c r="D3021" t="inlineStr">
        <is>
          <t>VÄSTERBOTTENS LÄN</t>
        </is>
      </c>
      <c r="E3021" t="inlineStr">
        <is>
          <t>SKELLEFTEÅ</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23927-2020</t>
        </is>
      </c>
      <c r="B3022" s="1" t="n">
        <v>43971</v>
      </c>
      <c r="C3022" s="1" t="n">
        <v>45204</v>
      </c>
      <c r="D3022" t="inlineStr">
        <is>
          <t>VÄSTERBOTTENS LÄN</t>
        </is>
      </c>
      <c r="E3022" t="inlineStr">
        <is>
          <t>VINDELN</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24144-2020</t>
        </is>
      </c>
      <c r="B3023" s="1" t="n">
        <v>43973</v>
      </c>
      <c r="C3023" s="1" t="n">
        <v>45204</v>
      </c>
      <c r="D3023" t="inlineStr">
        <is>
          <t>VÄSTERBOTTENS LÄN</t>
        </is>
      </c>
      <c r="E3023" t="inlineStr">
        <is>
          <t>VINDELN</t>
        </is>
      </c>
      <c r="F3023" t="inlineStr">
        <is>
          <t>SCA</t>
        </is>
      </c>
      <c r="G3023" t="n">
        <v>3.8</v>
      </c>
      <c r="H3023" t="n">
        <v>0</v>
      </c>
      <c r="I3023" t="n">
        <v>0</v>
      </c>
      <c r="J3023" t="n">
        <v>0</v>
      </c>
      <c r="K3023" t="n">
        <v>0</v>
      </c>
      <c r="L3023" t="n">
        <v>0</v>
      </c>
      <c r="M3023" t="n">
        <v>0</v>
      </c>
      <c r="N3023" t="n">
        <v>0</v>
      </c>
      <c r="O3023" t="n">
        <v>0</v>
      </c>
      <c r="P3023" t="n">
        <v>0</v>
      </c>
      <c r="Q3023" t="n">
        <v>0</v>
      </c>
      <c r="R3023" s="2" t="inlineStr"/>
    </row>
    <row r="3024" ht="15" customHeight="1">
      <c r="A3024" t="inlineStr">
        <is>
          <t>A 24558-2020</t>
        </is>
      </c>
      <c r="B3024" s="1" t="n">
        <v>43976</v>
      </c>
      <c r="C3024" s="1" t="n">
        <v>45204</v>
      </c>
      <c r="D3024" t="inlineStr">
        <is>
          <t>VÄSTERBOTTENS LÄN</t>
        </is>
      </c>
      <c r="E3024" t="inlineStr">
        <is>
          <t>VINDELN</t>
        </is>
      </c>
      <c r="G3024" t="n">
        <v>2.8</v>
      </c>
      <c r="H3024" t="n">
        <v>0</v>
      </c>
      <c r="I3024" t="n">
        <v>0</v>
      </c>
      <c r="J3024" t="n">
        <v>0</v>
      </c>
      <c r="K3024" t="n">
        <v>0</v>
      </c>
      <c r="L3024" t="n">
        <v>0</v>
      </c>
      <c r="M3024" t="n">
        <v>0</v>
      </c>
      <c r="N3024" t="n">
        <v>0</v>
      </c>
      <c r="O3024" t="n">
        <v>0</v>
      </c>
      <c r="P3024" t="n">
        <v>0</v>
      </c>
      <c r="Q3024" t="n">
        <v>0</v>
      </c>
      <c r="R3024" s="2" t="inlineStr"/>
    </row>
    <row r="3025" ht="15" customHeight="1">
      <c r="A3025" t="inlineStr">
        <is>
          <t>A 24258-2020</t>
        </is>
      </c>
      <c r="B3025" s="1" t="n">
        <v>43976</v>
      </c>
      <c r="C3025" s="1" t="n">
        <v>45204</v>
      </c>
      <c r="D3025" t="inlineStr">
        <is>
          <t>VÄSTERBOTTENS LÄN</t>
        </is>
      </c>
      <c r="E3025" t="inlineStr">
        <is>
          <t>UMEÅ</t>
        </is>
      </c>
      <c r="F3025" t="inlineStr">
        <is>
          <t>Kommuner</t>
        </is>
      </c>
      <c r="G3025" t="n">
        <v>17.4</v>
      </c>
      <c r="H3025" t="n">
        <v>0</v>
      </c>
      <c r="I3025" t="n">
        <v>0</v>
      </c>
      <c r="J3025" t="n">
        <v>0</v>
      </c>
      <c r="K3025" t="n">
        <v>0</v>
      </c>
      <c r="L3025" t="n">
        <v>0</v>
      </c>
      <c r="M3025" t="n">
        <v>0</v>
      </c>
      <c r="N3025" t="n">
        <v>0</v>
      </c>
      <c r="O3025" t="n">
        <v>0</v>
      </c>
      <c r="P3025" t="n">
        <v>0</v>
      </c>
      <c r="Q3025" t="n">
        <v>0</v>
      </c>
      <c r="R3025" s="2" t="inlineStr"/>
    </row>
    <row r="3026" ht="15" customHeight="1">
      <c r="A3026" t="inlineStr">
        <is>
          <t>A 24432-2020</t>
        </is>
      </c>
      <c r="B3026" s="1" t="n">
        <v>43976</v>
      </c>
      <c r="C3026" s="1" t="n">
        <v>45204</v>
      </c>
      <c r="D3026" t="inlineStr">
        <is>
          <t>VÄSTERBOTTENS LÄN</t>
        </is>
      </c>
      <c r="E3026" t="inlineStr">
        <is>
          <t>VINDELN</t>
        </is>
      </c>
      <c r="F3026" t="inlineStr">
        <is>
          <t>SCA</t>
        </is>
      </c>
      <c r="G3026" t="n">
        <v>11.5</v>
      </c>
      <c r="H3026" t="n">
        <v>0</v>
      </c>
      <c r="I3026" t="n">
        <v>0</v>
      </c>
      <c r="J3026" t="n">
        <v>0</v>
      </c>
      <c r="K3026" t="n">
        <v>0</v>
      </c>
      <c r="L3026" t="n">
        <v>0</v>
      </c>
      <c r="M3026" t="n">
        <v>0</v>
      </c>
      <c r="N3026" t="n">
        <v>0</v>
      </c>
      <c r="O3026" t="n">
        <v>0</v>
      </c>
      <c r="P3026" t="n">
        <v>0</v>
      </c>
      <c r="Q3026" t="n">
        <v>0</v>
      </c>
      <c r="R3026" s="2" t="inlineStr"/>
    </row>
    <row r="3027" ht="15" customHeight="1">
      <c r="A3027" t="inlineStr">
        <is>
          <t>A 24469-2020</t>
        </is>
      </c>
      <c r="B3027" s="1" t="n">
        <v>43976</v>
      </c>
      <c r="C3027" s="1" t="n">
        <v>45204</v>
      </c>
      <c r="D3027" t="inlineStr">
        <is>
          <t>VÄSTERBOTTENS LÄN</t>
        </is>
      </c>
      <c r="E3027" t="inlineStr">
        <is>
          <t>ROBERTSFORS</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24543-2020</t>
        </is>
      </c>
      <c r="B3028" s="1" t="n">
        <v>43977</v>
      </c>
      <c r="C3028" s="1" t="n">
        <v>45204</v>
      </c>
      <c r="D3028" t="inlineStr">
        <is>
          <t>VÄSTERBOTTENS LÄN</t>
        </is>
      </c>
      <c r="E3028" t="inlineStr">
        <is>
          <t>SKELLEFTEÅ</t>
        </is>
      </c>
      <c r="F3028" t="inlineStr">
        <is>
          <t>Holmen skog AB</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24985-2020</t>
        </is>
      </c>
      <c r="B3029" s="1" t="n">
        <v>43977</v>
      </c>
      <c r="C3029" s="1" t="n">
        <v>45204</v>
      </c>
      <c r="D3029" t="inlineStr">
        <is>
          <t>VÄSTERBOTTENS LÄN</t>
        </is>
      </c>
      <c r="E3029" t="inlineStr">
        <is>
          <t>VILHELMINA</t>
        </is>
      </c>
      <c r="F3029" t="inlineStr">
        <is>
          <t>Övriga statliga verk och myndigheter</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24680-2020</t>
        </is>
      </c>
      <c r="B3030" s="1" t="n">
        <v>43978</v>
      </c>
      <c r="C3030" s="1" t="n">
        <v>45204</v>
      </c>
      <c r="D3030" t="inlineStr">
        <is>
          <t>VÄSTERBOTTENS LÄN</t>
        </is>
      </c>
      <c r="E3030" t="inlineStr">
        <is>
          <t>ROBERTSFORS</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24820-2020</t>
        </is>
      </c>
      <c r="B3031" s="1" t="n">
        <v>43978</v>
      </c>
      <c r="C3031" s="1" t="n">
        <v>45204</v>
      </c>
      <c r="D3031" t="inlineStr">
        <is>
          <t>VÄSTERBOTTENS LÄN</t>
        </is>
      </c>
      <c r="E3031" t="inlineStr">
        <is>
          <t>ROBERTSFORS</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25161-2020</t>
        </is>
      </c>
      <c r="B3032" s="1" t="n">
        <v>43978</v>
      </c>
      <c r="C3032" s="1" t="n">
        <v>45204</v>
      </c>
      <c r="D3032" t="inlineStr">
        <is>
          <t>VÄSTERBOTTENS LÄN</t>
        </is>
      </c>
      <c r="E3032" t="inlineStr">
        <is>
          <t>SKELLEFTEÅ</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24683-2020</t>
        </is>
      </c>
      <c r="B3033" s="1" t="n">
        <v>43978</v>
      </c>
      <c r="C3033" s="1" t="n">
        <v>45204</v>
      </c>
      <c r="D3033" t="inlineStr">
        <is>
          <t>VÄSTERBOTTENS LÄN</t>
        </is>
      </c>
      <c r="E3033" t="inlineStr">
        <is>
          <t>ROBERTSFORS</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25142-2020</t>
        </is>
      </c>
      <c r="B3034" s="1" t="n">
        <v>43978</v>
      </c>
      <c r="C3034" s="1" t="n">
        <v>45204</v>
      </c>
      <c r="D3034" t="inlineStr">
        <is>
          <t>VÄSTERBOTTENS LÄN</t>
        </is>
      </c>
      <c r="E3034" t="inlineStr">
        <is>
          <t>SKELLEFTEÅ</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24715-2020</t>
        </is>
      </c>
      <c r="B3035" s="1" t="n">
        <v>43978</v>
      </c>
      <c r="C3035" s="1" t="n">
        <v>45204</v>
      </c>
      <c r="D3035" t="inlineStr">
        <is>
          <t>VÄSTERBOTTENS LÄN</t>
        </is>
      </c>
      <c r="E3035" t="inlineStr">
        <is>
          <t>UMEÅ</t>
        </is>
      </c>
      <c r="F3035" t="inlineStr">
        <is>
          <t>Holmen skog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25051-2020</t>
        </is>
      </c>
      <c r="B3036" s="1" t="n">
        <v>43979</v>
      </c>
      <c r="C3036" s="1" t="n">
        <v>45204</v>
      </c>
      <c r="D3036" t="inlineStr">
        <is>
          <t>VÄSTERBOTTENS LÄN</t>
        </is>
      </c>
      <c r="E3036" t="inlineStr">
        <is>
          <t>SKELLEFTEÅ</t>
        </is>
      </c>
      <c r="F3036" t="inlineStr">
        <is>
          <t>Holmen skog AB</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24923-2020</t>
        </is>
      </c>
      <c r="B3037" s="1" t="n">
        <v>43979</v>
      </c>
      <c r="C3037" s="1" t="n">
        <v>45204</v>
      </c>
      <c r="D3037" t="inlineStr">
        <is>
          <t>VÄSTERBOTTENS LÄN</t>
        </is>
      </c>
      <c r="E3037" t="inlineStr">
        <is>
          <t>ROBERTSFORS</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25147-2020</t>
        </is>
      </c>
      <c r="B3038" s="1" t="n">
        <v>43980</v>
      </c>
      <c r="C3038" s="1" t="n">
        <v>45204</v>
      </c>
      <c r="D3038" t="inlineStr">
        <is>
          <t>VÄSTERBOTTENS LÄN</t>
        </is>
      </c>
      <c r="E3038" t="inlineStr">
        <is>
          <t>ROBERTSFORS</t>
        </is>
      </c>
      <c r="F3038" t="inlineStr">
        <is>
          <t>Holmen skog AB</t>
        </is>
      </c>
      <c r="G3038" t="n">
        <v>8.1</v>
      </c>
      <c r="H3038" t="n">
        <v>0</v>
      </c>
      <c r="I3038" t="n">
        <v>0</v>
      </c>
      <c r="J3038" t="n">
        <v>0</v>
      </c>
      <c r="K3038" t="n">
        <v>0</v>
      </c>
      <c r="L3038" t="n">
        <v>0</v>
      </c>
      <c r="M3038" t="n">
        <v>0</v>
      </c>
      <c r="N3038" t="n">
        <v>0</v>
      </c>
      <c r="O3038" t="n">
        <v>0</v>
      </c>
      <c r="P3038" t="n">
        <v>0</v>
      </c>
      <c r="Q3038" t="n">
        <v>0</v>
      </c>
      <c r="R3038" s="2" t="inlineStr"/>
    </row>
    <row r="3039" ht="15" customHeight="1">
      <c r="A3039" t="inlineStr">
        <is>
          <t>A 25186-2020</t>
        </is>
      </c>
      <c r="B3039" s="1" t="n">
        <v>43980</v>
      </c>
      <c r="C3039" s="1" t="n">
        <v>45204</v>
      </c>
      <c r="D3039" t="inlineStr">
        <is>
          <t>VÄSTERBOTTENS LÄN</t>
        </is>
      </c>
      <c r="E3039" t="inlineStr">
        <is>
          <t>ÅSELE</t>
        </is>
      </c>
      <c r="F3039" t="inlineStr">
        <is>
          <t>Holmen skog AB</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25244-2020</t>
        </is>
      </c>
      <c r="B3040" s="1" t="n">
        <v>43980</v>
      </c>
      <c r="C3040" s="1" t="n">
        <v>45204</v>
      </c>
      <c r="D3040" t="inlineStr">
        <is>
          <t>VÄSTERBOTTENS LÄN</t>
        </is>
      </c>
      <c r="E3040" t="inlineStr">
        <is>
          <t>BJURHOLM</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25178-2020</t>
        </is>
      </c>
      <c r="B3041" s="1" t="n">
        <v>43980</v>
      </c>
      <c r="C3041" s="1" t="n">
        <v>45204</v>
      </c>
      <c r="D3041" t="inlineStr">
        <is>
          <t>VÄSTERBOTTENS LÄN</t>
        </is>
      </c>
      <c r="E3041" t="inlineStr">
        <is>
          <t>UMEÅ</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25258-2020</t>
        </is>
      </c>
      <c r="B3042" s="1" t="n">
        <v>43980</v>
      </c>
      <c r="C3042" s="1" t="n">
        <v>45204</v>
      </c>
      <c r="D3042" t="inlineStr">
        <is>
          <t>VÄSTERBOTTENS LÄN</t>
        </is>
      </c>
      <c r="E3042" t="inlineStr">
        <is>
          <t>LYCKSELE</t>
        </is>
      </c>
      <c r="F3042" t="inlineStr">
        <is>
          <t>Holmen skog AB</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25435-2020</t>
        </is>
      </c>
      <c r="B3043" s="1" t="n">
        <v>43980</v>
      </c>
      <c r="C3043" s="1" t="n">
        <v>45204</v>
      </c>
      <c r="D3043" t="inlineStr">
        <is>
          <t>VÄSTERBOTTENS LÄN</t>
        </is>
      </c>
      <c r="E3043" t="inlineStr">
        <is>
          <t>ÅSELE</t>
        </is>
      </c>
      <c r="F3043" t="inlineStr">
        <is>
          <t>Holmen skog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25473-2020</t>
        </is>
      </c>
      <c r="B3044" s="1" t="n">
        <v>43983</v>
      </c>
      <c r="C3044" s="1" t="n">
        <v>45204</v>
      </c>
      <c r="D3044" t="inlineStr">
        <is>
          <t>VÄSTERBOTTENS LÄN</t>
        </is>
      </c>
      <c r="E3044" t="inlineStr">
        <is>
          <t>SKELLEFTEÅ</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25498-2020</t>
        </is>
      </c>
      <c r="B3045" s="1" t="n">
        <v>43983</v>
      </c>
      <c r="C3045" s="1" t="n">
        <v>45204</v>
      </c>
      <c r="D3045" t="inlineStr">
        <is>
          <t>VÄSTERBOTTENS LÄN</t>
        </is>
      </c>
      <c r="E3045" t="inlineStr">
        <is>
          <t>VILHELMINA</t>
        </is>
      </c>
      <c r="F3045" t="inlineStr">
        <is>
          <t>Allmännings- och besparingsskogar</t>
        </is>
      </c>
      <c r="G3045" t="n">
        <v>22.6</v>
      </c>
      <c r="H3045" t="n">
        <v>0</v>
      </c>
      <c r="I3045" t="n">
        <v>0</v>
      </c>
      <c r="J3045" t="n">
        <v>0</v>
      </c>
      <c r="K3045" t="n">
        <v>0</v>
      </c>
      <c r="L3045" t="n">
        <v>0</v>
      </c>
      <c r="M3045" t="n">
        <v>0</v>
      </c>
      <c r="N3045" t="n">
        <v>0</v>
      </c>
      <c r="O3045" t="n">
        <v>0</v>
      </c>
      <c r="P3045" t="n">
        <v>0</v>
      </c>
      <c r="Q3045" t="n">
        <v>0</v>
      </c>
      <c r="R3045" s="2" t="inlineStr"/>
    </row>
    <row r="3046" ht="15" customHeight="1">
      <c r="A3046" t="inlineStr">
        <is>
          <t>A 25512-2020</t>
        </is>
      </c>
      <c r="B3046" s="1" t="n">
        <v>43983</v>
      </c>
      <c r="C3046" s="1" t="n">
        <v>45204</v>
      </c>
      <c r="D3046" t="inlineStr">
        <is>
          <t>VÄSTERBOTTENS LÄN</t>
        </is>
      </c>
      <c r="E3046" t="inlineStr">
        <is>
          <t>MALÅ</t>
        </is>
      </c>
      <c r="F3046" t="inlineStr">
        <is>
          <t>Sveaskog</t>
        </is>
      </c>
      <c r="G3046" t="n">
        <v>15.2</v>
      </c>
      <c r="H3046" t="n">
        <v>0</v>
      </c>
      <c r="I3046" t="n">
        <v>0</v>
      </c>
      <c r="J3046" t="n">
        <v>0</v>
      </c>
      <c r="K3046" t="n">
        <v>0</v>
      </c>
      <c r="L3046" t="n">
        <v>0</v>
      </c>
      <c r="M3046" t="n">
        <v>0</v>
      </c>
      <c r="N3046" t="n">
        <v>0</v>
      </c>
      <c r="O3046" t="n">
        <v>0</v>
      </c>
      <c r="P3046" t="n">
        <v>0</v>
      </c>
      <c r="Q3046" t="n">
        <v>0</v>
      </c>
      <c r="R3046" s="2" t="inlineStr"/>
    </row>
    <row r="3047" ht="15" customHeight="1">
      <c r="A3047" t="inlineStr">
        <is>
          <t>A 25608-2020</t>
        </is>
      </c>
      <c r="B3047" s="1" t="n">
        <v>43983</v>
      </c>
      <c r="C3047" s="1" t="n">
        <v>45204</v>
      </c>
      <c r="D3047" t="inlineStr">
        <is>
          <t>VÄSTERBOTTENS LÄN</t>
        </is>
      </c>
      <c r="E3047" t="inlineStr">
        <is>
          <t>LYCKSELE</t>
        </is>
      </c>
      <c r="F3047" t="inlineStr">
        <is>
          <t>Holmen skog AB</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25682-2020</t>
        </is>
      </c>
      <c r="B3048" s="1" t="n">
        <v>43983</v>
      </c>
      <c r="C3048" s="1" t="n">
        <v>45204</v>
      </c>
      <c r="D3048" t="inlineStr">
        <is>
          <t>VÄSTERBOTTENS LÄN</t>
        </is>
      </c>
      <c r="E3048" t="inlineStr">
        <is>
          <t>SKELLEFTEÅ</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25491-2020</t>
        </is>
      </c>
      <c r="B3049" s="1" t="n">
        <v>43983</v>
      </c>
      <c r="C3049" s="1" t="n">
        <v>45204</v>
      </c>
      <c r="D3049" t="inlineStr">
        <is>
          <t>VÄSTERBOTTENS LÄN</t>
        </is>
      </c>
      <c r="E3049" t="inlineStr">
        <is>
          <t>VILHELMINA</t>
        </is>
      </c>
      <c r="F3049" t="inlineStr">
        <is>
          <t>Allmännings- och besparingsskogar</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25674-2020</t>
        </is>
      </c>
      <c r="B3050" s="1" t="n">
        <v>43983</v>
      </c>
      <c r="C3050" s="1" t="n">
        <v>45204</v>
      </c>
      <c r="D3050" t="inlineStr">
        <is>
          <t>VÄSTERBOTTENS LÄN</t>
        </is>
      </c>
      <c r="E3050" t="inlineStr">
        <is>
          <t>STORUMAN</t>
        </is>
      </c>
      <c r="G3050" t="n">
        <v>0.3</v>
      </c>
      <c r="H3050" t="n">
        <v>0</v>
      </c>
      <c r="I3050" t="n">
        <v>0</v>
      </c>
      <c r="J3050" t="n">
        <v>0</v>
      </c>
      <c r="K3050" t="n">
        <v>0</v>
      </c>
      <c r="L3050" t="n">
        <v>0</v>
      </c>
      <c r="M3050" t="n">
        <v>0</v>
      </c>
      <c r="N3050" t="n">
        <v>0</v>
      </c>
      <c r="O3050" t="n">
        <v>0</v>
      </c>
      <c r="P3050" t="n">
        <v>0</v>
      </c>
      <c r="Q3050" t="n">
        <v>0</v>
      </c>
      <c r="R3050" s="2" t="inlineStr"/>
    </row>
    <row r="3051" ht="15" customHeight="1">
      <c r="A3051" t="inlineStr">
        <is>
          <t>A 25452-2020</t>
        </is>
      </c>
      <c r="B3051" s="1" t="n">
        <v>43983</v>
      </c>
      <c r="C3051" s="1" t="n">
        <v>45204</v>
      </c>
      <c r="D3051" t="inlineStr">
        <is>
          <t>VÄSTERBOTTENS LÄN</t>
        </is>
      </c>
      <c r="E3051" t="inlineStr">
        <is>
          <t>ÅSELE</t>
        </is>
      </c>
      <c r="F3051" t="inlineStr">
        <is>
          <t>Sveaskog</t>
        </is>
      </c>
      <c r="G3051" t="n">
        <v>8.300000000000001</v>
      </c>
      <c r="H3051" t="n">
        <v>0</v>
      </c>
      <c r="I3051" t="n">
        <v>0</v>
      </c>
      <c r="J3051" t="n">
        <v>0</v>
      </c>
      <c r="K3051" t="n">
        <v>0</v>
      </c>
      <c r="L3051" t="n">
        <v>0</v>
      </c>
      <c r="M3051" t="n">
        <v>0</v>
      </c>
      <c r="N3051" t="n">
        <v>0</v>
      </c>
      <c r="O3051" t="n">
        <v>0</v>
      </c>
      <c r="P3051" t="n">
        <v>0</v>
      </c>
      <c r="Q3051" t="n">
        <v>0</v>
      </c>
      <c r="R3051" s="2" t="inlineStr"/>
    </row>
    <row r="3052" ht="15" customHeight="1">
      <c r="A3052" t="inlineStr">
        <is>
          <t>A 25839-2020</t>
        </is>
      </c>
      <c r="B3052" s="1" t="n">
        <v>43983</v>
      </c>
      <c r="C3052" s="1" t="n">
        <v>45204</v>
      </c>
      <c r="D3052" t="inlineStr">
        <is>
          <t>VÄSTERBOTTENS LÄN</t>
        </is>
      </c>
      <c r="E3052" t="inlineStr">
        <is>
          <t>ROBERTSFORS</t>
        </is>
      </c>
      <c r="G3052" t="n">
        <v>3.6</v>
      </c>
      <c r="H3052" t="n">
        <v>0</v>
      </c>
      <c r="I3052" t="n">
        <v>0</v>
      </c>
      <c r="J3052" t="n">
        <v>0</v>
      </c>
      <c r="K3052" t="n">
        <v>0</v>
      </c>
      <c r="L3052" t="n">
        <v>0</v>
      </c>
      <c r="M3052" t="n">
        <v>0</v>
      </c>
      <c r="N3052" t="n">
        <v>0</v>
      </c>
      <c r="O3052" t="n">
        <v>0</v>
      </c>
      <c r="P3052" t="n">
        <v>0</v>
      </c>
      <c r="Q3052" t="n">
        <v>0</v>
      </c>
      <c r="R3052" s="2" t="inlineStr"/>
    </row>
    <row r="3053" ht="15" customHeight="1">
      <c r="A3053" t="inlineStr">
        <is>
          <t>A 25865-2020</t>
        </is>
      </c>
      <c r="B3053" s="1" t="n">
        <v>43983</v>
      </c>
      <c r="C3053" s="1" t="n">
        <v>45204</v>
      </c>
      <c r="D3053" t="inlineStr">
        <is>
          <t>VÄSTERBOTTENS LÄN</t>
        </is>
      </c>
      <c r="E3053" t="inlineStr">
        <is>
          <t>MALÅ</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25695-2020</t>
        </is>
      </c>
      <c r="B3054" s="1" t="n">
        <v>43984</v>
      </c>
      <c r="C3054" s="1" t="n">
        <v>45204</v>
      </c>
      <c r="D3054" t="inlineStr">
        <is>
          <t>VÄSTERBOTTENS LÄN</t>
        </is>
      </c>
      <c r="E3054" t="inlineStr">
        <is>
          <t>SKELLEFTEÅ</t>
        </is>
      </c>
      <c r="G3054" t="n">
        <v>15.3</v>
      </c>
      <c r="H3054" t="n">
        <v>0</v>
      </c>
      <c r="I3054" t="n">
        <v>0</v>
      </c>
      <c r="J3054" t="n">
        <v>0</v>
      </c>
      <c r="K3054" t="n">
        <v>0</v>
      </c>
      <c r="L3054" t="n">
        <v>0</v>
      </c>
      <c r="M3054" t="n">
        <v>0</v>
      </c>
      <c r="N3054" t="n">
        <v>0</v>
      </c>
      <c r="O3054" t="n">
        <v>0</v>
      </c>
      <c r="P3054" t="n">
        <v>0</v>
      </c>
      <c r="Q3054" t="n">
        <v>0</v>
      </c>
      <c r="R3054" s="2" t="inlineStr"/>
    </row>
    <row r="3055" ht="15" customHeight="1">
      <c r="A3055" t="inlineStr">
        <is>
          <t>A 25883-2020</t>
        </is>
      </c>
      <c r="B3055" s="1" t="n">
        <v>43984</v>
      </c>
      <c r="C3055" s="1" t="n">
        <v>45204</v>
      </c>
      <c r="D3055" t="inlineStr">
        <is>
          <t>VÄSTERBOTTENS LÄN</t>
        </is>
      </c>
      <c r="E3055" t="inlineStr">
        <is>
          <t>BJURHOLM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25916-2020</t>
        </is>
      </c>
      <c r="B3056" s="1" t="n">
        <v>43984</v>
      </c>
      <c r="C3056" s="1" t="n">
        <v>45204</v>
      </c>
      <c r="D3056" t="inlineStr">
        <is>
          <t>VÄSTERBOTTENS LÄN</t>
        </is>
      </c>
      <c r="E3056" t="inlineStr">
        <is>
          <t>LYCKSELE</t>
        </is>
      </c>
      <c r="F3056" t="inlineStr">
        <is>
          <t>SCA</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25858-2020</t>
        </is>
      </c>
      <c r="B3057" s="1" t="n">
        <v>43984</v>
      </c>
      <c r="C3057" s="1" t="n">
        <v>45204</v>
      </c>
      <c r="D3057" t="inlineStr">
        <is>
          <t>VÄSTERBOTTENS LÄN</t>
        </is>
      </c>
      <c r="E3057" t="inlineStr">
        <is>
          <t>SKELLEFTEÅ</t>
        </is>
      </c>
      <c r="F3057" t="inlineStr">
        <is>
          <t>Sveaskog</t>
        </is>
      </c>
      <c r="G3057" t="n">
        <v>9.300000000000001</v>
      </c>
      <c r="H3057" t="n">
        <v>0</v>
      </c>
      <c r="I3057" t="n">
        <v>0</v>
      </c>
      <c r="J3057" t="n">
        <v>0</v>
      </c>
      <c r="K3057" t="n">
        <v>0</v>
      </c>
      <c r="L3057" t="n">
        <v>0</v>
      </c>
      <c r="M3057" t="n">
        <v>0</v>
      </c>
      <c r="N3057" t="n">
        <v>0</v>
      </c>
      <c r="O3057" t="n">
        <v>0</v>
      </c>
      <c r="P3057" t="n">
        <v>0</v>
      </c>
      <c r="Q3057" t="n">
        <v>0</v>
      </c>
      <c r="R3057" s="2" t="inlineStr"/>
    </row>
    <row r="3058" ht="15" customHeight="1">
      <c r="A3058" t="inlineStr">
        <is>
          <t>A 25908-2020</t>
        </is>
      </c>
      <c r="B3058" s="1" t="n">
        <v>43984</v>
      </c>
      <c r="C3058" s="1" t="n">
        <v>45204</v>
      </c>
      <c r="D3058" t="inlineStr">
        <is>
          <t>VÄSTERBOTTENS LÄN</t>
        </is>
      </c>
      <c r="E3058" t="inlineStr">
        <is>
          <t>NORDMALING</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25972-2020</t>
        </is>
      </c>
      <c r="B3059" s="1" t="n">
        <v>43984</v>
      </c>
      <c r="C3059" s="1" t="n">
        <v>45204</v>
      </c>
      <c r="D3059" t="inlineStr">
        <is>
          <t>VÄSTERBOTTENS LÄN</t>
        </is>
      </c>
      <c r="E3059" t="inlineStr">
        <is>
          <t>ROBERTSFORS</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26089-2020</t>
        </is>
      </c>
      <c r="B3060" s="1" t="n">
        <v>43984</v>
      </c>
      <c r="C3060" s="1" t="n">
        <v>45204</v>
      </c>
      <c r="D3060" t="inlineStr">
        <is>
          <t>VÄSTERBOTTENS LÄN</t>
        </is>
      </c>
      <c r="E3060" t="inlineStr">
        <is>
          <t>SKELLEFTEÅ</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26014-2020</t>
        </is>
      </c>
      <c r="B3061" s="1" t="n">
        <v>43985</v>
      </c>
      <c r="C3061" s="1" t="n">
        <v>45204</v>
      </c>
      <c r="D3061" t="inlineStr">
        <is>
          <t>VÄSTERBOTTENS LÄN</t>
        </is>
      </c>
      <c r="E3061" t="inlineStr">
        <is>
          <t>ROBERTSFORS</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26096-2020</t>
        </is>
      </c>
      <c r="B3062" s="1" t="n">
        <v>43985</v>
      </c>
      <c r="C3062" s="1" t="n">
        <v>45204</v>
      </c>
      <c r="D3062" t="inlineStr">
        <is>
          <t>VÄSTERBOTTENS LÄN</t>
        </is>
      </c>
      <c r="E3062" t="inlineStr">
        <is>
          <t>LYCKSELE</t>
        </is>
      </c>
      <c r="F3062" t="inlineStr">
        <is>
          <t>Holmen skog AB</t>
        </is>
      </c>
      <c r="G3062" t="n">
        <v>9.800000000000001</v>
      </c>
      <c r="H3062" t="n">
        <v>0</v>
      </c>
      <c r="I3062" t="n">
        <v>0</v>
      </c>
      <c r="J3062" t="n">
        <v>0</v>
      </c>
      <c r="K3062" t="n">
        <v>0</v>
      </c>
      <c r="L3062" t="n">
        <v>0</v>
      </c>
      <c r="M3062" t="n">
        <v>0</v>
      </c>
      <c r="N3062" t="n">
        <v>0</v>
      </c>
      <c r="O3062" t="n">
        <v>0</v>
      </c>
      <c r="P3062" t="n">
        <v>0</v>
      </c>
      <c r="Q3062" t="n">
        <v>0</v>
      </c>
      <c r="R3062" s="2" t="inlineStr"/>
    </row>
    <row r="3063" ht="15" customHeight="1">
      <c r="A3063" t="inlineStr">
        <is>
          <t>A 25968-2020</t>
        </is>
      </c>
      <c r="B3063" s="1" t="n">
        <v>43985</v>
      </c>
      <c r="C3063" s="1" t="n">
        <v>45204</v>
      </c>
      <c r="D3063" t="inlineStr">
        <is>
          <t>VÄSTERBOTTENS LÄN</t>
        </is>
      </c>
      <c r="E3063" t="inlineStr">
        <is>
          <t>SKELLEFTEÅ</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27094-2020</t>
        </is>
      </c>
      <c r="B3064" s="1" t="n">
        <v>43985</v>
      </c>
      <c r="C3064" s="1" t="n">
        <v>45204</v>
      </c>
      <c r="D3064" t="inlineStr">
        <is>
          <t>VÄSTERBOTTENS LÄN</t>
        </is>
      </c>
      <c r="E3064" t="inlineStr">
        <is>
          <t>LYCKSELE</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26082-2020</t>
        </is>
      </c>
      <c r="B3065" s="1" t="n">
        <v>43985</v>
      </c>
      <c r="C3065" s="1" t="n">
        <v>45204</v>
      </c>
      <c r="D3065" t="inlineStr">
        <is>
          <t>VÄSTERBOTTENS LÄN</t>
        </is>
      </c>
      <c r="E3065" t="inlineStr">
        <is>
          <t>LYCKSELE</t>
        </is>
      </c>
      <c r="G3065" t="n">
        <v>7.4</v>
      </c>
      <c r="H3065" t="n">
        <v>0</v>
      </c>
      <c r="I3065" t="n">
        <v>0</v>
      </c>
      <c r="J3065" t="n">
        <v>0</v>
      </c>
      <c r="K3065" t="n">
        <v>0</v>
      </c>
      <c r="L3065" t="n">
        <v>0</v>
      </c>
      <c r="M3065" t="n">
        <v>0</v>
      </c>
      <c r="N3065" t="n">
        <v>0</v>
      </c>
      <c r="O3065" t="n">
        <v>0</v>
      </c>
      <c r="P3065" t="n">
        <v>0</v>
      </c>
      <c r="Q3065" t="n">
        <v>0</v>
      </c>
      <c r="R3065" s="2" t="inlineStr"/>
    </row>
    <row r="3066" ht="15" customHeight="1">
      <c r="A3066" t="inlineStr">
        <is>
          <t>A 26369-2020</t>
        </is>
      </c>
      <c r="B3066" s="1" t="n">
        <v>43986</v>
      </c>
      <c r="C3066" s="1" t="n">
        <v>45204</v>
      </c>
      <c r="D3066" t="inlineStr">
        <is>
          <t>VÄSTERBOTTENS LÄN</t>
        </is>
      </c>
      <c r="E3066" t="inlineStr">
        <is>
          <t>MALÅ</t>
        </is>
      </c>
      <c r="F3066" t="inlineStr">
        <is>
          <t>SCA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26382-2020</t>
        </is>
      </c>
      <c r="B3067" s="1" t="n">
        <v>43986</v>
      </c>
      <c r="C3067" s="1" t="n">
        <v>45204</v>
      </c>
      <c r="D3067" t="inlineStr">
        <is>
          <t>VÄSTERBOTTENS LÄN</t>
        </is>
      </c>
      <c r="E3067" t="inlineStr">
        <is>
          <t>VILHELMINA</t>
        </is>
      </c>
      <c r="F3067" t="inlineStr">
        <is>
          <t>SCA</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26578-2020</t>
        </is>
      </c>
      <c r="B3068" s="1" t="n">
        <v>43986</v>
      </c>
      <c r="C3068" s="1" t="n">
        <v>45204</v>
      </c>
      <c r="D3068" t="inlineStr">
        <is>
          <t>VÄSTERBOTTENS LÄN</t>
        </is>
      </c>
      <c r="E3068" t="inlineStr">
        <is>
          <t>VINDELN</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26362-2020</t>
        </is>
      </c>
      <c r="B3069" s="1" t="n">
        <v>43986</v>
      </c>
      <c r="C3069" s="1" t="n">
        <v>45204</v>
      </c>
      <c r="D3069" t="inlineStr">
        <is>
          <t>VÄSTERBOTTENS LÄN</t>
        </is>
      </c>
      <c r="E3069" t="inlineStr">
        <is>
          <t>UMEÅ</t>
        </is>
      </c>
      <c r="F3069" t="inlineStr">
        <is>
          <t>Holmen skog AB</t>
        </is>
      </c>
      <c r="G3069" t="n">
        <v>9.699999999999999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26386-2020</t>
        </is>
      </c>
      <c r="B3070" s="1" t="n">
        <v>43986</v>
      </c>
      <c r="C3070" s="1" t="n">
        <v>45204</v>
      </c>
      <c r="D3070" t="inlineStr">
        <is>
          <t>VÄSTERBOTTENS LÄN</t>
        </is>
      </c>
      <c r="E3070" t="inlineStr">
        <is>
          <t>STORUMAN</t>
        </is>
      </c>
      <c r="F3070" t="inlineStr">
        <is>
          <t>SCA</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26383-2020</t>
        </is>
      </c>
      <c r="B3071" s="1" t="n">
        <v>43986</v>
      </c>
      <c r="C3071" s="1" t="n">
        <v>45204</v>
      </c>
      <c r="D3071" t="inlineStr">
        <is>
          <t>VÄSTERBOTTENS LÄN</t>
        </is>
      </c>
      <c r="E3071" t="inlineStr">
        <is>
          <t>VILHELMINA</t>
        </is>
      </c>
      <c r="F3071" t="inlineStr">
        <is>
          <t>SCA</t>
        </is>
      </c>
      <c r="G3071" t="n">
        <v>7.7</v>
      </c>
      <c r="H3071" t="n">
        <v>0</v>
      </c>
      <c r="I3071" t="n">
        <v>0</v>
      </c>
      <c r="J3071" t="n">
        <v>0</v>
      </c>
      <c r="K3071" t="n">
        <v>0</v>
      </c>
      <c r="L3071" t="n">
        <v>0</v>
      </c>
      <c r="M3071" t="n">
        <v>0</v>
      </c>
      <c r="N3071" t="n">
        <v>0</v>
      </c>
      <c r="O3071" t="n">
        <v>0</v>
      </c>
      <c r="P3071" t="n">
        <v>0</v>
      </c>
      <c r="Q3071" t="n">
        <v>0</v>
      </c>
      <c r="R3071" s="2" t="inlineStr"/>
    </row>
    <row r="3072" ht="15" customHeight="1">
      <c r="A3072" t="inlineStr">
        <is>
          <t>A 26422-2020</t>
        </is>
      </c>
      <c r="B3072" s="1" t="n">
        <v>43986</v>
      </c>
      <c r="C3072" s="1" t="n">
        <v>45204</v>
      </c>
      <c r="D3072" t="inlineStr">
        <is>
          <t>VÄSTERBOTTENS LÄN</t>
        </is>
      </c>
      <c r="E3072" t="inlineStr">
        <is>
          <t>SKELLEFTEÅ</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26580-2020</t>
        </is>
      </c>
      <c r="B3073" s="1" t="n">
        <v>43986</v>
      </c>
      <c r="C3073" s="1" t="n">
        <v>45204</v>
      </c>
      <c r="D3073" t="inlineStr">
        <is>
          <t>VÄSTERBOTTENS LÄN</t>
        </is>
      </c>
      <c r="E3073" t="inlineStr">
        <is>
          <t>UMEÅ</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26308-2020</t>
        </is>
      </c>
      <c r="B3074" s="1" t="n">
        <v>43986</v>
      </c>
      <c r="C3074" s="1" t="n">
        <v>45204</v>
      </c>
      <c r="D3074" t="inlineStr">
        <is>
          <t>VÄSTERBOTTENS LÄN</t>
        </is>
      </c>
      <c r="E3074" t="inlineStr">
        <is>
          <t>VILHELMINA</t>
        </is>
      </c>
      <c r="G3074" t="n">
        <v>12.1</v>
      </c>
      <c r="H3074" t="n">
        <v>0</v>
      </c>
      <c r="I3074" t="n">
        <v>0</v>
      </c>
      <c r="J3074" t="n">
        <v>0</v>
      </c>
      <c r="K3074" t="n">
        <v>0</v>
      </c>
      <c r="L3074" t="n">
        <v>0</v>
      </c>
      <c r="M3074" t="n">
        <v>0</v>
      </c>
      <c r="N3074" t="n">
        <v>0</v>
      </c>
      <c r="O3074" t="n">
        <v>0</v>
      </c>
      <c r="P3074" t="n">
        <v>0</v>
      </c>
      <c r="Q3074" t="n">
        <v>0</v>
      </c>
      <c r="R3074" s="2" t="inlineStr"/>
    </row>
    <row r="3075" ht="15" customHeight="1">
      <c r="A3075" t="inlineStr">
        <is>
          <t>A 26457-2020</t>
        </is>
      </c>
      <c r="B3075" s="1" t="n">
        <v>43987</v>
      </c>
      <c r="C3075" s="1" t="n">
        <v>45204</v>
      </c>
      <c r="D3075" t="inlineStr">
        <is>
          <t>VÄSTERBOTTENS LÄN</t>
        </is>
      </c>
      <c r="E3075" t="inlineStr">
        <is>
          <t>LYCKSELE</t>
        </is>
      </c>
      <c r="F3075" t="inlineStr">
        <is>
          <t>Holmen skog AB</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26566-2020</t>
        </is>
      </c>
      <c r="B3076" s="1" t="n">
        <v>43987</v>
      </c>
      <c r="C3076" s="1" t="n">
        <v>45204</v>
      </c>
      <c r="D3076" t="inlineStr">
        <is>
          <t>VÄSTERBOTTENS LÄN</t>
        </is>
      </c>
      <c r="E3076" t="inlineStr">
        <is>
          <t>BJURHOLM</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26413-2020</t>
        </is>
      </c>
      <c r="B3077" s="1" t="n">
        <v>43987</v>
      </c>
      <c r="C3077" s="1" t="n">
        <v>45204</v>
      </c>
      <c r="D3077" t="inlineStr">
        <is>
          <t>VÄSTERBOTTENS LÄN</t>
        </is>
      </c>
      <c r="E3077" t="inlineStr">
        <is>
          <t>SKELLEFTEÅ</t>
        </is>
      </c>
      <c r="F3077" t="inlineStr">
        <is>
          <t>Holmen skog AB</t>
        </is>
      </c>
      <c r="G3077" t="n">
        <v>7.9</v>
      </c>
      <c r="H3077" t="n">
        <v>0</v>
      </c>
      <c r="I3077" t="n">
        <v>0</v>
      </c>
      <c r="J3077" t="n">
        <v>0</v>
      </c>
      <c r="K3077" t="n">
        <v>0</v>
      </c>
      <c r="L3077" t="n">
        <v>0</v>
      </c>
      <c r="M3077" t="n">
        <v>0</v>
      </c>
      <c r="N3077" t="n">
        <v>0</v>
      </c>
      <c r="O3077" t="n">
        <v>0</v>
      </c>
      <c r="P3077" t="n">
        <v>0</v>
      </c>
      <c r="Q3077" t="n">
        <v>0</v>
      </c>
      <c r="R3077" s="2" t="inlineStr"/>
    </row>
    <row r="3078" ht="15" customHeight="1">
      <c r="A3078" t="inlineStr">
        <is>
          <t>A 26484-2020</t>
        </is>
      </c>
      <c r="B3078" s="1" t="n">
        <v>43987</v>
      </c>
      <c r="C3078" s="1" t="n">
        <v>45204</v>
      </c>
      <c r="D3078" t="inlineStr">
        <is>
          <t>VÄSTERBOTTENS LÄN</t>
        </is>
      </c>
      <c r="E3078" t="inlineStr">
        <is>
          <t>ÅSELE</t>
        </is>
      </c>
      <c r="F3078" t="inlineStr">
        <is>
          <t>Holmen skog AB</t>
        </is>
      </c>
      <c r="G3078" t="n">
        <v>9</v>
      </c>
      <c r="H3078" t="n">
        <v>0</v>
      </c>
      <c r="I3078" t="n">
        <v>0</v>
      </c>
      <c r="J3078" t="n">
        <v>0</v>
      </c>
      <c r="K3078" t="n">
        <v>0</v>
      </c>
      <c r="L3078" t="n">
        <v>0</v>
      </c>
      <c r="M3078" t="n">
        <v>0</v>
      </c>
      <c r="N3078" t="n">
        <v>0</v>
      </c>
      <c r="O3078" t="n">
        <v>0</v>
      </c>
      <c r="P3078" t="n">
        <v>0</v>
      </c>
      <c r="Q3078" t="n">
        <v>0</v>
      </c>
      <c r="R3078" s="2" t="inlineStr"/>
    </row>
    <row r="3079" ht="15" customHeight="1">
      <c r="A3079" t="inlineStr">
        <is>
          <t>A 26396-2020</t>
        </is>
      </c>
      <c r="B3079" s="1" t="n">
        <v>43987</v>
      </c>
      <c r="C3079" s="1" t="n">
        <v>45204</v>
      </c>
      <c r="D3079" t="inlineStr">
        <is>
          <t>VÄSTERBOTTENS LÄN</t>
        </is>
      </c>
      <c r="E3079" t="inlineStr">
        <is>
          <t>SKELLEFTEÅ</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26433-2020</t>
        </is>
      </c>
      <c r="B3080" s="1" t="n">
        <v>43987</v>
      </c>
      <c r="C3080" s="1" t="n">
        <v>45204</v>
      </c>
      <c r="D3080" t="inlineStr">
        <is>
          <t>VÄSTERBOTTENS LÄN</t>
        </is>
      </c>
      <c r="E3080" t="inlineStr">
        <is>
          <t>NORSJÖ</t>
        </is>
      </c>
      <c r="F3080" t="inlineStr">
        <is>
          <t>Holmen skog AB</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26620-2020</t>
        </is>
      </c>
      <c r="B3081" s="1" t="n">
        <v>43987</v>
      </c>
      <c r="C3081" s="1" t="n">
        <v>45204</v>
      </c>
      <c r="D3081" t="inlineStr">
        <is>
          <t>VÄSTERBOTTENS LÄN</t>
        </is>
      </c>
      <c r="E3081" t="inlineStr">
        <is>
          <t>STORUMAN</t>
        </is>
      </c>
      <c r="F3081" t="inlineStr">
        <is>
          <t>SCA</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26758-2020</t>
        </is>
      </c>
      <c r="B3082" s="1" t="n">
        <v>43990</v>
      </c>
      <c r="C3082" s="1" t="n">
        <v>45204</v>
      </c>
      <c r="D3082" t="inlineStr">
        <is>
          <t>VÄSTERBOTTENS LÄN</t>
        </is>
      </c>
      <c r="E3082" t="inlineStr">
        <is>
          <t>BJURHOLM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26961-2020</t>
        </is>
      </c>
      <c r="B3083" s="1" t="n">
        <v>43990</v>
      </c>
      <c r="C3083" s="1" t="n">
        <v>45204</v>
      </c>
      <c r="D3083" t="inlineStr">
        <is>
          <t>VÄSTERBOTTENS LÄN</t>
        </is>
      </c>
      <c r="E3083" t="inlineStr">
        <is>
          <t>SORSELE</t>
        </is>
      </c>
      <c r="G3083" t="n">
        <v>12.6</v>
      </c>
      <c r="H3083" t="n">
        <v>0</v>
      </c>
      <c r="I3083" t="n">
        <v>0</v>
      </c>
      <c r="J3083" t="n">
        <v>0</v>
      </c>
      <c r="K3083" t="n">
        <v>0</v>
      </c>
      <c r="L3083" t="n">
        <v>0</v>
      </c>
      <c r="M3083" t="n">
        <v>0</v>
      </c>
      <c r="N3083" t="n">
        <v>0</v>
      </c>
      <c r="O3083" t="n">
        <v>0</v>
      </c>
      <c r="P3083" t="n">
        <v>0</v>
      </c>
      <c r="Q3083" t="n">
        <v>0</v>
      </c>
      <c r="R3083" s="2" t="inlineStr"/>
    </row>
    <row r="3084" ht="15" customHeight="1">
      <c r="A3084" t="inlineStr">
        <is>
          <t>A 27111-2020</t>
        </is>
      </c>
      <c r="B3084" s="1" t="n">
        <v>43990</v>
      </c>
      <c r="C3084" s="1" t="n">
        <v>45204</v>
      </c>
      <c r="D3084" t="inlineStr">
        <is>
          <t>VÄSTERBOTTENS LÄN</t>
        </is>
      </c>
      <c r="E3084" t="inlineStr">
        <is>
          <t>VÄNNÄS</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26978-2020</t>
        </is>
      </c>
      <c r="B3085" s="1" t="n">
        <v>43991</v>
      </c>
      <c r="C3085" s="1" t="n">
        <v>45204</v>
      </c>
      <c r="D3085" t="inlineStr">
        <is>
          <t>VÄSTERBOTTENS LÄN</t>
        </is>
      </c>
      <c r="E3085" t="inlineStr">
        <is>
          <t>SORSELE</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26977-2020</t>
        </is>
      </c>
      <c r="B3086" s="1" t="n">
        <v>43991</v>
      </c>
      <c r="C3086" s="1" t="n">
        <v>45204</v>
      </c>
      <c r="D3086" t="inlineStr">
        <is>
          <t>VÄSTERBOTTENS LÄN</t>
        </is>
      </c>
      <c r="E3086" t="inlineStr">
        <is>
          <t>SORSELE</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26988-2020</t>
        </is>
      </c>
      <c r="B3087" s="1" t="n">
        <v>43991</v>
      </c>
      <c r="C3087" s="1" t="n">
        <v>45204</v>
      </c>
      <c r="D3087" t="inlineStr">
        <is>
          <t>VÄSTERBOTTENS LÄN</t>
        </is>
      </c>
      <c r="E3087" t="inlineStr">
        <is>
          <t>UMEÅ</t>
        </is>
      </c>
      <c r="G3087" t="n">
        <v>1.2</v>
      </c>
      <c r="H3087" t="n">
        <v>0</v>
      </c>
      <c r="I3087" t="n">
        <v>0</v>
      </c>
      <c r="J3087" t="n">
        <v>0</v>
      </c>
      <c r="K3087" t="n">
        <v>0</v>
      </c>
      <c r="L3087" t="n">
        <v>0</v>
      </c>
      <c r="M3087" t="n">
        <v>0</v>
      </c>
      <c r="N3087" t="n">
        <v>0</v>
      </c>
      <c r="O3087" t="n">
        <v>0</v>
      </c>
      <c r="P3087" t="n">
        <v>0</v>
      </c>
      <c r="Q3087" t="n">
        <v>0</v>
      </c>
      <c r="R3087" s="2" t="inlineStr"/>
    </row>
    <row r="3088" ht="15" customHeight="1">
      <c r="A3088" t="inlineStr">
        <is>
          <t>A 27318-2020</t>
        </is>
      </c>
      <c r="B3088" s="1" t="n">
        <v>43991</v>
      </c>
      <c r="C3088" s="1" t="n">
        <v>45204</v>
      </c>
      <c r="D3088" t="inlineStr">
        <is>
          <t>VÄSTERBOTTENS LÄN</t>
        </is>
      </c>
      <c r="E3088" t="inlineStr">
        <is>
          <t>NORDMALING</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27347-2020</t>
        </is>
      </c>
      <c r="B3089" s="1" t="n">
        <v>43992</v>
      </c>
      <c r="C3089" s="1" t="n">
        <v>45204</v>
      </c>
      <c r="D3089" t="inlineStr">
        <is>
          <t>VÄSTERBOTTENS LÄN</t>
        </is>
      </c>
      <c r="E3089" t="inlineStr">
        <is>
          <t>NORDMALING</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27353-2020</t>
        </is>
      </c>
      <c r="B3090" s="1" t="n">
        <v>43992</v>
      </c>
      <c r="C3090" s="1" t="n">
        <v>45204</v>
      </c>
      <c r="D3090" t="inlineStr">
        <is>
          <t>VÄSTERBOTTENS LÄN</t>
        </is>
      </c>
      <c r="E3090" t="inlineStr">
        <is>
          <t>NORDMALING</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27360-2020</t>
        </is>
      </c>
      <c r="B3091" s="1" t="n">
        <v>43992</v>
      </c>
      <c r="C3091" s="1" t="n">
        <v>45204</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27253-2020</t>
        </is>
      </c>
      <c r="B3092" s="1" t="n">
        <v>43992</v>
      </c>
      <c r="C3092" s="1" t="n">
        <v>45204</v>
      </c>
      <c r="D3092" t="inlineStr">
        <is>
          <t>VÄSTERBOTTENS LÄN</t>
        </is>
      </c>
      <c r="E3092" t="inlineStr">
        <is>
          <t>ROBERTSFORS</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27545-2020</t>
        </is>
      </c>
      <c r="B3093" s="1" t="n">
        <v>43993</v>
      </c>
      <c r="C3093" s="1" t="n">
        <v>45204</v>
      </c>
      <c r="D3093" t="inlineStr">
        <is>
          <t>VÄSTERBOTTENS LÄN</t>
        </is>
      </c>
      <c r="E3093" t="inlineStr">
        <is>
          <t>NORSJÖ</t>
        </is>
      </c>
      <c r="F3093" t="inlineStr">
        <is>
          <t>Holmen skog AB</t>
        </is>
      </c>
      <c r="G3093" t="n">
        <v>5</v>
      </c>
      <c r="H3093" t="n">
        <v>0</v>
      </c>
      <c r="I3093" t="n">
        <v>0</v>
      </c>
      <c r="J3093" t="n">
        <v>0</v>
      </c>
      <c r="K3093" t="n">
        <v>0</v>
      </c>
      <c r="L3093" t="n">
        <v>0</v>
      </c>
      <c r="M3093" t="n">
        <v>0</v>
      </c>
      <c r="N3093" t="n">
        <v>0</v>
      </c>
      <c r="O3093" t="n">
        <v>0</v>
      </c>
      <c r="P3093" t="n">
        <v>0</v>
      </c>
      <c r="Q3093" t="n">
        <v>0</v>
      </c>
      <c r="R3093" s="2" t="inlineStr"/>
    </row>
    <row r="3094" ht="15" customHeight="1">
      <c r="A3094" t="inlineStr">
        <is>
          <t>A 28039-2020</t>
        </is>
      </c>
      <c r="B3094" s="1" t="n">
        <v>43993</v>
      </c>
      <c r="C3094" s="1" t="n">
        <v>45204</v>
      </c>
      <c r="D3094" t="inlineStr">
        <is>
          <t>VÄSTERBOTTENS LÄN</t>
        </is>
      </c>
      <c r="E3094" t="inlineStr">
        <is>
          <t>UMEÅ</t>
        </is>
      </c>
      <c r="G3094" t="n">
        <v>9.4</v>
      </c>
      <c r="H3094" t="n">
        <v>0</v>
      </c>
      <c r="I3094" t="n">
        <v>0</v>
      </c>
      <c r="J3094" t="n">
        <v>0</v>
      </c>
      <c r="K3094" t="n">
        <v>0</v>
      </c>
      <c r="L3094" t="n">
        <v>0</v>
      </c>
      <c r="M3094" t="n">
        <v>0</v>
      </c>
      <c r="N3094" t="n">
        <v>0</v>
      </c>
      <c r="O3094" t="n">
        <v>0</v>
      </c>
      <c r="P3094" t="n">
        <v>0</v>
      </c>
      <c r="Q3094" t="n">
        <v>0</v>
      </c>
      <c r="R3094" s="2" t="inlineStr"/>
    </row>
    <row r="3095" ht="15" customHeight="1">
      <c r="A3095" t="inlineStr">
        <is>
          <t>A 27966-2020</t>
        </is>
      </c>
      <c r="B3095" s="1" t="n">
        <v>43993</v>
      </c>
      <c r="C3095" s="1" t="n">
        <v>45204</v>
      </c>
      <c r="D3095" t="inlineStr">
        <is>
          <t>VÄSTERBOTTENS LÄN</t>
        </is>
      </c>
      <c r="E3095" t="inlineStr">
        <is>
          <t>ÅSELE</t>
        </is>
      </c>
      <c r="F3095" t="inlineStr">
        <is>
          <t>Övriga Aktiebolag</t>
        </is>
      </c>
      <c r="G3095" t="n">
        <v>4.3</v>
      </c>
      <c r="H3095" t="n">
        <v>0</v>
      </c>
      <c r="I3095" t="n">
        <v>0</v>
      </c>
      <c r="J3095" t="n">
        <v>0</v>
      </c>
      <c r="K3095" t="n">
        <v>0</v>
      </c>
      <c r="L3095" t="n">
        <v>0</v>
      </c>
      <c r="M3095" t="n">
        <v>0</v>
      </c>
      <c r="N3095" t="n">
        <v>0</v>
      </c>
      <c r="O3095" t="n">
        <v>0</v>
      </c>
      <c r="P3095" t="n">
        <v>0</v>
      </c>
      <c r="Q3095" t="n">
        <v>0</v>
      </c>
      <c r="R3095" s="2" t="inlineStr"/>
    </row>
    <row r="3096" ht="15" customHeight="1">
      <c r="A3096" t="inlineStr">
        <is>
          <t>A 27972-2020</t>
        </is>
      </c>
      <c r="B3096" s="1" t="n">
        <v>43993</v>
      </c>
      <c r="C3096" s="1" t="n">
        <v>45204</v>
      </c>
      <c r="D3096" t="inlineStr">
        <is>
          <t>VÄSTERBOTTENS LÄN</t>
        </is>
      </c>
      <c r="E3096" t="inlineStr">
        <is>
          <t>ÅSELE</t>
        </is>
      </c>
      <c r="F3096" t="inlineStr">
        <is>
          <t>Övriga Aktiebolag</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27971-2020</t>
        </is>
      </c>
      <c r="B3097" s="1" t="n">
        <v>43993</v>
      </c>
      <c r="C3097" s="1" t="n">
        <v>45204</v>
      </c>
      <c r="D3097" t="inlineStr">
        <is>
          <t>VÄSTERBOTTENS LÄN</t>
        </is>
      </c>
      <c r="E3097" t="inlineStr">
        <is>
          <t>ÅSELE</t>
        </is>
      </c>
      <c r="F3097" t="inlineStr">
        <is>
          <t>Övriga Aktiebolag</t>
        </is>
      </c>
      <c r="G3097" t="n">
        <v>6.3</v>
      </c>
      <c r="H3097" t="n">
        <v>0</v>
      </c>
      <c r="I3097" t="n">
        <v>0</v>
      </c>
      <c r="J3097" t="n">
        <v>0</v>
      </c>
      <c r="K3097" t="n">
        <v>0</v>
      </c>
      <c r="L3097" t="n">
        <v>0</v>
      </c>
      <c r="M3097" t="n">
        <v>0</v>
      </c>
      <c r="N3097" t="n">
        <v>0</v>
      </c>
      <c r="O3097" t="n">
        <v>0</v>
      </c>
      <c r="P3097" t="n">
        <v>0</v>
      </c>
      <c r="Q3097" t="n">
        <v>0</v>
      </c>
      <c r="R3097" s="2" t="inlineStr"/>
    </row>
    <row r="3098" ht="15" customHeight="1">
      <c r="A3098" t="inlineStr">
        <is>
          <t>A 27684-2020</t>
        </is>
      </c>
      <c r="B3098" s="1" t="n">
        <v>43994</v>
      </c>
      <c r="C3098" s="1" t="n">
        <v>45204</v>
      </c>
      <c r="D3098" t="inlineStr">
        <is>
          <t>VÄSTERBOTTENS LÄN</t>
        </is>
      </c>
      <c r="E3098" t="inlineStr">
        <is>
          <t>SKELLEFTEÅ</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27824-2020</t>
        </is>
      </c>
      <c r="B3099" s="1" t="n">
        <v>43994</v>
      </c>
      <c r="C3099" s="1" t="n">
        <v>45204</v>
      </c>
      <c r="D3099" t="inlineStr">
        <is>
          <t>VÄSTERBOTTENS LÄN</t>
        </is>
      </c>
      <c r="E3099" t="inlineStr">
        <is>
          <t>BJURHOLM</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27792-2020</t>
        </is>
      </c>
      <c r="B3100" s="1" t="n">
        <v>43994</v>
      </c>
      <c r="C3100" s="1" t="n">
        <v>45204</v>
      </c>
      <c r="D3100" t="inlineStr">
        <is>
          <t>VÄSTERBOTTENS LÄN</t>
        </is>
      </c>
      <c r="E3100" t="inlineStr">
        <is>
          <t>NORSJÖ</t>
        </is>
      </c>
      <c r="F3100" t="inlineStr">
        <is>
          <t>Holmen skog AB</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27813-2020</t>
        </is>
      </c>
      <c r="B3101" s="1" t="n">
        <v>43994</v>
      </c>
      <c r="C3101" s="1" t="n">
        <v>45204</v>
      </c>
      <c r="D3101" t="inlineStr">
        <is>
          <t>VÄSTERBOTTENS LÄN</t>
        </is>
      </c>
      <c r="E3101" t="inlineStr">
        <is>
          <t>NORDMALING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28210-2020</t>
        </is>
      </c>
      <c r="B3102" s="1" t="n">
        <v>43997</v>
      </c>
      <c r="C3102" s="1" t="n">
        <v>45204</v>
      </c>
      <c r="D3102" t="inlineStr">
        <is>
          <t>VÄSTERBOTTENS LÄN</t>
        </is>
      </c>
      <c r="E3102" t="inlineStr">
        <is>
          <t>DOROTEA</t>
        </is>
      </c>
      <c r="F3102" t="inlineStr">
        <is>
          <t>SCA</t>
        </is>
      </c>
      <c r="G3102" t="n">
        <v>6</v>
      </c>
      <c r="H3102" t="n">
        <v>0</v>
      </c>
      <c r="I3102" t="n">
        <v>0</v>
      </c>
      <c r="J3102" t="n">
        <v>0</v>
      </c>
      <c r="K3102" t="n">
        <v>0</v>
      </c>
      <c r="L3102" t="n">
        <v>0</v>
      </c>
      <c r="M3102" t="n">
        <v>0</v>
      </c>
      <c r="N3102" t="n">
        <v>0</v>
      </c>
      <c r="O3102" t="n">
        <v>0</v>
      </c>
      <c r="P3102" t="n">
        <v>0</v>
      </c>
      <c r="Q3102" t="n">
        <v>0</v>
      </c>
      <c r="R3102" s="2" t="inlineStr"/>
    </row>
    <row r="3103" ht="15" customHeight="1">
      <c r="A3103" t="inlineStr">
        <is>
          <t>A 28164-2020</t>
        </is>
      </c>
      <c r="B3103" s="1" t="n">
        <v>43997</v>
      </c>
      <c r="C3103" s="1" t="n">
        <v>45204</v>
      </c>
      <c r="D3103" t="inlineStr">
        <is>
          <t>VÄSTERBOTTENS LÄN</t>
        </is>
      </c>
      <c r="E3103" t="inlineStr">
        <is>
          <t>STORUMAN</t>
        </is>
      </c>
      <c r="F3103" t="inlineStr">
        <is>
          <t>Sveaskog</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28345-2020</t>
        </is>
      </c>
      <c r="B3104" s="1" t="n">
        <v>43998</v>
      </c>
      <c r="C3104" s="1" t="n">
        <v>45204</v>
      </c>
      <c r="D3104" t="inlineStr">
        <is>
          <t>VÄSTERBOTTENS LÄN</t>
        </is>
      </c>
      <c r="E3104" t="inlineStr">
        <is>
          <t>NORSJÖ</t>
        </is>
      </c>
      <c r="F3104" t="inlineStr">
        <is>
          <t>Holmen skog AB</t>
        </is>
      </c>
      <c r="G3104" t="n">
        <v>7.3</v>
      </c>
      <c r="H3104" t="n">
        <v>0</v>
      </c>
      <c r="I3104" t="n">
        <v>0</v>
      </c>
      <c r="J3104" t="n">
        <v>0</v>
      </c>
      <c r="K3104" t="n">
        <v>0</v>
      </c>
      <c r="L3104" t="n">
        <v>0</v>
      </c>
      <c r="M3104" t="n">
        <v>0</v>
      </c>
      <c r="N3104" t="n">
        <v>0</v>
      </c>
      <c r="O3104" t="n">
        <v>0</v>
      </c>
      <c r="P3104" t="n">
        <v>0</v>
      </c>
      <c r="Q3104" t="n">
        <v>0</v>
      </c>
      <c r="R3104" s="2" t="inlineStr"/>
    </row>
    <row r="3105" ht="15" customHeight="1">
      <c r="A3105" t="inlineStr">
        <is>
          <t>A 28449-2020</t>
        </is>
      </c>
      <c r="B3105" s="1" t="n">
        <v>43998</v>
      </c>
      <c r="C3105" s="1" t="n">
        <v>45204</v>
      </c>
      <c r="D3105" t="inlineStr">
        <is>
          <t>VÄSTERBOTTENS LÄN</t>
        </is>
      </c>
      <c r="E3105" t="inlineStr">
        <is>
          <t>SKELLEFTEÅ</t>
        </is>
      </c>
      <c r="F3105" t="inlineStr">
        <is>
          <t>Sveaskog</t>
        </is>
      </c>
      <c r="G3105" t="n">
        <v>20.9</v>
      </c>
      <c r="H3105" t="n">
        <v>0</v>
      </c>
      <c r="I3105" t="n">
        <v>0</v>
      </c>
      <c r="J3105" t="n">
        <v>0</v>
      </c>
      <c r="K3105" t="n">
        <v>0</v>
      </c>
      <c r="L3105" t="n">
        <v>0</v>
      </c>
      <c r="M3105" t="n">
        <v>0</v>
      </c>
      <c r="N3105" t="n">
        <v>0</v>
      </c>
      <c r="O3105" t="n">
        <v>0</v>
      </c>
      <c r="P3105" t="n">
        <v>0</v>
      </c>
      <c r="Q3105" t="n">
        <v>0</v>
      </c>
      <c r="R3105" s="2" t="inlineStr"/>
    </row>
    <row r="3106" ht="15" customHeight="1">
      <c r="A3106" t="inlineStr">
        <is>
          <t>A 28265-2020</t>
        </is>
      </c>
      <c r="B3106" s="1" t="n">
        <v>43998</v>
      </c>
      <c r="C3106" s="1" t="n">
        <v>45204</v>
      </c>
      <c r="D3106" t="inlineStr">
        <is>
          <t>VÄSTERBOTTENS LÄN</t>
        </is>
      </c>
      <c r="E3106" t="inlineStr">
        <is>
          <t>NORSJÖ</t>
        </is>
      </c>
      <c r="F3106" t="inlineStr">
        <is>
          <t>Holmen skog AB</t>
        </is>
      </c>
      <c r="G3106" t="n">
        <v>6.6</v>
      </c>
      <c r="H3106" t="n">
        <v>0</v>
      </c>
      <c r="I3106" t="n">
        <v>0</v>
      </c>
      <c r="J3106" t="n">
        <v>0</v>
      </c>
      <c r="K3106" t="n">
        <v>0</v>
      </c>
      <c r="L3106" t="n">
        <v>0</v>
      </c>
      <c r="M3106" t="n">
        <v>0</v>
      </c>
      <c r="N3106" t="n">
        <v>0</v>
      </c>
      <c r="O3106" t="n">
        <v>0</v>
      </c>
      <c r="P3106" t="n">
        <v>0</v>
      </c>
      <c r="Q3106" t="n">
        <v>0</v>
      </c>
      <c r="R3106" s="2" t="inlineStr"/>
    </row>
    <row r="3107" ht="15" customHeight="1">
      <c r="A3107" t="inlineStr">
        <is>
          <t>A 28503-2020</t>
        </is>
      </c>
      <c r="B3107" s="1" t="n">
        <v>43999</v>
      </c>
      <c r="C3107" s="1" t="n">
        <v>45204</v>
      </c>
      <c r="D3107" t="inlineStr">
        <is>
          <t>VÄSTERBOTTENS LÄN</t>
        </is>
      </c>
      <c r="E3107" t="inlineStr">
        <is>
          <t>SKELLEFTEÅ</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28574-2020</t>
        </is>
      </c>
      <c r="B3108" s="1" t="n">
        <v>43999</v>
      </c>
      <c r="C3108" s="1" t="n">
        <v>45204</v>
      </c>
      <c r="D3108" t="inlineStr">
        <is>
          <t>VÄSTERBOTTENS LÄN</t>
        </is>
      </c>
      <c r="E3108" t="inlineStr">
        <is>
          <t>SKELLEFTEÅ</t>
        </is>
      </c>
      <c r="F3108" t="inlineStr">
        <is>
          <t>Holmen skog AB</t>
        </is>
      </c>
      <c r="G3108" t="n">
        <v>19.4</v>
      </c>
      <c r="H3108" t="n">
        <v>0</v>
      </c>
      <c r="I3108" t="n">
        <v>0</v>
      </c>
      <c r="J3108" t="n">
        <v>0</v>
      </c>
      <c r="K3108" t="n">
        <v>0</v>
      </c>
      <c r="L3108" t="n">
        <v>0</v>
      </c>
      <c r="M3108" t="n">
        <v>0</v>
      </c>
      <c r="N3108" t="n">
        <v>0</v>
      </c>
      <c r="O3108" t="n">
        <v>0</v>
      </c>
      <c r="P3108" t="n">
        <v>0</v>
      </c>
      <c r="Q3108" t="n">
        <v>0</v>
      </c>
      <c r="R3108" s="2" t="inlineStr"/>
    </row>
    <row r="3109" ht="15" customHeight="1">
      <c r="A3109" t="inlineStr">
        <is>
          <t>A 28505-2020</t>
        </is>
      </c>
      <c r="B3109" s="1" t="n">
        <v>43999</v>
      </c>
      <c r="C3109" s="1" t="n">
        <v>45204</v>
      </c>
      <c r="D3109" t="inlineStr">
        <is>
          <t>VÄSTERBOTTENS LÄN</t>
        </is>
      </c>
      <c r="E3109" t="inlineStr">
        <is>
          <t>SKELLEFTEÅ</t>
        </is>
      </c>
      <c r="F3109" t="inlineStr">
        <is>
          <t>Holmen skog AB</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29026-2020</t>
        </is>
      </c>
      <c r="B3110" s="1" t="n">
        <v>43999</v>
      </c>
      <c r="C3110" s="1" t="n">
        <v>45204</v>
      </c>
      <c r="D3110" t="inlineStr">
        <is>
          <t>VÄSTERBOTTENS LÄN</t>
        </is>
      </c>
      <c r="E3110" t="inlineStr">
        <is>
          <t>UMEÅ</t>
        </is>
      </c>
      <c r="G3110" t="n">
        <v>4.8</v>
      </c>
      <c r="H3110" t="n">
        <v>0</v>
      </c>
      <c r="I3110" t="n">
        <v>0</v>
      </c>
      <c r="J3110" t="n">
        <v>0</v>
      </c>
      <c r="K3110" t="n">
        <v>0</v>
      </c>
      <c r="L3110" t="n">
        <v>0</v>
      </c>
      <c r="M3110" t="n">
        <v>0</v>
      </c>
      <c r="N3110" t="n">
        <v>0</v>
      </c>
      <c r="O3110" t="n">
        <v>0</v>
      </c>
      <c r="P3110" t="n">
        <v>0</v>
      </c>
      <c r="Q3110" t="n">
        <v>0</v>
      </c>
      <c r="R3110" s="2" t="inlineStr"/>
    </row>
    <row r="3111" ht="15" customHeight="1">
      <c r="A3111" t="inlineStr">
        <is>
          <t>A 28501-2020</t>
        </is>
      </c>
      <c r="B3111" s="1" t="n">
        <v>43999</v>
      </c>
      <c r="C3111" s="1" t="n">
        <v>45204</v>
      </c>
      <c r="D3111" t="inlineStr">
        <is>
          <t>VÄSTERBOTTENS LÄN</t>
        </is>
      </c>
      <c r="E3111" t="inlineStr">
        <is>
          <t>SKELLEFTEÅ</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28944-2020</t>
        </is>
      </c>
      <c r="B3112" s="1" t="n">
        <v>44000</v>
      </c>
      <c r="C3112" s="1" t="n">
        <v>45204</v>
      </c>
      <c r="D3112" t="inlineStr">
        <is>
          <t>VÄSTERBOTTENS LÄN</t>
        </is>
      </c>
      <c r="E3112" t="inlineStr">
        <is>
          <t>SORSELE</t>
        </is>
      </c>
      <c r="F3112" t="inlineStr">
        <is>
          <t>Sveaskog</t>
        </is>
      </c>
      <c r="G3112" t="n">
        <v>7.7</v>
      </c>
      <c r="H3112" t="n">
        <v>0</v>
      </c>
      <c r="I3112" t="n">
        <v>0</v>
      </c>
      <c r="J3112" t="n">
        <v>0</v>
      </c>
      <c r="K3112" t="n">
        <v>0</v>
      </c>
      <c r="L3112" t="n">
        <v>0</v>
      </c>
      <c r="M3112" t="n">
        <v>0</v>
      </c>
      <c r="N3112" t="n">
        <v>0</v>
      </c>
      <c r="O3112" t="n">
        <v>0</v>
      </c>
      <c r="P3112" t="n">
        <v>0</v>
      </c>
      <c r="Q3112" t="n">
        <v>0</v>
      </c>
      <c r="R3112" s="2" t="inlineStr"/>
    </row>
    <row r="3113" ht="15" customHeight="1">
      <c r="A3113" t="inlineStr">
        <is>
          <t>A 28991-2020</t>
        </is>
      </c>
      <c r="B3113" s="1" t="n">
        <v>44000</v>
      </c>
      <c r="C3113" s="1" t="n">
        <v>45204</v>
      </c>
      <c r="D3113" t="inlineStr">
        <is>
          <t>VÄSTERBOTTENS LÄN</t>
        </is>
      </c>
      <c r="E3113" t="inlineStr">
        <is>
          <t>NORSJÖ</t>
        </is>
      </c>
      <c r="F3113" t="inlineStr">
        <is>
          <t>Holmen skog AB</t>
        </is>
      </c>
      <c r="G3113" t="n">
        <v>4.7</v>
      </c>
      <c r="H3113" t="n">
        <v>0</v>
      </c>
      <c r="I3113" t="n">
        <v>0</v>
      </c>
      <c r="J3113" t="n">
        <v>0</v>
      </c>
      <c r="K3113" t="n">
        <v>0</v>
      </c>
      <c r="L3113" t="n">
        <v>0</v>
      </c>
      <c r="M3113" t="n">
        <v>0</v>
      </c>
      <c r="N3113" t="n">
        <v>0</v>
      </c>
      <c r="O3113" t="n">
        <v>0</v>
      </c>
      <c r="P3113" t="n">
        <v>0</v>
      </c>
      <c r="Q3113" t="n">
        <v>0</v>
      </c>
      <c r="R3113" s="2" t="inlineStr"/>
    </row>
    <row r="3114" ht="15" customHeight="1">
      <c r="A3114" t="inlineStr">
        <is>
          <t>A 29252-2020</t>
        </is>
      </c>
      <c r="B3114" s="1" t="n">
        <v>44000</v>
      </c>
      <c r="C3114" s="1" t="n">
        <v>45204</v>
      </c>
      <c r="D3114" t="inlineStr">
        <is>
          <t>VÄSTERBOTTENS LÄN</t>
        </is>
      </c>
      <c r="E3114" t="inlineStr">
        <is>
          <t>UMEÅ</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28864-2020</t>
        </is>
      </c>
      <c r="B3115" s="1" t="n">
        <v>44000</v>
      </c>
      <c r="C3115" s="1" t="n">
        <v>45204</v>
      </c>
      <c r="D3115" t="inlineStr">
        <is>
          <t>VÄSTERBOTTENS LÄN</t>
        </is>
      </c>
      <c r="E3115" t="inlineStr">
        <is>
          <t>VILHELMINA</t>
        </is>
      </c>
      <c r="F3115" t="inlineStr">
        <is>
          <t>Kommuner</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28790-2020</t>
        </is>
      </c>
      <c r="B3116" s="1" t="n">
        <v>44000</v>
      </c>
      <c r="C3116" s="1" t="n">
        <v>45204</v>
      </c>
      <c r="D3116" t="inlineStr">
        <is>
          <t>VÄSTERBOTTENS LÄN</t>
        </is>
      </c>
      <c r="E3116" t="inlineStr">
        <is>
          <t>DOROTEA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28985-2020</t>
        </is>
      </c>
      <c r="B3117" s="1" t="n">
        <v>44000</v>
      </c>
      <c r="C3117" s="1" t="n">
        <v>45204</v>
      </c>
      <c r="D3117" t="inlineStr">
        <is>
          <t>VÄSTERBOTTENS LÄN</t>
        </is>
      </c>
      <c r="E3117" t="inlineStr">
        <is>
          <t>SKELLEFTEÅ</t>
        </is>
      </c>
      <c r="F3117" t="inlineStr">
        <is>
          <t>Sveaskog</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28871-2020</t>
        </is>
      </c>
      <c r="B3118" s="1" t="n">
        <v>44000</v>
      </c>
      <c r="C3118" s="1" t="n">
        <v>45204</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28922-2020</t>
        </is>
      </c>
      <c r="B3119" s="1" t="n">
        <v>44000</v>
      </c>
      <c r="C3119" s="1" t="n">
        <v>45204</v>
      </c>
      <c r="D3119" t="inlineStr">
        <is>
          <t>VÄSTERBOTTENS LÄN</t>
        </is>
      </c>
      <c r="E3119" t="inlineStr">
        <is>
          <t>SORSELE</t>
        </is>
      </c>
      <c r="F3119" t="inlineStr">
        <is>
          <t>Sveaskog</t>
        </is>
      </c>
      <c r="G3119" t="n">
        <v>21.5</v>
      </c>
      <c r="H3119" t="n">
        <v>0</v>
      </c>
      <c r="I3119" t="n">
        <v>0</v>
      </c>
      <c r="J3119" t="n">
        <v>0</v>
      </c>
      <c r="K3119" t="n">
        <v>0</v>
      </c>
      <c r="L3119" t="n">
        <v>0</v>
      </c>
      <c r="M3119" t="n">
        <v>0</v>
      </c>
      <c r="N3119" t="n">
        <v>0</v>
      </c>
      <c r="O3119" t="n">
        <v>0</v>
      </c>
      <c r="P3119" t="n">
        <v>0</v>
      </c>
      <c r="Q3119" t="n">
        <v>0</v>
      </c>
      <c r="R3119" s="2" t="inlineStr"/>
    </row>
    <row r="3120" ht="15" customHeight="1">
      <c r="A3120" t="inlineStr">
        <is>
          <t>A 28965-2020</t>
        </is>
      </c>
      <c r="B3120" s="1" t="n">
        <v>44000</v>
      </c>
      <c r="C3120" s="1" t="n">
        <v>45204</v>
      </c>
      <c r="D3120" t="inlineStr">
        <is>
          <t>VÄSTERBOTTENS LÄN</t>
        </is>
      </c>
      <c r="E3120" t="inlineStr">
        <is>
          <t>SORSELE</t>
        </is>
      </c>
      <c r="F3120" t="inlineStr">
        <is>
          <t>Sveaskog</t>
        </is>
      </c>
      <c r="G3120" t="n">
        <v>21.6</v>
      </c>
      <c r="H3120" t="n">
        <v>0</v>
      </c>
      <c r="I3120" t="n">
        <v>0</v>
      </c>
      <c r="J3120" t="n">
        <v>0</v>
      </c>
      <c r="K3120" t="n">
        <v>0</v>
      </c>
      <c r="L3120" t="n">
        <v>0</v>
      </c>
      <c r="M3120" t="n">
        <v>0</v>
      </c>
      <c r="N3120" t="n">
        <v>0</v>
      </c>
      <c r="O3120" t="n">
        <v>0</v>
      </c>
      <c r="P3120" t="n">
        <v>0</v>
      </c>
      <c r="Q3120" t="n">
        <v>0</v>
      </c>
      <c r="R3120" s="2" t="inlineStr"/>
    </row>
    <row r="3121" ht="15" customHeight="1">
      <c r="A3121" t="inlineStr">
        <is>
          <t>A 29468-2020</t>
        </is>
      </c>
      <c r="B3121" s="1" t="n">
        <v>44004</v>
      </c>
      <c r="C3121" s="1" t="n">
        <v>45204</v>
      </c>
      <c r="D3121" t="inlineStr">
        <is>
          <t>VÄSTERBOTTENS LÄN</t>
        </is>
      </c>
      <c r="E3121" t="inlineStr">
        <is>
          <t>DOROTEA</t>
        </is>
      </c>
      <c r="F3121" t="inlineStr">
        <is>
          <t>SCA</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29494-2020</t>
        </is>
      </c>
      <c r="B3122" s="1" t="n">
        <v>44004</v>
      </c>
      <c r="C3122" s="1" t="n">
        <v>45204</v>
      </c>
      <c r="D3122" t="inlineStr">
        <is>
          <t>VÄSTERBOTTENS LÄN</t>
        </is>
      </c>
      <c r="E3122" t="inlineStr">
        <is>
          <t>STORUMAN</t>
        </is>
      </c>
      <c r="F3122" t="inlineStr">
        <is>
          <t>SCA</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29595-2020</t>
        </is>
      </c>
      <c r="B3123" s="1" t="n">
        <v>44004</v>
      </c>
      <c r="C3123" s="1" t="n">
        <v>45204</v>
      </c>
      <c r="D3123" t="inlineStr">
        <is>
          <t>VÄSTERBOTTENS LÄN</t>
        </is>
      </c>
      <c r="E3123" t="inlineStr">
        <is>
          <t>SKELLEFTEÅ</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29134-2020</t>
        </is>
      </c>
      <c r="B3124" s="1" t="n">
        <v>44004</v>
      </c>
      <c r="C3124" s="1" t="n">
        <v>45204</v>
      </c>
      <c r="D3124" t="inlineStr">
        <is>
          <t>VÄSTERBOTTENS LÄN</t>
        </is>
      </c>
      <c r="E3124" t="inlineStr">
        <is>
          <t>SKELLEFTEÅ</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29362-2020</t>
        </is>
      </c>
      <c r="B3125" s="1" t="n">
        <v>44004</v>
      </c>
      <c r="C3125" s="1" t="n">
        <v>45204</v>
      </c>
      <c r="D3125" t="inlineStr">
        <is>
          <t>VÄSTERBOTTENS LÄN</t>
        </is>
      </c>
      <c r="E3125" t="inlineStr">
        <is>
          <t>VINDELN</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29446-2020</t>
        </is>
      </c>
      <c r="B3126" s="1" t="n">
        <v>44004</v>
      </c>
      <c r="C3126" s="1" t="n">
        <v>45204</v>
      </c>
      <c r="D3126" t="inlineStr">
        <is>
          <t>VÄSTERBOTTENS LÄN</t>
        </is>
      </c>
      <c r="E3126" t="inlineStr">
        <is>
          <t>LYCKSELE</t>
        </is>
      </c>
      <c r="F3126" t="inlineStr">
        <is>
          <t>Sveaskog</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29481-2020</t>
        </is>
      </c>
      <c r="B3127" s="1" t="n">
        <v>44004</v>
      </c>
      <c r="C3127" s="1" t="n">
        <v>45204</v>
      </c>
      <c r="D3127" t="inlineStr">
        <is>
          <t>VÄSTERBOTTENS LÄN</t>
        </is>
      </c>
      <c r="E3127" t="inlineStr">
        <is>
          <t>ÅSELE</t>
        </is>
      </c>
      <c r="F3127" t="inlineStr">
        <is>
          <t>SCA</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29370-2020</t>
        </is>
      </c>
      <c r="B3128" s="1" t="n">
        <v>44004</v>
      </c>
      <c r="C3128" s="1" t="n">
        <v>45204</v>
      </c>
      <c r="D3128" t="inlineStr">
        <is>
          <t>VÄSTERBOTTENS LÄN</t>
        </is>
      </c>
      <c r="E3128" t="inlineStr">
        <is>
          <t>VINDELN</t>
        </is>
      </c>
      <c r="G3128" t="n">
        <v>0.2</v>
      </c>
      <c r="H3128" t="n">
        <v>0</v>
      </c>
      <c r="I3128" t="n">
        <v>0</v>
      </c>
      <c r="J3128" t="n">
        <v>0</v>
      </c>
      <c r="K3128" t="n">
        <v>0</v>
      </c>
      <c r="L3128" t="n">
        <v>0</v>
      </c>
      <c r="M3128" t="n">
        <v>0</v>
      </c>
      <c r="N3128" t="n">
        <v>0</v>
      </c>
      <c r="O3128" t="n">
        <v>0</v>
      </c>
      <c r="P3128" t="n">
        <v>0</v>
      </c>
      <c r="Q3128" t="n">
        <v>0</v>
      </c>
      <c r="R3128" s="2" t="inlineStr"/>
    </row>
    <row r="3129" ht="15" customHeight="1">
      <c r="A3129" t="inlineStr">
        <is>
          <t>A 29542-2020</t>
        </is>
      </c>
      <c r="B3129" s="1" t="n">
        <v>44005</v>
      </c>
      <c r="C3129" s="1" t="n">
        <v>45204</v>
      </c>
      <c r="D3129" t="inlineStr">
        <is>
          <t>VÄSTERBOTTENS LÄN</t>
        </is>
      </c>
      <c r="E3129" t="inlineStr">
        <is>
          <t>SKELLEFTEÅ</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29720-2020</t>
        </is>
      </c>
      <c r="B3130" s="1" t="n">
        <v>44005</v>
      </c>
      <c r="C3130" s="1" t="n">
        <v>45204</v>
      </c>
      <c r="D3130" t="inlineStr">
        <is>
          <t>VÄSTERBOTTENS LÄN</t>
        </is>
      </c>
      <c r="E3130" t="inlineStr">
        <is>
          <t>UMEÅ</t>
        </is>
      </c>
      <c r="F3130" t="inlineStr">
        <is>
          <t>Holmen skog AB</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29735-2020</t>
        </is>
      </c>
      <c r="B3131" s="1" t="n">
        <v>44005</v>
      </c>
      <c r="C3131" s="1" t="n">
        <v>45204</v>
      </c>
      <c r="D3131" t="inlineStr">
        <is>
          <t>VÄSTERBOTTENS LÄN</t>
        </is>
      </c>
      <c r="E3131" t="inlineStr">
        <is>
          <t>UMEÅ</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29778-2020</t>
        </is>
      </c>
      <c r="B3132" s="1" t="n">
        <v>44005</v>
      </c>
      <c r="C3132" s="1" t="n">
        <v>45204</v>
      </c>
      <c r="D3132" t="inlineStr">
        <is>
          <t>VÄSTERBOTTENS LÄN</t>
        </is>
      </c>
      <c r="E3132" t="inlineStr">
        <is>
          <t>DOROTEA</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29799-2020</t>
        </is>
      </c>
      <c r="B3133" s="1" t="n">
        <v>44005</v>
      </c>
      <c r="C3133" s="1" t="n">
        <v>45204</v>
      </c>
      <c r="D3133" t="inlineStr">
        <is>
          <t>VÄSTERBOTTENS LÄN</t>
        </is>
      </c>
      <c r="E3133" t="inlineStr">
        <is>
          <t>DOROTEA</t>
        </is>
      </c>
      <c r="F3133" t="inlineStr">
        <is>
          <t>SCA</t>
        </is>
      </c>
      <c r="G3133" t="n">
        <v>4.1</v>
      </c>
      <c r="H3133" t="n">
        <v>0</v>
      </c>
      <c r="I3133" t="n">
        <v>0</v>
      </c>
      <c r="J3133" t="n">
        <v>0</v>
      </c>
      <c r="K3133" t="n">
        <v>0</v>
      </c>
      <c r="L3133" t="n">
        <v>0</v>
      </c>
      <c r="M3133" t="n">
        <v>0</v>
      </c>
      <c r="N3133" t="n">
        <v>0</v>
      </c>
      <c r="O3133" t="n">
        <v>0</v>
      </c>
      <c r="P3133" t="n">
        <v>0</v>
      </c>
      <c r="Q3133" t="n">
        <v>0</v>
      </c>
      <c r="R3133" s="2" t="inlineStr"/>
    </row>
    <row r="3134" ht="15" customHeight="1">
      <c r="A3134" t="inlineStr">
        <is>
          <t>A 29832-2020</t>
        </is>
      </c>
      <c r="B3134" s="1" t="n">
        <v>44005</v>
      </c>
      <c r="C3134" s="1" t="n">
        <v>45204</v>
      </c>
      <c r="D3134" t="inlineStr">
        <is>
          <t>VÄSTERBOTTENS LÄN</t>
        </is>
      </c>
      <c r="E3134" t="inlineStr">
        <is>
          <t>SKELLEFTEÅ</t>
        </is>
      </c>
      <c r="G3134" t="n">
        <v>6.3</v>
      </c>
      <c r="H3134" t="n">
        <v>0</v>
      </c>
      <c r="I3134" t="n">
        <v>0</v>
      </c>
      <c r="J3134" t="n">
        <v>0</v>
      </c>
      <c r="K3134" t="n">
        <v>0</v>
      </c>
      <c r="L3134" t="n">
        <v>0</v>
      </c>
      <c r="M3134" t="n">
        <v>0</v>
      </c>
      <c r="N3134" t="n">
        <v>0</v>
      </c>
      <c r="O3134" t="n">
        <v>0</v>
      </c>
      <c r="P3134" t="n">
        <v>0</v>
      </c>
      <c r="Q3134" t="n">
        <v>0</v>
      </c>
      <c r="R3134" s="2" t="inlineStr"/>
    </row>
    <row r="3135" ht="15" customHeight="1">
      <c r="A3135" t="inlineStr">
        <is>
          <t>A 29850-2020</t>
        </is>
      </c>
      <c r="B3135" s="1" t="n">
        <v>44005</v>
      </c>
      <c r="C3135" s="1" t="n">
        <v>45204</v>
      </c>
      <c r="D3135" t="inlineStr">
        <is>
          <t>VÄSTERBOTTENS LÄN</t>
        </is>
      </c>
      <c r="E3135" t="inlineStr">
        <is>
          <t>SKELLEFTEÅ</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29842-2020</t>
        </is>
      </c>
      <c r="B3136" s="1" t="n">
        <v>44005</v>
      </c>
      <c r="C3136" s="1" t="n">
        <v>45204</v>
      </c>
      <c r="D3136" t="inlineStr">
        <is>
          <t>VÄSTERBOTTENS LÄN</t>
        </is>
      </c>
      <c r="E3136" t="inlineStr">
        <is>
          <t>SKELLEFTEÅ</t>
        </is>
      </c>
      <c r="G3136" t="n">
        <v>1.6</v>
      </c>
      <c r="H3136" t="n">
        <v>0</v>
      </c>
      <c r="I3136" t="n">
        <v>0</v>
      </c>
      <c r="J3136" t="n">
        <v>0</v>
      </c>
      <c r="K3136" t="n">
        <v>0</v>
      </c>
      <c r="L3136" t="n">
        <v>0</v>
      </c>
      <c r="M3136" t="n">
        <v>0</v>
      </c>
      <c r="N3136" t="n">
        <v>0</v>
      </c>
      <c r="O3136" t="n">
        <v>0</v>
      </c>
      <c r="P3136" t="n">
        <v>0</v>
      </c>
      <c r="Q3136" t="n">
        <v>0</v>
      </c>
      <c r="R3136" s="2" t="inlineStr"/>
    </row>
    <row r="3137" ht="15" customHeight="1">
      <c r="A3137" t="inlineStr">
        <is>
          <t>A 29734-2020</t>
        </is>
      </c>
      <c r="B3137" s="1" t="n">
        <v>44005</v>
      </c>
      <c r="C3137" s="1" t="n">
        <v>45204</v>
      </c>
      <c r="D3137" t="inlineStr">
        <is>
          <t>VÄSTERBOTTENS LÄN</t>
        </is>
      </c>
      <c r="E3137" t="inlineStr">
        <is>
          <t>UMEÅ</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29817-2020</t>
        </is>
      </c>
      <c r="B3138" s="1" t="n">
        <v>44005</v>
      </c>
      <c r="C3138" s="1" t="n">
        <v>45204</v>
      </c>
      <c r="D3138" t="inlineStr">
        <is>
          <t>VÄSTERBOTTENS LÄN</t>
        </is>
      </c>
      <c r="E3138" t="inlineStr">
        <is>
          <t>BJURHOLM</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29846-2020</t>
        </is>
      </c>
      <c r="B3139" s="1" t="n">
        <v>44006</v>
      </c>
      <c r="C3139" s="1" t="n">
        <v>45204</v>
      </c>
      <c r="D3139" t="inlineStr">
        <is>
          <t>VÄSTERBOTTENS LÄN</t>
        </is>
      </c>
      <c r="E3139" t="inlineStr">
        <is>
          <t>BJURHOLM</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30029-2020</t>
        </is>
      </c>
      <c r="B3140" s="1" t="n">
        <v>44006</v>
      </c>
      <c r="C3140" s="1" t="n">
        <v>45204</v>
      </c>
      <c r="D3140" t="inlineStr">
        <is>
          <t>VÄSTERBOTTENS LÄN</t>
        </is>
      </c>
      <c r="E3140" t="inlineStr">
        <is>
          <t>LYCKSELE</t>
        </is>
      </c>
      <c r="F3140" t="inlineStr">
        <is>
          <t>Holmen skog AB</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30144-2020</t>
        </is>
      </c>
      <c r="B3141" s="1" t="n">
        <v>44006</v>
      </c>
      <c r="C3141" s="1" t="n">
        <v>45204</v>
      </c>
      <c r="D3141" t="inlineStr">
        <is>
          <t>VÄSTERBOTTENS LÄN</t>
        </is>
      </c>
      <c r="E3141" t="inlineStr">
        <is>
          <t>VÄNNÄS</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30009-2020</t>
        </is>
      </c>
      <c r="B3142" s="1" t="n">
        <v>44006</v>
      </c>
      <c r="C3142" s="1" t="n">
        <v>45204</v>
      </c>
      <c r="D3142" t="inlineStr">
        <is>
          <t>VÄSTERBOTTENS LÄN</t>
        </is>
      </c>
      <c r="E3142" t="inlineStr">
        <is>
          <t>LYCKSELE</t>
        </is>
      </c>
      <c r="F3142" t="inlineStr">
        <is>
          <t>Holmen skog AB</t>
        </is>
      </c>
      <c r="G3142" t="n">
        <v>9.9</v>
      </c>
      <c r="H3142" t="n">
        <v>0</v>
      </c>
      <c r="I3142" t="n">
        <v>0</v>
      </c>
      <c r="J3142" t="n">
        <v>0</v>
      </c>
      <c r="K3142" t="n">
        <v>0</v>
      </c>
      <c r="L3142" t="n">
        <v>0</v>
      </c>
      <c r="M3142" t="n">
        <v>0</v>
      </c>
      <c r="N3142" t="n">
        <v>0</v>
      </c>
      <c r="O3142" t="n">
        <v>0</v>
      </c>
      <c r="P3142" t="n">
        <v>0</v>
      </c>
      <c r="Q3142" t="n">
        <v>0</v>
      </c>
      <c r="R3142" s="2" t="inlineStr"/>
    </row>
    <row r="3143" ht="15" customHeight="1">
      <c r="A3143" t="inlineStr">
        <is>
          <t>A 30234-2020</t>
        </is>
      </c>
      <c r="B3143" s="1" t="n">
        <v>44006</v>
      </c>
      <c r="C3143" s="1" t="n">
        <v>45204</v>
      </c>
      <c r="D3143" t="inlineStr">
        <is>
          <t>VÄSTERBOTTENS LÄN</t>
        </is>
      </c>
      <c r="E3143" t="inlineStr">
        <is>
          <t>UMEÅ</t>
        </is>
      </c>
      <c r="G3143" t="n">
        <v>8.4</v>
      </c>
      <c r="H3143" t="n">
        <v>0</v>
      </c>
      <c r="I3143" t="n">
        <v>0</v>
      </c>
      <c r="J3143" t="n">
        <v>0</v>
      </c>
      <c r="K3143" t="n">
        <v>0</v>
      </c>
      <c r="L3143" t="n">
        <v>0</v>
      </c>
      <c r="M3143" t="n">
        <v>0</v>
      </c>
      <c r="N3143" t="n">
        <v>0</v>
      </c>
      <c r="O3143" t="n">
        <v>0</v>
      </c>
      <c r="P3143" t="n">
        <v>0</v>
      </c>
      <c r="Q3143" t="n">
        <v>0</v>
      </c>
      <c r="R3143" s="2" t="inlineStr"/>
    </row>
    <row r="3144" ht="15" customHeight="1">
      <c r="A3144" t="inlineStr">
        <is>
          <t>A 29893-2020</t>
        </is>
      </c>
      <c r="B3144" s="1" t="n">
        <v>44006</v>
      </c>
      <c r="C3144" s="1" t="n">
        <v>45204</v>
      </c>
      <c r="D3144" t="inlineStr">
        <is>
          <t>VÄSTERBOTTENS LÄN</t>
        </is>
      </c>
      <c r="E3144" t="inlineStr">
        <is>
          <t>ROBERTSFORS</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30074-2020</t>
        </is>
      </c>
      <c r="B3145" s="1" t="n">
        <v>44006</v>
      </c>
      <c r="C3145" s="1" t="n">
        <v>45204</v>
      </c>
      <c r="D3145" t="inlineStr">
        <is>
          <t>VÄSTERBOTTENS LÄN</t>
        </is>
      </c>
      <c r="E3145" t="inlineStr">
        <is>
          <t>SKELLEFTEÅ</t>
        </is>
      </c>
      <c r="F3145" t="inlineStr">
        <is>
          <t>Holmen skog AB</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30104-2020</t>
        </is>
      </c>
      <c r="B3146" s="1" t="n">
        <v>44006</v>
      </c>
      <c r="C3146" s="1" t="n">
        <v>45204</v>
      </c>
      <c r="D3146" t="inlineStr">
        <is>
          <t>VÄSTERBOTTENS LÄN</t>
        </is>
      </c>
      <c r="E3146" t="inlineStr">
        <is>
          <t>VINDELN</t>
        </is>
      </c>
      <c r="F3146" t="inlineStr">
        <is>
          <t>SCA</t>
        </is>
      </c>
      <c r="G3146" t="n">
        <v>0.8</v>
      </c>
      <c r="H3146" t="n">
        <v>0</v>
      </c>
      <c r="I3146" t="n">
        <v>0</v>
      </c>
      <c r="J3146" t="n">
        <v>0</v>
      </c>
      <c r="K3146" t="n">
        <v>0</v>
      </c>
      <c r="L3146" t="n">
        <v>0</v>
      </c>
      <c r="M3146" t="n">
        <v>0</v>
      </c>
      <c r="N3146" t="n">
        <v>0</v>
      </c>
      <c r="O3146" t="n">
        <v>0</v>
      </c>
      <c r="P3146" t="n">
        <v>0</v>
      </c>
      <c r="Q3146" t="n">
        <v>0</v>
      </c>
      <c r="R3146" s="2" t="inlineStr"/>
    </row>
    <row r="3147" ht="15" customHeight="1">
      <c r="A3147" t="inlineStr">
        <is>
          <t>A 29805-2020</t>
        </is>
      </c>
      <c r="B3147" s="1" t="n">
        <v>44006</v>
      </c>
      <c r="C3147" s="1" t="n">
        <v>45204</v>
      </c>
      <c r="D3147" t="inlineStr">
        <is>
          <t>VÄSTERBOTTENS LÄN</t>
        </is>
      </c>
      <c r="E3147" t="inlineStr">
        <is>
          <t>NORSJÖ</t>
        </is>
      </c>
      <c r="F3147" t="inlineStr">
        <is>
          <t>Holmen skog AB</t>
        </is>
      </c>
      <c r="G3147" t="n">
        <v>12.7</v>
      </c>
      <c r="H3147" t="n">
        <v>0</v>
      </c>
      <c r="I3147" t="n">
        <v>0</v>
      </c>
      <c r="J3147" t="n">
        <v>0</v>
      </c>
      <c r="K3147" t="n">
        <v>0</v>
      </c>
      <c r="L3147" t="n">
        <v>0</v>
      </c>
      <c r="M3147" t="n">
        <v>0</v>
      </c>
      <c r="N3147" t="n">
        <v>0</v>
      </c>
      <c r="O3147" t="n">
        <v>0</v>
      </c>
      <c r="P3147" t="n">
        <v>0</v>
      </c>
      <c r="Q3147" t="n">
        <v>0</v>
      </c>
      <c r="R3147" s="2" t="inlineStr"/>
    </row>
    <row r="3148" ht="15" customHeight="1">
      <c r="A3148" t="inlineStr">
        <is>
          <t>A 30012-2020</t>
        </is>
      </c>
      <c r="B3148" s="1" t="n">
        <v>44006</v>
      </c>
      <c r="C3148" s="1" t="n">
        <v>45204</v>
      </c>
      <c r="D3148" t="inlineStr">
        <is>
          <t>VÄSTERBOTTENS LÄN</t>
        </is>
      </c>
      <c r="E3148" t="inlineStr">
        <is>
          <t>VINDELN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30075-2020</t>
        </is>
      </c>
      <c r="B3149" s="1" t="n">
        <v>44006</v>
      </c>
      <c r="C3149" s="1" t="n">
        <v>45204</v>
      </c>
      <c r="D3149" t="inlineStr">
        <is>
          <t>VÄSTERBOTTENS LÄN</t>
        </is>
      </c>
      <c r="E3149" t="inlineStr">
        <is>
          <t>SKELLEFTEÅ</t>
        </is>
      </c>
      <c r="F3149" t="inlineStr">
        <is>
          <t>Holmen skog AB</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30142-2020</t>
        </is>
      </c>
      <c r="B3150" s="1" t="n">
        <v>44006</v>
      </c>
      <c r="C3150" s="1" t="n">
        <v>45204</v>
      </c>
      <c r="D3150" t="inlineStr">
        <is>
          <t>VÄSTERBOTTENS LÄN</t>
        </is>
      </c>
      <c r="E3150" t="inlineStr">
        <is>
          <t>NORDMALING</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30340-2020</t>
        </is>
      </c>
      <c r="B3151" s="1" t="n">
        <v>44007</v>
      </c>
      <c r="C3151" s="1" t="n">
        <v>45204</v>
      </c>
      <c r="D3151" t="inlineStr">
        <is>
          <t>VÄSTERBOTTENS LÄN</t>
        </is>
      </c>
      <c r="E3151" t="inlineStr">
        <is>
          <t>VÄNNÄS</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30386-2020</t>
        </is>
      </c>
      <c r="B3152" s="1" t="n">
        <v>44007</v>
      </c>
      <c r="C3152" s="1" t="n">
        <v>45204</v>
      </c>
      <c r="D3152" t="inlineStr">
        <is>
          <t>VÄSTERBOTTENS LÄN</t>
        </is>
      </c>
      <c r="E3152" t="inlineStr">
        <is>
          <t>LYCKSELE</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30418-2020</t>
        </is>
      </c>
      <c r="B3153" s="1" t="n">
        <v>44007</v>
      </c>
      <c r="C3153" s="1" t="n">
        <v>45204</v>
      </c>
      <c r="D3153" t="inlineStr">
        <is>
          <t>VÄSTERBOTTENS LÄN</t>
        </is>
      </c>
      <c r="E3153" t="inlineStr">
        <is>
          <t>BJURHOLM</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30306-2020</t>
        </is>
      </c>
      <c r="B3154" s="1" t="n">
        <v>44007</v>
      </c>
      <c r="C3154" s="1" t="n">
        <v>45204</v>
      </c>
      <c r="D3154" t="inlineStr">
        <is>
          <t>VÄSTERBOTTENS LÄN</t>
        </is>
      </c>
      <c r="E3154" t="inlineStr">
        <is>
          <t>VINDELN</t>
        </is>
      </c>
      <c r="F3154" t="inlineStr">
        <is>
          <t>Sveaskog</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30342-2020</t>
        </is>
      </c>
      <c r="B3155" s="1" t="n">
        <v>44007</v>
      </c>
      <c r="C3155" s="1" t="n">
        <v>45204</v>
      </c>
      <c r="D3155" t="inlineStr">
        <is>
          <t>VÄSTERBOTTENS LÄN</t>
        </is>
      </c>
      <c r="E3155" t="inlineStr">
        <is>
          <t>ÅSELE</t>
        </is>
      </c>
      <c r="F3155" t="inlineStr">
        <is>
          <t>Sveaskog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30373-2020</t>
        </is>
      </c>
      <c r="B3156" s="1" t="n">
        <v>44007</v>
      </c>
      <c r="C3156" s="1" t="n">
        <v>45204</v>
      </c>
      <c r="D3156" t="inlineStr">
        <is>
          <t>VÄSTERBOTTENS LÄN</t>
        </is>
      </c>
      <c r="E3156" t="inlineStr">
        <is>
          <t>VILHELMINA</t>
        </is>
      </c>
      <c r="F3156" t="inlineStr">
        <is>
          <t>Övriga statliga verk och myndigheter</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30210-2020</t>
        </is>
      </c>
      <c r="B3157" s="1" t="n">
        <v>44007</v>
      </c>
      <c r="C3157" s="1" t="n">
        <v>45204</v>
      </c>
      <c r="D3157" t="inlineStr">
        <is>
          <t>VÄSTERBOTTENS LÄN</t>
        </is>
      </c>
      <c r="E3157" t="inlineStr">
        <is>
          <t>VILHELMINA</t>
        </is>
      </c>
      <c r="F3157" t="inlineStr">
        <is>
          <t>Sveaskog</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30251-2020</t>
        </is>
      </c>
      <c r="B3158" s="1" t="n">
        <v>44007</v>
      </c>
      <c r="C3158" s="1" t="n">
        <v>45204</v>
      </c>
      <c r="D3158" t="inlineStr">
        <is>
          <t>VÄSTERBOTTENS LÄN</t>
        </is>
      </c>
      <c r="E3158" t="inlineStr">
        <is>
          <t>BJURHOLM</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30425-2020</t>
        </is>
      </c>
      <c r="B3159" s="1" t="n">
        <v>44007</v>
      </c>
      <c r="C3159" s="1" t="n">
        <v>45204</v>
      </c>
      <c r="D3159" t="inlineStr">
        <is>
          <t>VÄSTERBOTTENS LÄN</t>
        </is>
      </c>
      <c r="E3159" t="inlineStr">
        <is>
          <t>VÄNNÄS</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30537-2020</t>
        </is>
      </c>
      <c r="B3160" s="1" t="n">
        <v>44007</v>
      </c>
      <c r="C3160" s="1" t="n">
        <v>45204</v>
      </c>
      <c r="D3160" t="inlineStr">
        <is>
          <t>VÄSTERBOTTENS LÄN</t>
        </is>
      </c>
      <c r="E3160" t="inlineStr">
        <is>
          <t>VINDELN</t>
        </is>
      </c>
      <c r="G3160" t="n">
        <v>11.4</v>
      </c>
      <c r="H3160" t="n">
        <v>0</v>
      </c>
      <c r="I3160" t="n">
        <v>0</v>
      </c>
      <c r="J3160" t="n">
        <v>0</v>
      </c>
      <c r="K3160" t="n">
        <v>0</v>
      </c>
      <c r="L3160" t="n">
        <v>0</v>
      </c>
      <c r="M3160" t="n">
        <v>0</v>
      </c>
      <c r="N3160" t="n">
        <v>0</v>
      </c>
      <c r="O3160" t="n">
        <v>0</v>
      </c>
      <c r="P3160" t="n">
        <v>0</v>
      </c>
      <c r="Q3160" t="n">
        <v>0</v>
      </c>
      <c r="R3160" s="2" t="inlineStr"/>
    </row>
    <row r="3161" ht="15" customHeight="1">
      <c r="A3161" t="inlineStr">
        <is>
          <t>A 30222-2020</t>
        </is>
      </c>
      <c r="B3161" s="1" t="n">
        <v>44007</v>
      </c>
      <c r="C3161" s="1" t="n">
        <v>45204</v>
      </c>
      <c r="D3161" t="inlineStr">
        <is>
          <t>VÄSTERBOTTENS LÄN</t>
        </is>
      </c>
      <c r="E3161" t="inlineStr">
        <is>
          <t>VILHELMINA</t>
        </is>
      </c>
      <c r="F3161" t="inlineStr">
        <is>
          <t>Sveaskog</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30408-2020</t>
        </is>
      </c>
      <c r="B3162" s="1" t="n">
        <v>44007</v>
      </c>
      <c r="C3162" s="1" t="n">
        <v>45204</v>
      </c>
      <c r="D3162" t="inlineStr">
        <is>
          <t>VÄSTERBOTTENS LÄN</t>
        </is>
      </c>
      <c r="E3162" t="inlineStr">
        <is>
          <t>SKELLEFTEÅ</t>
        </is>
      </c>
      <c r="G3162" t="n">
        <v>24.3</v>
      </c>
      <c r="H3162" t="n">
        <v>0</v>
      </c>
      <c r="I3162" t="n">
        <v>0</v>
      </c>
      <c r="J3162" t="n">
        <v>0</v>
      </c>
      <c r="K3162" t="n">
        <v>0</v>
      </c>
      <c r="L3162" t="n">
        <v>0</v>
      </c>
      <c r="M3162" t="n">
        <v>0</v>
      </c>
      <c r="N3162" t="n">
        <v>0</v>
      </c>
      <c r="O3162" t="n">
        <v>0</v>
      </c>
      <c r="P3162" t="n">
        <v>0</v>
      </c>
      <c r="Q3162" t="n">
        <v>0</v>
      </c>
      <c r="R3162" s="2" t="inlineStr"/>
    </row>
    <row r="3163" ht="15" customHeight="1">
      <c r="A3163" t="inlineStr">
        <is>
          <t>A 30555-2020</t>
        </is>
      </c>
      <c r="B3163" s="1" t="n">
        <v>44008</v>
      </c>
      <c r="C3163" s="1" t="n">
        <v>45204</v>
      </c>
      <c r="D3163" t="inlineStr">
        <is>
          <t>VÄSTERBOTTENS LÄN</t>
        </is>
      </c>
      <c r="E3163" t="inlineStr">
        <is>
          <t>UMEÅ</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30563-2020</t>
        </is>
      </c>
      <c r="B3164" s="1" t="n">
        <v>44008</v>
      </c>
      <c r="C3164" s="1" t="n">
        <v>45204</v>
      </c>
      <c r="D3164" t="inlineStr">
        <is>
          <t>VÄSTERBOTTENS LÄN</t>
        </is>
      </c>
      <c r="E3164" t="inlineStr">
        <is>
          <t>NORDMALING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30712-2020</t>
        </is>
      </c>
      <c r="B3165" s="1" t="n">
        <v>44008</v>
      </c>
      <c r="C3165" s="1" t="n">
        <v>45204</v>
      </c>
      <c r="D3165" t="inlineStr">
        <is>
          <t>VÄSTERBOTTENS LÄN</t>
        </is>
      </c>
      <c r="E3165" t="inlineStr">
        <is>
          <t>SKELLEFTEÅ</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30632-2020</t>
        </is>
      </c>
      <c r="B3166" s="1" t="n">
        <v>44008</v>
      </c>
      <c r="C3166" s="1" t="n">
        <v>45204</v>
      </c>
      <c r="D3166" t="inlineStr">
        <is>
          <t>VÄSTERBOTTENS LÄN</t>
        </is>
      </c>
      <c r="E3166" t="inlineStr">
        <is>
          <t>UMEÅ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30674-2020</t>
        </is>
      </c>
      <c r="B3167" s="1" t="n">
        <v>44008</v>
      </c>
      <c r="C3167" s="1" t="n">
        <v>45204</v>
      </c>
      <c r="D3167" t="inlineStr">
        <is>
          <t>VÄSTERBOTTENS LÄN</t>
        </is>
      </c>
      <c r="E3167" t="inlineStr">
        <is>
          <t>STORUMAN</t>
        </is>
      </c>
      <c r="F3167" t="inlineStr">
        <is>
          <t>Sveaskog</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30553-2020</t>
        </is>
      </c>
      <c r="B3168" s="1" t="n">
        <v>44008</v>
      </c>
      <c r="C3168" s="1" t="n">
        <v>45204</v>
      </c>
      <c r="D3168" t="inlineStr">
        <is>
          <t>VÄSTERBOTTENS LÄN</t>
        </is>
      </c>
      <c r="E3168" t="inlineStr">
        <is>
          <t>VÄNNÄS</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30653-2020</t>
        </is>
      </c>
      <c r="B3169" s="1" t="n">
        <v>44008</v>
      </c>
      <c r="C3169" s="1" t="n">
        <v>45204</v>
      </c>
      <c r="D3169" t="inlineStr">
        <is>
          <t>VÄSTERBOTTENS LÄN</t>
        </is>
      </c>
      <c r="E3169" t="inlineStr">
        <is>
          <t>SKELLEFTEÅ</t>
        </is>
      </c>
      <c r="F3169" t="inlineStr">
        <is>
          <t>Sveaskog</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30677-2020</t>
        </is>
      </c>
      <c r="B3170" s="1" t="n">
        <v>44008</v>
      </c>
      <c r="C3170" s="1" t="n">
        <v>45204</v>
      </c>
      <c r="D3170" t="inlineStr">
        <is>
          <t>VÄSTERBOTTENS LÄN</t>
        </is>
      </c>
      <c r="E3170" t="inlineStr">
        <is>
          <t>STORUMAN</t>
        </is>
      </c>
      <c r="F3170" t="inlineStr">
        <is>
          <t>Sveaskog</t>
        </is>
      </c>
      <c r="G3170" t="n">
        <v>16.6</v>
      </c>
      <c r="H3170" t="n">
        <v>0</v>
      </c>
      <c r="I3170" t="n">
        <v>0</v>
      </c>
      <c r="J3170" t="n">
        <v>0</v>
      </c>
      <c r="K3170" t="n">
        <v>0</v>
      </c>
      <c r="L3170" t="n">
        <v>0</v>
      </c>
      <c r="M3170" t="n">
        <v>0</v>
      </c>
      <c r="N3170" t="n">
        <v>0</v>
      </c>
      <c r="O3170" t="n">
        <v>0</v>
      </c>
      <c r="P3170" t="n">
        <v>0</v>
      </c>
      <c r="Q3170" t="n">
        <v>0</v>
      </c>
      <c r="R3170" s="2" t="inlineStr"/>
    </row>
    <row r="3171" ht="15" customHeight="1">
      <c r="A3171" t="inlineStr">
        <is>
          <t>A 30709-2020</t>
        </is>
      </c>
      <c r="B3171" s="1" t="n">
        <v>44008</v>
      </c>
      <c r="C3171" s="1" t="n">
        <v>45204</v>
      </c>
      <c r="D3171" t="inlineStr">
        <is>
          <t>VÄSTERBOTTENS LÄN</t>
        </is>
      </c>
      <c r="E3171" t="inlineStr">
        <is>
          <t>SKELLEFTEÅ</t>
        </is>
      </c>
      <c r="F3171" t="inlineStr">
        <is>
          <t>Holmen skog AB</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30728-2020</t>
        </is>
      </c>
      <c r="B3172" s="1" t="n">
        <v>44008</v>
      </c>
      <c r="C3172" s="1" t="n">
        <v>45204</v>
      </c>
      <c r="D3172" t="inlineStr">
        <is>
          <t>VÄSTERBOTTENS LÄN</t>
        </is>
      </c>
      <c r="E3172" t="inlineStr">
        <is>
          <t>SKELLEFTEÅ</t>
        </is>
      </c>
      <c r="F3172" t="inlineStr">
        <is>
          <t>Holmen skog AB</t>
        </is>
      </c>
      <c r="G3172" t="n">
        <v>10.7</v>
      </c>
      <c r="H3172" t="n">
        <v>0</v>
      </c>
      <c r="I3172" t="n">
        <v>0</v>
      </c>
      <c r="J3172" t="n">
        <v>0</v>
      </c>
      <c r="K3172" t="n">
        <v>0</v>
      </c>
      <c r="L3172" t="n">
        <v>0</v>
      </c>
      <c r="M3172" t="n">
        <v>0</v>
      </c>
      <c r="N3172" t="n">
        <v>0</v>
      </c>
      <c r="O3172" t="n">
        <v>0</v>
      </c>
      <c r="P3172" t="n">
        <v>0</v>
      </c>
      <c r="Q3172" t="n">
        <v>0</v>
      </c>
      <c r="R3172" s="2" t="inlineStr"/>
    </row>
    <row r="3173" ht="15" customHeight="1">
      <c r="A3173" t="inlineStr">
        <is>
          <t>A 30841-2020</t>
        </is>
      </c>
      <c r="B3173" s="1" t="n">
        <v>44008</v>
      </c>
      <c r="C3173" s="1" t="n">
        <v>45204</v>
      </c>
      <c r="D3173" t="inlineStr">
        <is>
          <t>VÄSTERBOTTENS LÄN</t>
        </is>
      </c>
      <c r="E3173" t="inlineStr">
        <is>
          <t>SKELLEFTEÅ</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30531-2020</t>
        </is>
      </c>
      <c r="B3174" s="1" t="n">
        <v>44008</v>
      </c>
      <c r="C3174" s="1" t="n">
        <v>45204</v>
      </c>
      <c r="D3174" t="inlineStr">
        <is>
          <t>VÄSTERBOTTENS LÄN</t>
        </is>
      </c>
      <c r="E3174" t="inlineStr">
        <is>
          <t>NORSJÖ</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30949-2020</t>
        </is>
      </c>
      <c r="B3175" s="1" t="n">
        <v>44011</v>
      </c>
      <c r="C3175" s="1" t="n">
        <v>45204</v>
      </c>
      <c r="D3175" t="inlineStr">
        <is>
          <t>VÄSTERBOTTENS LÄN</t>
        </is>
      </c>
      <c r="E3175" t="inlineStr">
        <is>
          <t>SKELLEFTEÅ</t>
        </is>
      </c>
      <c r="F3175" t="inlineStr">
        <is>
          <t>Kommuner</t>
        </is>
      </c>
      <c r="G3175" t="n">
        <v>4.1</v>
      </c>
      <c r="H3175" t="n">
        <v>0</v>
      </c>
      <c r="I3175" t="n">
        <v>0</v>
      </c>
      <c r="J3175" t="n">
        <v>0</v>
      </c>
      <c r="K3175" t="n">
        <v>0</v>
      </c>
      <c r="L3175" t="n">
        <v>0</v>
      </c>
      <c r="M3175" t="n">
        <v>0</v>
      </c>
      <c r="N3175" t="n">
        <v>0</v>
      </c>
      <c r="O3175" t="n">
        <v>0</v>
      </c>
      <c r="P3175" t="n">
        <v>0</v>
      </c>
      <c r="Q3175" t="n">
        <v>0</v>
      </c>
      <c r="R3175" s="2" t="inlineStr"/>
    </row>
    <row r="3176" ht="15" customHeight="1">
      <c r="A3176" t="inlineStr">
        <is>
          <t>A 30964-2020</t>
        </is>
      </c>
      <c r="B3176" s="1" t="n">
        <v>44011</v>
      </c>
      <c r="C3176" s="1" t="n">
        <v>45204</v>
      </c>
      <c r="D3176" t="inlineStr">
        <is>
          <t>VÄSTERBOTTENS LÄN</t>
        </is>
      </c>
      <c r="E3176" t="inlineStr">
        <is>
          <t>LYCKSELE</t>
        </is>
      </c>
      <c r="F3176" t="inlineStr">
        <is>
          <t>Sveaskog</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30979-2020</t>
        </is>
      </c>
      <c r="B3177" s="1" t="n">
        <v>44011</v>
      </c>
      <c r="C3177" s="1" t="n">
        <v>45204</v>
      </c>
      <c r="D3177" t="inlineStr">
        <is>
          <t>VÄSTERBOTTENS LÄN</t>
        </is>
      </c>
      <c r="E3177" t="inlineStr">
        <is>
          <t>ROBERTSFORS</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30875-2020</t>
        </is>
      </c>
      <c r="B3178" s="1" t="n">
        <v>44011</v>
      </c>
      <c r="C3178" s="1" t="n">
        <v>45204</v>
      </c>
      <c r="D3178" t="inlineStr">
        <is>
          <t>VÄSTERBOTTENS LÄN</t>
        </is>
      </c>
      <c r="E3178" t="inlineStr">
        <is>
          <t>MALÅ</t>
        </is>
      </c>
      <c r="F3178" t="inlineStr">
        <is>
          <t>Sveaskog</t>
        </is>
      </c>
      <c r="G3178" t="n">
        <v>9.699999999999999</v>
      </c>
      <c r="H3178" t="n">
        <v>0</v>
      </c>
      <c r="I3178" t="n">
        <v>0</v>
      </c>
      <c r="J3178" t="n">
        <v>0</v>
      </c>
      <c r="K3178" t="n">
        <v>0</v>
      </c>
      <c r="L3178" t="n">
        <v>0</v>
      </c>
      <c r="M3178" t="n">
        <v>0</v>
      </c>
      <c r="N3178" t="n">
        <v>0</v>
      </c>
      <c r="O3178" t="n">
        <v>0</v>
      </c>
      <c r="P3178" t="n">
        <v>0</v>
      </c>
      <c r="Q3178" t="n">
        <v>0</v>
      </c>
      <c r="R3178" s="2" t="inlineStr"/>
    </row>
    <row r="3179" ht="15" customHeight="1">
      <c r="A3179" t="inlineStr">
        <is>
          <t>A 31025-2020</t>
        </is>
      </c>
      <c r="B3179" s="1" t="n">
        <v>44011</v>
      </c>
      <c r="C3179" s="1" t="n">
        <v>45204</v>
      </c>
      <c r="D3179" t="inlineStr">
        <is>
          <t>VÄSTERBOTTENS LÄN</t>
        </is>
      </c>
      <c r="E3179" t="inlineStr">
        <is>
          <t>DOROTEA</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30907-2020</t>
        </is>
      </c>
      <c r="B3180" s="1" t="n">
        <v>44011</v>
      </c>
      <c r="C3180" s="1" t="n">
        <v>45204</v>
      </c>
      <c r="D3180" t="inlineStr">
        <is>
          <t>VÄSTERBOTTENS LÄN</t>
        </is>
      </c>
      <c r="E3180" t="inlineStr">
        <is>
          <t>MALÅ</t>
        </is>
      </c>
      <c r="F3180" t="inlineStr">
        <is>
          <t>Sveaskog</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30919-2020</t>
        </is>
      </c>
      <c r="B3181" s="1" t="n">
        <v>44011</v>
      </c>
      <c r="C3181" s="1" t="n">
        <v>45204</v>
      </c>
      <c r="D3181" t="inlineStr">
        <is>
          <t>VÄSTERBOTTENS LÄN</t>
        </is>
      </c>
      <c r="E3181" t="inlineStr">
        <is>
          <t>MALÅ</t>
        </is>
      </c>
      <c r="F3181" t="inlineStr">
        <is>
          <t>Sveaskog</t>
        </is>
      </c>
      <c r="G3181" t="n">
        <v>25.7</v>
      </c>
      <c r="H3181" t="n">
        <v>0</v>
      </c>
      <c r="I3181" t="n">
        <v>0</v>
      </c>
      <c r="J3181" t="n">
        <v>0</v>
      </c>
      <c r="K3181" t="n">
        <v>0</v>
      </c>
      <c r="L3181" t="n">
        <v>0</v>
      </c>
      <c r="M3181" t="n">
        <v>0</v>
      </c>
      <c r="N3181" t="n">
        <v>0</v>
      </c>
      <c r="O3181" t="n">
        <v>0</v>
      </c>
      <c r="P3181" t="n">
        <v>0</v>
      </c>
      <c r="Q3181" t="n">
        <v>0</v>
      </c>
      <c r="R3181" s="2" t="inlineStr"/>
    </row>
    <row r="3182" ht="15" customHeight="1">
      <c r="A3182" t="inlineStr">
        <is>
          <t>A 31019-2020</t>
        </is>
      </c>
      <c r="B3182" s="1" t="n">
        <v>44011</v>
      </c>
      <c r="C3182" s="1" t="n">
        <v>45204</v>
      </c>
      <c r="D3182" t="inlineStr">
        <is>
          <t>VÄSTERBOTTENS LÄN</t>
        </is>
      </c>
      <c r="E3182" t="inlineStr">
        <is>
          <t>DOROTEA</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30861-2020</t>
        </is>
      </c>
      <c r="B3183" s="1" t="n">
        <v>44011</v>
      </c>
      <c r="C3183" s="1" t="n">
        <v>45204</v>
      </c>
      <c r="D3183" t="inlineStr">
        <is>
          <t>VÄSTERBOTTENS LÄN</t>
        </is>
      </c>
      <c r="E3183" t="inlineStr">
        <is>
          <t>UMEÅ</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30877-2020</t>
        </is>
      </c>
      <c r="B3184" s="1" t="n">
        <v>44011</v>
      </c>
      <c r="C3184" s="1" t="n">
        <v>45204</v>
      </c>
      <c r="D3184" t="inlineStr">
        <is>
          <t>VÄSTERBOTTENS LÄN</t>
        </is>
      </c>
      <c r="E3184" t="inlineStr">
        <is>
          <t>SKELLEFTEÅ</t>
        </is>
      </c>
      <c r="F3184" t="inlineStr">
        <is>
          <t>Kyrkan</t>
        </is>
      </c>
      <c r="G3184" t="n">
        <v>13.7</v>
      </c>
      <c r="H3184" t="n">
        <v>0</v>
      </c>
      <c r="I3184" t="n">
        <v>0</v>
      </c>
      <c r="J3184" t="n">
        <v>0</v>
      </c>
      <c r="K3184" t="n">
        <v>0</v>
      </c>
      <c r="L3184" t="n">
        <v>0</v>
      </c>
      <c r="M3184" t="n">
        <v>0</v>
      </c>
      <c r="N3184" t="n">
        <v>0</v>
      </c>
      <c r="O3184" t="n">
        <v>0</v>
      </c>
      <c r="P3184" t="n">
        <v>0</v>
      </c>
      <c r="Q3184" t="n">
        <v>0</v>
      </c>
      <c r="R3184" s="2" t="inlineStr"/>
    </row>
    <row r="3185" ht="15" customHeight="1">
      <c r="A3185" t="inlineStr">
        <is>
          <t>A 31017-2020</t>
        </is>
      </c>
      <c r="B3185" s="1" t="n">
        <v>44011</v>
      </c>
      <c r="C3185" s="1" t="n">
        <v>45204</v>
      </c>
      <c r="D3185" t="inlineStr">
        <is>
          <t>VÄSTERBOTTENS LÄN</t>
        </is>
      </c>
      <c r="E3185" t="inlineStr">
        <is>
          <t>DOROTEA</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31248-2020</t>
        </is>
      </c>
      <c r="B3186" s="1" t="n">
        <v>44012</v>
      </c>
      <c r="C3186" s="1" t="n">
        <v>45204</v>
      </c>
      <c r="D3186" t="inlineStr">
        <is>
          <t>VÄSTERBOTTENS LÄN</t>
        </is>
      </c>
      <c r="E3186" t="inlineStr">
        <is>
          <t>VINDELN</t>
        </is>
      </c>
      <c r="G3186" t="n">
        <v>44.8</v>
      </c>
      <c r="H3186" t="n">
        <v>0</v>
      </c>
      <c r="I3186" t="n">
        <v>0</v>
      </c>
      <c r="J3186" t="n">
        <v>0</v>
      </c>
      <c r="K3186" t="n">
        <v>0</v>
      </c>
      <c r="L3186" t="n">
        <v>0</v>
      </c>
      <c r="M3186" t="n">
        <v>0</v>
      </c>
      <c r="N3186" t="n">
        <v>0</v>
      </c>
      <c r="O3186" t="n">
        <v>0</v>
      </c>
      <c r="P3186" t="n">
        <v>0</v>
      </c>
      <c r="Q3186" t="n">
        <v>0</v>
      </c>
      <c r="R3186" s="2" t="inlineStr"/>
    </row>
    <row r="3187" ht="15" customHeight="1">
      <c r="A3187" t="inlineStr">
        <is>
          <t>A 31255-2020</t>
        </is>
      </c>
      <c r="B3187" s="1" t="n">
        <v>44012</v>
      </c>
      <c r="C3187" s="1" t="n">
        <v>45204</v>
      </c>
      <c r="D3187" t="inlineStr">
        <is>
          <t>VÄSTERBOTTENS LÄN</t>
        </is>
      </c>
      <c r="E3187" t="inlineStr">
        <is>
          <t>VÄNNÄS</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31331-2020</t>
        </is>
      </c>
      <c r="B3188" s="1" t="n">
        <v>44012</v>
      </c>
      <c r="C3188" s="1" t="n">
        <v>45204</v>
      </c>
      <c r="D3188" t="inlineStr">
        <is>
          <t>VÄSTERBOTTENS LÄN</t>
        </is>
      </c>
      <c r="E3188" t="inlineStr">
        <is>
          <t>SKELLEFTEÅ</t>
        </is>
      </c>
      <c r="F3188" t="inlineStr">
        <is>
          <t>SCA</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31237-2020</t>
        </is>
      </c>
      <c r="B3189" s="1" t="n">
        <v>44012</v>
      </c>
      <c r="C3189" s="1" t="n">
        <v>45204</v>
      </c>
      <c r="D3189" t="inlineStr">
        <is>
          <t>VÄSTERBOTTENS LÄN</t>
        </is>
      </c>
      <c r="E3189" t="inlineStr">
        <is>
          <t>UMEÅ</t>
        </is>
      </c>
      <c r="G3189" t="n">
        <v>3.3</v>
      </c>
      <c r="H3189" t="n">
        <v>0</v>
      </c>
      <c r="I3189" t="n">
        <v>0</v>
      </c>
      <c r="J3189" t="n">
        <v>0</v>
      </c>
      <c r="K3189" t="n">
        <v>0</v>
      </c>
      <c r="L3189" t="n">
        <v>0</v>
      </c>
      <c r="M3189" t="n">
        <v>0</v>
      </c>
      <c r="N3189" t="n">
        <v>0</v>
      </c>
      <c r="O3189" t="n">
        <v>0</v>
      </c>
      <c r="P3189" t="n">
        <v>0</v>
      </c>
      <c r="Q3189" t="n">
        <v>0</v>
      </c>
      <c r="R3189" s="2" t="inlineStr"/>
    </row>
    <row r="3190" ht="15" customHeight="1">
      <c r="A3190" t="inlineStr">
        <is>
          <t>A 31434-2020</t>
        </is>
      </c>
      <c r="B3190" s="1" t="n">
        <v>44012</v>
      </c>
      <c r="C3190" s="1" t="n">
        <v>45204</v>
      </c>
      <c r="D3190" t="inlineStr">
        <is>
          <t>VÄSTERBOTTENS LÄN</t>
        </is>
      </c>
      <c r="E3190" t="inlineStr">
        <is>
          <t>SKELLEFTEÅ</t>
        </is>
      </c>
      <c r="G3190" t="n">
        <v>2.6</v>
      </c>
      <c r="H3190" t="n">
        <v>0</v>
      </c>
      <c r="I3190" t="n">
        <v>0</v>
      </c>
      <c r="J3190" t="n">
        <v>0</v>
      </c>
      <c r="K3190" t="n">
        <v>0</v>
      </c>
      <c r="L3190" t="n">
        <v>0</v>
      </c>
      <c r="M3190" t="n">
        <v>0</v>
      </c>
      <c r="N3190" t="n">
        <v>0</v>
      </c>
      <c r="O3190" t="n">
        <v>0</v>
      </c>
      <c r="P3190" t="n">
        <v>0</v>
      </c>
      <c r="Q3190" t="n">
        <v>0</v>
      </c>
      <c r="R3190" s="2" t="inlineStr"/>
    </row>
    <row r="3191" ht="15" customHeight="1">
      <c r="A3191" t="inlineStr">
        <is>
          <t>A 31394-2020</t>
        </is>
      </c>
      <c r="B3191" s="1" t="n">
        <v>44012</v>
      </c>
      <c r="C3191" s="1" t="n">
        <v>45204</v>
      </c>
      <c r="D3191" t="inlineStr">
        <is>
          <t>VÄSTERBOTTENS LÄN</t>
        </is>
      </c>
      <c r="E3191" t="inlineStr">
        <is>
          <t>MALÅ</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31530-2020</t>
        </is>
      </c>
      <c r="B3192" s="1" t="n">
        <v>44013</v>
      </c>
      <c r="C3192" s="1" t="n">
        <v>45204</v>
      </c>
      <c r="D3192" t="inlineStr">
        <is>
          <t>VÄSTERBOTTENS LÄN</t>
        </is>
      </c>
      <c r="E3192" t="inlineStr">
        <is>
          <t>NORSJÖ</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31568-2020</t>
        </is>
      </c>
      <c r="B3193" s="1" t="n">
        <v>44013</v>
      </c>
      <c r="C3193" s="1" t="n">
        <v>45204</v>
      </c>
      <c r="D3193" t="inlineStr">
        <is>
          <t>VÄSTERBOTTENS LÄN</t>
        </is>
      </c>
      <c r="E3193" t="inlineStr">
        <is>
          <t>ROBERTSFORS</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31799-2020</t>
        </is>
      </c>
      <c r="B3194" s="1" t="n">
        <v>44013</v>
      </c>
      <c r="C3194" s="1" t="n">
        <v>45204</v>
      </c>
      <c r="D3194" t="inlineStr">
        <is>
          <t>VÄSTERBOTTENS LÄN</t>
        </is>
      </c>
      <c r="E3194" t="inlineStr">
        <is>
          <t>SORSELE</t>
        </is>
      </c>
      <c r="F3194" t="inlineStr">
        <is>
          <t>Allmännings- och besparingsskogar</t>
        </is>
      </c>
      <c r="G3194" t="n">
        <v>14.8</v>
      </c>
      <c r="H3194" t="n">
        <v>0</v>
      </c>
      <c r="I3194" t="n">
        <v>0</v>
      </c>
      <c r="J3194" t="n">
        <v>0</v>
      </c>
      <c r="K3194" t="n">
        <v>0</v>
      </c>
      <c r="L3194" t="n">
        <v>0</v>
      </c>
      <c r="M3194" t="n">
        <v>0</v>
      </c>
      <c r="N3194" t="n">
        <v>0</v>
      </c>
      <c r="O3194" t="n">
        <v>0</v>
      </c>
      <c r="P3194" t="n">
        <v>0</v>
      </c>
      <c r="Q3194" t="n">
        <v>0</v>
      </c>
      <c r="R3194" s="2" t="inlineStr"/>
    </row>
    <row r="3195" ht="15" customHeight="1">
      <c r="A3195" t="inlineStr">
        <is>
          <t>A 31490-2020</t>
        </is>
      </c>
      <c r="B3195" s="1" t="n">
        <v>44013</v>
      </c>
      <c r="C3195" s="1" t="n">
        <v>45204</v>
      </c>
      <c r="D3195" t="inlineStr">
        <is>
          <t>VÄSTERBOTTENS LÄN</t>
        </is>
      </c>
      <c r="E3195" t="inlineStr">
        <is>
          <t>SKELLEFTEÅ</t>
        </is>
      </c>
      <c r="F3195" t="inlineStr">
        <is>
          <t>Kommuner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31515-2020</t>
        </is>
      </c>
      <c r="B3196" s="1" t="n">
        <v>44013</v>
      </c>
      <c r="C3196" s="1" t="n">
        <v>45204</v>
      </c>
      <c r="D3196" t="inlineStr">
        <is>
          <t>VÄSTERBOTTENS LÄN</t>
        </is>
      </c>
      <c r="E3196" t="inlineStr">
        <is>
          <t>SKELLEFTEÅ</t>
        </is>
      </c>
      <c r="F3196" t="inlineStr">
        <is>
          <t>Holmen skog AB</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31570-2020</t>
        </is>
      </c>
      <c r="B3197" s="1" t="n">
        <v>44013</v>
      </c>
      <c r="C3197" s="1" t="n">
        <v>45204</v>
      </c>
      <c r="D3197" t="inlineStr">
        <is>
          <t>VÄSTERBOTTENS LÄN</t>
        </is>
      </c>
      <c r="E3197" t="inlineStr">
        <is>
          <t>ROBERTSFORS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31582-2020</t>
        </is>
      </c>
      <c r="B3198" s="1" t="n">
        <v>44013</v>
      </c>
      <c r="C3198" s="1" t="n">
        <v>45204</v>
      </c>
      <c r="D3198" t="inlineStr">
        <is>
          <t>VÄSTERBOTTENS LÄN</t>
        </is>
      </c>
      <c r="E3198" t="inlineStr">
        <is>
          <t>ROBERTSFORS</t>
        </is>
      </c>
      <c r="G3198" t="n">
        <v>3.4</v>
      </c>
      <c r="H3198" t="n">
        <v>0</v>
      </c>
      <c r="I3198" t="n">
        <v>0</v>
      </c>
      <c r="J3198" t="n">
        <v>0</v>
      </c>
      <c r="K3198" t="n">
        <v>0</v>
      </c>
      <c r="L3198" t="n">
        <v>0</v>
      </c>
      <c r="M3198" t="n">
        <v>0</v>
      </c>
      <c r="N3198" t="n">
        <v>0</v>
      </c>
      <c r="O3198" t="n">
        <v>0</v>
      </c>
      <c r="P3198" t="n">
        <v>0</v>
      </c>
      <c r="Q3198" t="n">
        <v>0</v>
      </c>
      <c r="R3198" s="2" t="inlineStr"/>
    </row>
    <row r="3199" ht="15" customHeight="1">
      <c r="A3199" t="inlineStr">
        <is>
          <t>A 31734-2020</t>
        </is>
      </c>
      <c r="B3199" s="1" t="n">
        <v>44013</v>
      </c>
      <c r="C3199" s="1" t="n">
        <v>45204</v>
      </c>
      <c r="D3199" t="inlineStr">
        <is>
          <t>VÄSTERBOTTENS LÄN</t>
        </is>
      </c>
      <c r="E3199" t="inlineStr">
        <is>
          <t>SKELLEFTEÅ</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31501-2020</t>
        </is>
      </c>
      <c r="B3200" s="1" t="n">
        <v>44013</v>
      </c>
      <c r="C3200" s="1" t="n">
        <v>45204</v>
      </c>
      <c r="D3200" t="inlineStr">
        <is>
          <t>VÄSTERBOTTENS LÄN</t>
        </is>
      </c>
      <c r="E3200" t="inlineStr">
        <is>
          <t>SKELLEFTEÅ</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31562-2020</t>
        </is>
      </c>
      <c r="B3201" s="1" t="n">
        <v>44013</v>
      </c>
      <c r="C3201" s="1" t="n">
        <v>45204</v>
      </c>
      <c r="D3201" t="inlineStr">
        <is>
          <t>VÄSTERBOTTENS LÄN</t>
        </is>
      </c>
      <c r="E3201" t="inlineStr">
        <is>
          <t>ROBERTSFORS</t>
        </is>
      </c>
      <c r="G3201" t="n">
        <v>6.2</v>
      </c>
      <c r="H3201" t="n">
        <v>0</v>
      </c>
      <c r="I3201" t="n">
        <v>0</v>
      </c>
      <c r="J3201" t="n">
        <v>0</v>
      </c>
      <c r="K3201" t="n">
        <v>0</v>
      </c>
      <c r="L3201" t="n">
        <v>0</v>
      </c>
      <c r="M3201" t="n">
        <v>0</v>
      </c>
      <c r="N3201" t="n">
        <v>0</v>
      </c>
      <c r="O3201" t="n">
        <v>0</v>
      </c>
      <c r="P3201" t="n">
        <v>0</v>
      </c>
      <c r="Q3201" t="n">
        <v>0</v>
      </c>
      <c r="R3201" s="2" t="inlineStr"/>
    </row>
    <row r="3202" ht="15" customHeight="1">
      <c r="A3202" t="inlineStr">
        <is>
          <t>A 31572-2020</t>
        </is>
      </c>
      <c r="B3202" s="1" t="n">
        <v>44013</v>
      </c>
      <c r="C3202" s="1" t="n">
        <v>45204</v>
      </c>
      <c r="D3202" t="inlineStr">
        <is>
          <t>VÄSTERBOTTENS LÄN</t>
        </is>
      </c>
      <c r="E3202" t="inlineStr">
        <is>
          <t>ROBERTSFORS</t>
        </is>
      </c>
      <c r="G3202" t="n">
        <v>7.1</v>
      </c>
      <c r="H3202" t="n">
        <v>0</v>
      </c>
      <c r="I3202" t="n">
        <v>0</v>
      </c>
      <c r="J3202" t="n">
        <v>0</v>
      </c>
      <c r="K3202" t="n">
        <v>0</v>
      </c>
      <c r="L3202" t="n">
        <v>0</v>
      </c>
      <c r="M3202" t="n">
        <v>0</v>
      </c>
      <c r="N3202" t="n">
        <v>0</v>
      </c>
      <c r="O3202" t="n">
        <v>0</v>
      </c>
      <c r="P3202" t="n">
        <v>0</v>
      </c>
      <c r="Q3202" t="n">
        <v>0</v>
      </c>
      <c r="R3202" s="2" t="inlineStr"/>
    </row>
    <row r="3203" ht="15" customHeight="1">
      <c r="A3203" t="inlineStr">
        <is>
          <t>A 31736-2020</t>
        </is>
      </c>
      <c r="B3203" s="1" t="n">
        <v>44013</v>
      </c>
      <c r="C3203" s="1" t="n">
        <v>45204</v>
      </c>
      <c r="D3203" t="inlineStr">
        <is>
          <t>VÄSTERBOTTENS LÄN</t>
        </is>
      </c>
      <c r="E3203" t="inlineStr">
        <is>
          <t>SKELLEFTEÅ</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31519-2020</t>
        </is>
      </c>
      <c r="B3204" s="1" t="n">
        <v>44013</v>
      </c>
      <c r="C3204" s="1" t="n">
        <v>45204</v>
      </c>
      <c r="D3204" t="inlineStr">
        <is>
          <t>VÄSTERBOTTENS LÄN</t>
        </is>
      </c>
      <c r="E3204" t="inlineStr">
        <is>
          <t>SKELLEFTEÅ</t>
        </is>
      </c>
      <c r="F3204" t="inlineStr">
        <is>
          <t>Holmen skog AB</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31715-2020</t>
        </is>
      </c>
      <c r="B3205" s="1" t="n">
        <v>44013</v>
      </c>
      <c r="C3205" s="1" t="n">
        <v>45204</v>
      </c>
      <c r="D3205" t="inlineStr">
        <is>
          <t>VÄSTERBOTTENS LÄN</t>
        </is>
      </c>
      <c r="E3205" t="inlineStr">
        <is>
          <t>STORUMAN</t>
        </is>
      </c>
      <c r="F3205" t="inlineStr">
        <is>
          <t>Allmännings- och besparingsskogar</t>
        </is>
      </c>
      <c r="G3205" t="n">
        <v>18.1</v>
      </c>
      <c r="H3205" t="n">
        <v>0</v>
      </c>
      <c r="I3205" t="n">
        <v>0</v>
      </c>
      <c r="J3205" t="n">
        <v>0</v>
      </c>
      <c r="K3205" t="n">
        <v>0</v>
      </c>
      <c r="L3205" t="n">
        <v>0</v>
      </c>
      <c r="M3205" t="n">
        <v>0</v>
      </c>
      <c r="N3205" t="n">
        <v>0</v>
      </c>
      <c r="O3205" t="n">
        <v>0</v>
      </c>
      <c r="P3205" t="n">
        <v>0</v>
      </c>
      <c r="Q3205" t="n">
        <v>0</v>
      </c>
      <c r="R3205" s="2" t="inlineStr"/>
    </row>
    <row r="3206" ht="15" customHeight="1">
      <c r="A3206" t="inlineStr">
        <is>
          <t>A 31780-2020</t>
        </is>
      </c>
      <c r="B3206" s="1" t="n">
        <v>44013</v>
      </c>
      <c r="C3206" s="1" t="n">
        <v>45204</v>
      </c>
      <c r="D3206" t="inlineStr">
        <is>
          <t>VÄSTERBOTTENS LÄN</t>
        </is>
      </c>
      <c r="E3206" t="inlineStr">
        <is>
          <t>STORUMAN</t>
        </is>
      </c>
      <c r="F3206" t="inlineStr">
        <is>
          <t>Allmännings- och besparingsskogar</t>
        </is>
      </c>
      <c r="G3206" t="n">
        <v>17.5</v>
      </c>
      <c r="H3206" t="n">
        <v>0</v>
      </c>
      <c r="I3206" t="n">
        <v>0</v>
      </c>
      <c r="J3206" t="n">
        <v>0</v>
      </c>
      <c r="K3206" t="n">
        <v>0</v>
      </c>
      <c r="L3206" t="n">
        <v>0</v>
      </c>
      <c r="M3206" t="n">
        <v>0</v>
      </c>
      <c r="N3206" t="n">
        <v>0</v>
      </c>
      <c r="O3206" t="n">
        <v>0</v>
      </c>
      <c r="P3206" t="n">
        <v>0</v>
      </c>
      <c r="Q3206" t="n">
        <v>0</v>
      </c>
      <c r="R3206" s="2" t="inlineStr"/>
    </row>
    <row r="3207" ht="15" customHeight="1">
      <c r="A3207" t="inlineStr">
        <is>
          <t>A 31743-2020</t>
        </is>
      </c>
      <c r="B3207" s="1" t="n">
        <v>44014</v>
      </c>
      <c r="C3207" s="1" t="n">
        <v>45204</v>
      </c>
      <c r="D3207" t="inlineStr">
        <is>
          <t>VÄSTERBOTTENS LÄN</t>
        </is>
      </c>
      <c r="E3207" t="inlineStr">
        <is>
          <t>LYCKSELE</t>
        </is>
      </c>
      <c r="F3207" t="inlineStr">
        <is>
          <t>Holmen skog AB</t>
        </is>
      </c>
      <c r="G3207" t="n">
        <v>6.6</v>
      </c>
      <c r="H3207" t="n">
        <v>0</v>
      </c>
      <c r="I3207" t="n">
        <v>0</v>
      </c>
      <c r="J3207" t="n">
        <v>0</v>
      </c>
      <c r="K3207" t="n">
        <v>0</v>
      </c>
      <c r="L3207" t="n">
        <v>0</v>
      </c>
      <c r="M3207" t="n">
        <v>0</v>
      </c>
      <c r="N3207" t="n">
        <v>0</v>
      </c>
      <c r="O3207" t="n">
        <v>0</v>
      </c>
      <c r="P3207" t="n">
        <v>0</v>
      </c>
      <c r="Q3207" t="n">
        <v>0</v>
      </c>
      <c r="R3207" s="2" t="inlineStr"/>
    </row>
    <row r="3208" ht="15" customHeight="1">
      <c r="A3208" t="inlineStr">
        <is>
          <t>A 31895-2020</t>
        </is>
      </c>
      <c r="B3208" s="1" t="n">
        <v>44014</v>
      </c>
      <c r="C3208" s="1" t="n">
        <v>45204</v>
      </c>
      <c r="D3208" t="inlineStr">
        <is>
          <t>VÄSTERBOTTENS LÄN</t>
        </is>
      </c>
      <c r="E3208" t="inlineStr">
        <is>
          <t>VÄNNÄS</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31995-2020</t>
        </is>
      </c>
      <c r="B3209" s="1" t="n">
        <v>44014</v>
      </c>
      <c r="C3209" s="1" t="n">
        <v>45204</v>
      </c>
      <c r="D3209" t="inlineStr">
        <is>
          <t>VÄSTERBOTTENS LÄN</t>
        </is>
      </c>
      <c r="E3209" t="inlineStr">
        <is>
          <t>VINDELN</t>
        </is>
      </c>
      <c r="F3209" t="inlineStr">
        <is>
          <t>SCA</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31992-2020</t>
        </is>
      </c>
      <c r="B3210" s="1" t="n">
        <v>44014</v>
      </c>
      <c r="C3210" s="1" t="n">
        <v>45204</v>
      </c>
      <c r="D3210" t="inlineStr">
        <is>
          <t>VÄSTERBOTTENS LÄN</t>
        </is>
      </c>
      <c r="E3210" t="inlineStr">
        <is>
          <t>VINDELN</t>
        </is>
      </c>
      <c r="F3210" t="inlineStr">
        <is>
          <t>SCA</t>
        </is>
      </c>
      <c r="G3210" t="n">
        <v>6.8</v>
      </c>
      <c r="H3210" t="n">
        <v>0</v>
      </c>
      <c r="I3210" t="n">
        <v>0</v>
      </c>
      <c r="J3210" t="n">
        <v>0</v>
      </c>
      <c r="K3210" t="n">
        <v>0</v>
      </c>
      <c r="L3210" t="n">
        <v>0</v>
      </c>
      <c r="M3210" t="n">
        <v>0</v>
      </c>
      <c r="N3210" t="n">
        <v>0</v>
      </c>
      <c r="O3210" t="n">
        <v>0</v>
      </c>
      <c r="P3210" t="n">
        <v>0</v>
      </c>
      <c r="Q3210" t="n">
        <v>0</v>
      </c>
      <c r="R3210" s="2" t="inlineStr"/>
    </row>
    <row r="3211" ht="15" customHeight="1">
      <c r="A3211" t="inlineStr">
        <is>
          <t>A 31999-2020</t>
        </is>
      </c>
      <c r="B3211" s="1" t="n">
        <v>44014</v>
      </c>
      <c r="C3211" s="1" t="n">
        <v>45204</v>
      </c>
      <c r="D3211" t="inlineStr">
        <is>
          <t>VÄSTERBOTTENS LÄN</t>
        </is>
      </c>
      <c r="E3211" t="inlineStr">
        <is>
          <t>VINDELN</t>
        </is>
      </c>
      <c r="F3211" t="inlineStr">
        <is>
          <t>SCA</t>
        </is>
      </c>
      <c r="G3211" t="n">
        <v>2.1</v>
      </c>
      <c r="H3211" t="n">
        <v>0</v>
      </c>
      <c r="I3211" t="n">
        <v>0</v>
      </c>
      <c r="J3211" t="n">
        <v>0</v>
      </c>
      <c r="K3211" t="n">
        <v>0</v>
      </c>
      <c r="L3211" t="n">
        <v>0</v>
      </c>
      <c r="M3211" t="n">
        <v>0</v>
      </c>
      <c r="N3211" t="n">
        <v>0</v>
      </c>
      <c r="O3211" t="n">
        <v>0</v>
      </c>
      <c r="P3211" t="n">
        <v>0</v>
      </c>
      <c r="Q3211" t="n">
        <v>0</v>
      </c>
      <c r="R3211" s="2" t="inlineStr"/>
    </row>
    <row r="3212" ht="15" customHeight="1">
      <c r="A3212" t="inlineStr">
        <is>
          <t>A 31754-2020</t>
        </is>
      </c>
      <c r="B3212" s="1" t="n">
        <v>44014</v>
      </c>
      <c r="C3212" s="1" t="n">
        <v>45204</v>
      </c>
      <c r="D3212" t="inlineStr">
        <is>
          <t>VÄSTERBOTTENS LÄN</t>
        </is>
      </c>
      <c r="E3212" t="inlineStr">
        <is>
          <t>ROBERTSFORS</t>
        </is>
      </c>
      <c r="F3212" t="inlineStr">
        <is>
          <t>Holmen skog AB</t>
        </is>
      </c>
      <c r="G3212" t="n">
        <v>7.5</v>
      </c>
      <c r="H3212" t="n">
        <v>0</v>
      </c>
      <c r="I3212" t="n">
        <v>0</v>
      </c>
      <c r="J3212" t="n">
        <v>0</v>
      </c>
      <c r="K3212" t="n">
        <v>0</v>
      </c>
      <c r="L3212" t="n">
        <v>0</v>
      </c>
      <c r="M3212" t="n">
        <v>0</v>
      </c>
      <c r="N3212" t="n">
        <v>0</v>
      </c>
      <c r="O3212" t="n">
        <v>0</v>
      </c>
      <c r="P3212" t="n">
        <v>0</v>
      </c>
      <c r="Q3212" t="n">
        <v>0</v>
      </c>
      <c r="R3212" s="2" t="inlineStr"/>
    </row>
    <row r="3213" ht="15" customHeight="1">
      <c r="A3213" t="inlineStr">
        <is>
          <t>A 31993-2020</t>
        </is>
      </c>
      <c r="B3213" s="1" t="n">
        <v>44014</v>
      </c>
      <c r="C3213" s="1" t="n">
        <v>45204</v>
      </c>
      <c r="D3213" t="inlineStr">
        <is>
          <t>VÄSTERBOTTENS LÄN</t>
        </is>
      </c>
      <c r="E3213" t="inlineStr">
        <is>
          <t>VINDELN</t>
        </is>
      </c>
      <c r="F3213" t="inlineStr">
        <is>
          <t>SCA</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32079-2020</t>
        </is>
      </c>
      <c r="B3214" s="1" t="n">
        <v>44014</v>
      </c>
      <c r="C3214" s="1" t="n">
        <v>45204</v>
      </c>
      <c r="D3214" t="inlineStr">
        <is>
          <t>VÄSTERBOTTENS LÄN</t>
        </is>
      </c>
      <c r="E3214" t="inlineStr">
        <is>
          <t>ÅSELE</t>
        </is>
      </c>
      <c r="G3214" t="n">
        <v>6.5</v>
      </c>
      <c r="H3214" t="n">
        <v>0</v>
      </c>
      <c r="I3214" t="n">
        <v>0</v>
      </c>
      <c r="J3214" t="n">
        <v>0</v>
      </c>
      <c r="K3214" t="n">
        <v>0</v>
      </c>
      <c r="L3214" t="n">
        <v>0</v>
      </c>
      <c r="M3214" t="n">
        <v>0</v>
      </c>
      <c r="N3214" t="n">
        <v>0</v>
      </c>
      <c r="O3214" t="n">
        <v>0</v>
      </c>
      <c r="P3214" t="n">
        <v>0</v>
      </c>
      <c r="Q3214" t="n">
        <v>0</v>
      </c>
      <c r="R3214" s="2" t="inlineStr"/>
    </row>
    <row r="3215" ht="15" customHeight="1">
      <c r="A3215" t="inlineStr">
        <is>
          <t>A 32173-2020</t>
        </is>
      </c>
      <c r="B3215" s="1" t="n">
        <v>44015</v>
      </c>
      <c r="C3215" s="1" t="n">
        <v>45204</v>
      </c>
      <c r="D3215" t="inlineStr">
        <is>
          <t>VÄSTERBOTTENS LÄN</t>
        </is>
      </c>
      <c r="E3215" t="inlineStr">
        <is>
          <t>SKELLEFTEÅ</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32188-2020</t>
        </is>
      </c>
      <c r="B3216" s="1" t="n">
        <v>44015</v>
      </c>
      <c r="C3216" s="1" t="n">
        <v>45204</v>
      </c>
      <c r="D3216" t="inlineStr">
        <is>
          <t>VÄSTERBOTTENS LÄN</t>
        </is>
      </c>
      <c r="E3216" t="inlineStr">
        <is>
          <t>LYCKSELE</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32321-2020</t>
        </is>
      </c>
      <c r="B3217" s="1" t="n">
        <v>44015</v>
      </c>
      <c r="C3217" s="1" t="n">
        <v>45204</v>
      </c>
      <c r="D3217" t="inlineStr">
        <is>
          <t>VÄSTERBOTTENS LÄN</t>
        </is>
      </c>
      <c r="E3217" t="inlineStr">
        <is>
          <t>ROBERTSFORS</t>
        </is>
      </c>
      <c r="G3217" t="n">
        <v>4.1</v>
      </c>
      <c r="H3217" t="n">
        <v>0</v>
      </c>
      <c r="I3217" t="n">
        <v>0</v>
      </c>
      <c r="J3217" t="n">
        <v>0</v>
      </c>
      <c r="K3217" t="n">
        <v>0</v>
      </c>
      <c r="L3217" t="n">
        <v>0</v>
      </c>
      <c r="M3217" t="n">
        <v>0</v>
      </c>
      <c r="N3217" t="n">
        <v>0</v>
      </c>
      <c r="O3217" t="n">
        <v>0</v>
      </c>
      <c r="P3217" t="n">
        <v>0</v>
      </c>
      <c r="Q3217" t="n">
        <v>0</v>
      </c>
      <c r="R3217" s="2" t="inlineStr"/>
    </row>
    <row r="3218" ht="15" customHeight="1">
      <c r="A3218" t="inlineStr">
        <is>
          <t>A 32176-2020</t>
        </is>
      </c>
      <c r="B3218" s="1" t="n">
        <v>44015</v>
      </c>
      <c r="C3218" s="1" t="n">
        <v>45204</v>
      </c>
      <c r="D3218" t="inlineStr">
        <is>
          <t>VÄSTERBOTTENS LÄN</t>
        </is>
      </c>
      <c r="E3218" t="inlineStr">
        <is>
          <t>LYCKSELE</t>
        </is>
      </c>
      <c r="F3218" t="inlineStr">
        <is>
          <t>Sveaskog</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32184-2020</t>
        </is>
      </c>
      <c r="B3219" s="1" t="n">
        <v>44015</v>
      </c>
      <c r="C3219" s="1" t="n">
        <v>45204</v>
      </c>
      <c r="D3219" t="inlineStr">
        <is>
          <t>VÄSTERBOTTENS LÄN</t>
        </is>
      </c>
      <c r="E3219" t="inlineStr">
        <is>
          <t>NORSJÖ</t>
        </is>
      </c>
      <c r="F3219" t="inlineStr">
        <is>
          <t>Holmen skog AB</t>
        </is>
      </c>
      <c r="G3219" t="n">
        <v>3.6</v>
      </c>
      <c r="H3219" t="n">
        <v>0</v>
      </c>
      <c r="I3219" t="n">
        <v>0</v>
      </c>
      <c r="J3219" t="n">
        <v>0</v>
      </c>
      <c r="K3219" t="n">
        <v>0</v>
      </c>
      <c r="L3219" t="n">
        <v>0</v>
      </c>
      <c r="M3219" t="n">
        <v>0</v>
      </c>
      <c r="N3219" t="n">
        <v>0</v>
      </c>
      <c r="O3219" t="n">
        <v>0</v>
      </c>
      <c r="P3219" t="n">
        <v>0</v>
      </c>
      <c r="Q3219" t="n">
        <v>0</v>
      </c>
      <c r="R3219" s="2" t="inlineStr"/>
    </row>
    <row r="3220" ht="15" customHeight="1">
      <c r="A3220" t="inlineStr">
        <is>
          <t>A 32298-2020</t>
        </is>
      </c>
      <c r="B3220" s="1" t="n">
        <v>44015</v>
      </c>
      <c r="C3220" s="1" t="n">
        <v>45204</v>
      </c>
      <c r="D3220" t="inlineStr">
        <is>
          <t>VÄSTERBOTTENS LÄN</t>
        </is>
      </c>
      <c r="E3220" t="inlineStr">
        <is>
          <t>DOROTEA</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32329-2020</t>
        </is>
      </c>
      <c r="B3221" s="1" t="n">
        <v>44016</v>
      </c>
      <c r="C3221" s="1" t="n">
        <v>45204</v>
      </c>
      <c r="D3221" t="inlineStr">
        <is>
          <t>VÄSTERBOTTENS LÄN</t>
        </is>
      </c>
      <c r="E3221" t="inlineStr">
        <is>
          <t>VÄNNÄS</t>
        </is>
      </c>
      <c r="G3221" t="n">
        <v>3.3</v>
      </c>
      <c r="H3221" t="n">
        <v>0</v>
      </c>
      <c r="I3221" t="n">
        <v>0</v>
      </c>
      <c r="J3221" t="n">
        <v>0</v>
      </c>
      <c r="K3221" t="n">
        <v>0</v>
      </c>
      <c r="L3221" t="n">
        <v>0</v>
      </c>
      <c r="M3221" t="n">
        <v>0</v>
      </c>
      <c r="N3221" t="n">
        <v>0</v>
      </c>
      <c r="O3221" t="n">
        <v>0</v>
      </c>
      <c r="P3221" t="n">
        <v>0</v>
      </c>
      <c r="Q3221" t="n">
        <v>0</v>
      </c>
      <c r="R3221" s="2" t="inlineStr"/>
    </row>
    <row r="3222" ht="15" customHeight="1">
      <c r="A3222" t="inlineStr">
        <is>
          <t>A 32330-2020</t>
        </is>
      </c>
      <c r="B3222" s="1" t="n">
        <v>44016</v>
      </c>
      <c r="C3222" s="1" t="n">
        <v>45204</v>
      </c>
      <c r="D3222" t="inlineStr">
        <is>
          <t>VÄSTERBOTTENS LÄN</t>
        </is>
      </c>
      <c r="E3222" t="inlineStr">
        <is>
          <t>VÄNNÄS</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32526-2020</t>
        </is>
      </c>
      <c r="B3223" s="1" t="n">
        <v>44017</v>
      </c>
      <c r="C3223" s="1" t="n">
        <v>45204</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32549-2020</t>
        </is>
      </c>
      <c r="B3224" s="1" t="n">
        <v>44017</v>
      </c>
      <c r="C3224" s="1" t="n">
        <v>45204</v>
      </c>
      <c r="D3224" t="inlineStr">
        <is>
          <t>VÄSTERBOTTENS LÄN</t>
        </is>
      </c>
      <c r="E3224" t="inlineStr">
        <is>
          <t>SKELLEFTEÅ</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32511-2020</t>
        </is>
      </c>
      <c r="B3225" s="1" t="n">
        <v>44017</v>
      </c>
      <c r="C3225" s="1" t="n">
        <v>45204</v>
      </c>
      <c r="D3225" t="inlineStr">
        <is>
          <t>VÄSTERBOTTENS LÄN</t>
        </is>
      </c>
      <c r="E3225" t="inlineStr">
        <is>
          <t>SKELLEFTEÅ</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32530-2020</t>
        </is>
      </c>
      <c r="B3226" s="1" t="n">
        <v>44017</v>
      </c>
      <c r="C3226" s="1" t="n">
        <v>45204</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32394-2020</t>
        </is>
      </c>
      <c r="B3227" s="1" t="n">
        <v>44018</v>
      </c>
      <c r="C3227" s="1" t="n">
        <v>45204</v>
      </c>
      <c r="D3227" t="inlineStr">
        <is>
          <t>VÄSTERBOTTENS LÄN</t>
        </is>
      </c>
      <c r="E3227" t="inlineStr">
        <is>
          <t>STORUMAN</t>
        </is>
      </c>
      <c r="F3227" t="inlineStr">
        <is>
          <t>Sveaskog</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32716-2020</t>
        </is>
      </c>
      <c r="B3228" s="1" t="n">
        <v>44018</v>
      </c>
      <c r="C3228" s="1" t="n">
        <v>45204</v>
      </c>
      <c r="D3228" t="inlineStr">
        <is>
          <t>VÄSTERBOTTENS LÄN</t>
        </is>
      </c>
      <c r="E3228" t="inlineStr">
        <is>
          <t>STORUMAN</t>
        </is>
      </c>
      <c r="G3228" t="n">
        <v>5.2</v>
      </c>
      <c r="H3228" t="n">
        <v>0</v>
      </c>
      <c r="I3228" t="n">
        <v>0</v>
      </c>
      <c r="J3228" t="n">
        <v>0</v>
      </c>
      <c r="K3228" t="n">
        <v>0</v>
      </c>
      <c r="L3228" t="n">
        <v>0</v>
      </c>
      <c r="M3228" t="n">
        <v>0</v>
      </c>
      <c r="N3228" t="n">
        <v>0</v>
      </c>
      <c r="O3228" t="n">
        <v>0</v>
      </c>
      <c r="P3228" t="n">
        <v>0</v>
      </c>
      <c r="Q3228" t="n">
        <v>0</v>
      </c>
      <c r="R3228" s="2" t="inlineStr"/>
    </row>
    <row r="3229" ht="15" customHeight="1">
      <c r="A3229" t="inlineStr">
        <is>
          <t>A 32714-2020</t>
        </is>
      </c>
      <c r="B3229" s="1" t="n">
        <v>44018</v>
      </c>
      <c r="C3229" s="1" t="n">
        <v>45204</v>
      </c>
      <c r="D3229" t="inlineStr">
        <is>
          <t>VÄSTERBOTTENS LÄN</t>
        </is>
      </c>
      <c r="E3229" t="inlineStr">
        <is>
          <t>STORUMAN</t>
        </is>
      </c>
      <c r="G3229" t="n">
        <v>21.3</v>
      </c>
      <c r="H3229" t="n">
        <v>0</v>
      </c>
      <c r="I3229" t="n">
        <v>0</v>
      </c>
      <c r="J3229" t="n">
        <v>0</v>
      </c>
      <c r="K3229" t="n">
        <v>0</v>
      </c>
      <c r="L3229" t="n">
        <v>0</v>
      </c>
      <c r="M3229" t="n">
        <v>0</v>
      </c>
      <c r="N3229" t="n">
        <v>0</v>
      </c>
      <c r="O3229" t="n">
        <v>0</v>
      </c>
      <c r="P3229" t="n">
        <v>0</v>
      </c>
      <c r="Q3229" t="n">
        <v>0</v>
      </c>
      <c r="R3229" s="2" t="inlineStr"/>
    </row>
    <row r="3230" ht="15" customHeight="1">
      <c r="A3230" t="inlineStr">
        <is>
          <t>A 32391-2020</t>
        </is>
      </c>
      <c r="B3230" s="1" t="n">
        <v>44018</v>
      </c>
      <c r="C3230" s="1" t="n">
        <v>45204</v>
      </c>
      <c r="D3230" t="inlineStr">
        <is>
          <t>VÄSTERBOTTENS LÄN</t>
        </is>
      </c>
      <c r="E3230" t="inlineStr">
        <is>
          <t>STORUMAN</t>
        </is>
      </c>
      <c r="F3230" t="inlineStr">
        <is>
          <t>Sveaskog</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32571-2020</t>
        </is>
      </c>
      <c r="B3231" s="1" t="n">
        <v>44018</v>
      </c>
      <c r="C3231" s="1" t="n">
        <v>45204</v>
      </c>
      <c r="D3231" t="inlineStr">
        <is>
          <t>VÄSTERBOTTENS LÄN</t>
        </is>
      </c>
      <c r="E3231" t="inlineStr">
        <is>
          <t>UMEÅ</t>
        </is>
      </c>
      <c r="F3231" t="inlineStr">
        <is>
          <t>Holmen skog AB</t>
        </is>
      </c>
      <c r="G3231" t="n">
        <v>3.4</v>
      </c>
      <c r="H3231" t="n">
        <v>0</v>
      </c>
      <c r="I3231" t="n">
        <v>0</v>
      </c>
      <c r="J3231" t="n">
        <v>0</v>
      </c>
      <c r="K3231" t="n">
        <v>0</v>
      </c>
      <c r="L3231" t="n">
        <v>0</v>
      </c>
      <c r="M3231" t="n">
        <v>0</v>
      </c>
      <c r="N3231" t="n">
        <v>0</v>
      </c>
      <c r="O3231" t="n">
        <v>0</v>
      </c>
      <c r="P3231" t="n">
        <v>0</v>
      </c>
      <c r="Q3231" t="n">
        <v>0</v>
      </c>
      <c r="R3231" s="2" t="inlineStr"/>
    </row>
    <row r="3232" ht="15" customHeight="1">
      <c r="A3232" t="inlineStr">
        <is>
          <t>A 33021-2020</t>
        </is>
      </c>
      <c r="B3232" s="1" t="n">
        <v>44019</v>
      </c>
      <c r="C3232" s="1" t="n">
        <v>45204</v>
      </c>
      <c r="D3232" t="inlineStr">
        <is>
          <t>VÄSTERBOTTENS LÄN</t>
        </is>
      </c>
      <c r="E3232" t="inlineStr">
        <is>
          <t>UMEÅ</t>
        </is>
      </c>
      <c r="G3232" t="n">
        <v>4.4</v>
      </c>
      <c r="H3232" t="n">
        <v>0</v>
      </c>
      <c r="I3232" t="n">
        <v>0</v>
      </c>
      <c r="J3232" t="n">
        <v>0</v>
      </c>
      <c r="K3232" t="n">
        <v>0</v>
      </c>
      <c r="L3232" t="n">
        <v>0</v>
      </c>
      <c r="M3232" t="n">
        <v>0</v>
      </c>
      <c r="N3232" t="n">
        <v>0</v>
      </c>
      <c r="O3232" t="n">
        <v>0</v>
      </c>
      <c r="P3232" t="n">
        <v>0</v>
      </c>
      <c r="Q3232" t="n">
        <v>0</v>
      </c>
      <c r="R3232" s="2" t="inlineStr"/>
    </row>
    <row r="3233" ht="15" customHeight="1">
      <c r="A3233" t="inlineStr">
        <is>
          <t>A 32625-2020</t>
        </is>
      </c>
      <c r="B3233" s="1" t="n">
        <v>44019</v>
      </c>
      <c r="C3233" s="1" t="n">
        <v>45204</v>
      </c>
      <c r="D3233" t="inlineStr">
        <is>
          <t>VÄSTERBOTTENS LÄN</t>
        </is>
      </c>
      <c r="E3233" t="inlineStr">
        <is>
          <t>ROBERTSFORS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32670-2020</t>
        </is>
      </c>
      <c r="B3234" s="1" t="n">
        <v>44019</v>
      </c>
      <c r="C3234" s="1" t="n">
        <v>45204</v>
      </c>
      <c r="D3234" t="inlineStr">
        <is>
          <t>VÄSTERBOTTENS LÄN</t>
        </is>
      </c>
      <c r="E3234" t="inlineStr">
        <is>
          <t>NORSJÖ</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32885-2020</t>
        </is>
      </c>
      <c r="B3235" s="1" t="n">
        <v>44020</v>
      </c>
      <c r="C3235" s="1" t="n">
        <v>45204</v>
      </c>
      <c r="D3235" t="inlineStr">
        <is>
          <t>VÄSTERBOTTENS LÄN</t>
        </is>
      </c>
      <c r="E3235" t="inlineStr">
        <is>
          <t>SKELLEFTEÅ</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32864-2020</t>
        </is>
      </c>
      <c r="B3236" s="1" t="n">
        <v>44020</v>
      </c>
      <c r="C3236" s="1" t="n">
        <v>45204</v>
      </c>
      <c r="D3236" t="inlineStr">
        <is>
          <t>VÄSTERBOTTENS LÄN</t>
        </is>
      </c>
      <c r="E3236" t="inlineStr">
        <is>
          <t>SKELLEFTEÅ</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33082-2020</t>
        </is>
      </c>
      <c r="B3237" s="1" t="n">
        <v>44021</v>
      </c>
      <c r="C3237" s="1" t="n">
        <v>45204</v>
      </c>
      <c r="D3237" t="inlineStr">
        <is>
          <t>VÄSTERBOTTENS LÄN</t>
        </is>
      </c>
      <c r="E3237" t="inlineStr">
        <is>
          <t>LYCKSELE</t>
        </is>
      </c>
      <c r="F3237" t="inlineStr">
        <is>
          <t>Sveaskog</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33347-2020</t>
        </is>
      </c>
      <c r="B3238" s="1" t="n">
        <v>44021</v>
      </c>
      <c r="C3238" s="1" t="n">
        <v>45204</v>
      </c>
      <c r="D3238" t="inlineStr">
        <is>
          <t>VÄSTERBOTTENS LÄN</t>
        </is>
      </c>
      <c r="E3238" t="inlineStr">
        <is>
          <t>LYCKSELE</t>
        </is>
      </c>
      <c r="G3238" t="n">
        <v>0.3</v>
      </c>
      <c r="H3238" t="n">
        <v>0</v>
      </c>
      <c r="I3238" t="n">
        <v>0</v>
      </c>
      <c r="J3238" t="n">
        <v>0</v>
      </c>
      <c r="K3238" t="n">
        <v>0</v>
      </c>
      <c r="L3238" t="n">
        <v>0</v>
      </c>
      <c r="M3238" t="n">
        <v>0</v>
      </c>
      <c r="N3238" t="n">
        <v>0</v>
      </c>
      <c r="O3238" t="n">
        <v>0</v>
      </c>
      <c r="P3238" t="n">
        <v>0</v>
      </c>
      <c r="Q3238" t="n">
        <v>0</v>
      </c>
      <c r="R3238" s="2" t="inlineStr"/>
    </row>
    <row r="3239" ht="15" customHeight="1">
      <c r="A3239" t="inlineStr">
        <is>
          <t>A 33574-2020</t>
        </is>
      </c>
      <c r="B3239" s="1" t="n">
        <v>44021</v>
      </c>
      <c r="C3239" s="1" t="n">
        <v>45204</v>
      </c>
      <c r="D3239" t="inlineStr">
        <is>
          <t>VÄSTERBOTTENS LÄN</t>
        </is>
      </c>
      <c r="E3239" t="inlineStr">
        <is>
          <t>UMEÅ</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33086-2020</t>
        </is>
      </c>
      <c r="B3240" s="1" t="n">
        <v>44021</v>
      </c>
      <c r="C3240" s="1" t="n">
        <v>45204</v>
      </c>
      <c r="D3240" t="inlineStr">
        <is>
          <t>VÄSTERBOTTENS LÄN</t>
        </is>
      </c>
      <c r="E3240" t="inlineStr">
        <is>
          <t>SKELLEFTEÅ</t>
        </is>
      </c>
      <c r="F3240" t="inlineStr">
        <is>
          <t>Holmen skog AB</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33109-2020</t>
        </is>
      </c>
      <c r="B3241" s="1" t="n">
        <v>44021</v>
      </c>
      <c r="C3241" s="1" t="n">
        <v>45204</v>
      </c>
      <c r="D3241" t="inlineStr">
        <is>
          <t>VÄSTERBOTTENS LÄN</t>
        </is>
      </c>
      <c r="E3241" t="inlineStr">
        <is>
          <t>LYCKSELE</t>
        </is>
      </c>
      <c r="F3241" t="inlineStr">
        <is>
          <t>Holmen skog AB</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33196-2020</t>
        </is>
      </c>
      <c r="B3242" s="1" t="n">
        <v>44021</v>
      </c>
      <c r="C3242" s="1" t="n">
        <v>45204</v>
      </c>
      <c r="D3242" t="inlineStr">
        <is>
          <t>VÄSTERBOTTENS LÄN</t>
        </is>
      </c>
      <c r="E3242" t="inlineStr">
        <is>
          <t>MALÅ</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33327-2020</t>
        </is>
      </c>
      <c r="B3243" s="1" t="n">
        <v>44022</v>
      </c>
      <c r="C3243" s="1" t="n">
        <v>45204</v>
      </c>
      <c r="D3243" t="inlineStr">
        <is>
          <t>VÄSTERBOTTENS LÄN</t>
        </is>
      </c>
      <c r="E3243" t="inlineStr">
        <is>
          <t>SKELLEFTEÅ</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33370-2020</t>
        </is>
      </c>
      <c r="B3244" s="1" t="n">
        <v>44022</v>
      </c>
      <c r="C3244" s="1" t="n">
        <v>45204</v>
      </c>
      <c r="D3244" t="inlineStr">
        <is>
          <t>VÄSTERBOTTENS LÄN</t>
        </is>
      </c>
      <c r="E3244" t="inlineStr">
        <is>
          <t>VILHELMINA</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33424-2020</t>
        </is>
      </c>
      <c r="B3245" s="1" t="n">
        <v>44022</v>
      </c>
      <c r="C3245" s="1" t="n">
        <v>45204</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33376-2020</t>
        </is>
      </c>
      <c r="B3246" s="1" t="n">
        <v>44022</v>
      </c>
      <c r="C3246" s="1" t="n">
        <v>45204</v>
      </c>
      <c r="D3246" t="inlineStr">
        <is>
          <t>VÄSTERBOTTENS LÄN</t>
        </is>
      </c>
      <c r="E3246" t="inlineStr">
        <is>
          <t>VINDELN</t>
        </is>
      </c>
      <c r="F3246" t="inlineStr">
        <is>
          <t>Holmen skog AB</t>
        </is>
      </c>
      <c r="G3246" t="n">
        <v>8.5</v>
      </c>
      <c r="H3246" t="n">
        <v>0</v>
      </c>
      <c r="I3246" t="n">
        <v>0</v>
      </c>
      <c r="J3246" t="n">
        <v>0</v>
      </c>
      <c r="K3246" t="n">
        <v>0</v>
      </c>
      <c r="L3246" t="n">
        <v>0</v>
      </c>
      <c r="M3246" t="n">
        <v>0</v>
      </c>
      <c r="N3246" t="n">
        <v>0</v>
      </c>
      <c r="O3246" t="n">
        <v>0</v>
      </c>
      <c r="P3246" t="n">
        <v>0</v>
      </c>
      <c r="Q3246" t="n">
        <v>0</v>
      </c>
      <c r="R3246" s="2" t="inlineStr"/>
    </row>
    <row r="3247" ht="15" customHeight="1">
      <c r="A3247" t="inlineStr">
        <is>
          <t>A 33734-2020</t>
        </is>
      </c>
      <c r="B3247" s="1" t="n">
        <v>44023</v>
      </c>
      <c r="C3247" s="1" t="n">
        <v>45204</v>
      </c>
      <c r="D3247" t="inlineStr">
        <is>
          <t>VÄSTERBOTTENS LÄN</t>
        </is>
      </c>
      <c r="E3247" t="inlineStr">
        <is>
          <t>NORSJÖ</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33731-2020</t>
        </is>
      </c>
      <c r="B3248" s="1" t="n">
        <v>44023</v>
      </c>
      <c r="C3248" s="1" t="n">
        <v>45204</v>
      </c>
      <c r="D3248" t="inlineStr">
        <is>
          <t>VÄSTERBOTTENS LÄN</t>
        </is>
      </c>
      <c r="E3248" t="inlineStr">
        <is>
          <t>NORSJÖ</t>
        </is>
      </c>
      <c r="G3248" t="n">
        <v>7.4</v>
      </c>
      <c r="H3248" t="n">
        <v>0</v>
      </c>
      <c r="I3248" t="n">
        <v>0</v>
      </c>
      <c r="J3248" t="n">
        <v>0</v>
      </c>
      <c r="K3248" t="n">
        <v>0</v>
      </c>
      <c r="L3248" t="n">
        <v>0</v>
      </c>
      <c r="M3248" t="n">
        <v>0</v>
      </c>
      <c r="N3248" t="n">
        <v>0</v>
      </c>
      <c r="O3248" t="n">
        <v>0</v>
      </c>
      <c r="P3248" t="n">
        <v>0</v>
      </c>
      <c r="Q3248" t="n">
        <v>0</v>
      </c>
      <c r="R3248" s="2" t="inlineStr"/>
    </row>
    <row r="3249" ht="15" customHeight="1">
      <c r="A3249" t="inlineStr">
        <is>
          <t>A 33484-2020</t>
        </is>
      </c>
      <c r="B3249" s="1" t="n">
        <v>44024</v>
      </c>
      <c r="C3249" s="1" t="n">
        <v>45204</v>
      </c>
      <c r="D3249" t="inlineStr">
        <is>
          <t>VÄSTERBOTTENS LÄN</t>
        </is>
      </c>
      <c r="E3249" t="inlineStr">
        <is>
          <t>LYCKSELE</t>
        </is>
      </c>
      <c r="F3249" t="inlineStr">
        <is>
          <t>Sveaskog</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33487-2020</t>
        </is>
      </c>
      <c r="B3250" s="1" t="n">
        <v>44024</v>
      </c>
      <c r="C3250" s="1" t="n">
        <v>45204</v>
      </c>
      <c r="D3250" t="inlineStr">
        <is>
          <t>VÄSTERBOTTENS LÄN</t>
        </is>
      </c>
      <c r="E3250" t="inlineStr">
        <is>
          <t>LYCKSELE</t>
        </is>
      </c>
      <c r="F3250" t="inlineStr">
        <is>
          <t>Sveaskog</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33593-2020</t>
        </is>
      </c>
      <c r="B3251" s="1" t="n">
        <v>44025</v>
      </c>
      <c r="C3251" s="1" t="n">
        <v>45204</v>
      </c>
      <c r="D3251" t="inlineStr">
        <is>
          <t>VÄSTERBOTTENS LÄN</t>
        </is>
      </c>
      <c r="E3251" t="inlineStr">
        <is>
          <t>ROBERTSFORS</t>
        </is>
      </c>
      <c r="F3251" t="inlineStr">
        <is>
          <t>Holmen skog AB</t>
        </is>
      </c>
      <c r="G3251" t="n">
        <v>1.8</v>
      </c>
      <c r="H3251" t="n">
        <v>0</v>
      </c>
      <c r="I3251" t="n">
        <v>0</v>
      </c>
      <c r="J3251" t="n">
        <v>0</v>
      </c>
      <c r="K3251" t="n">
        <v>0</v>
      </c>
      <c r="L3251" t="n">
        <v>0</v>
      </c>
      <c r="M3251" t="n">
        <v>0</v>
      </c>
      <c r="N3251" t="n">
        <v>0</v>
      </c>
      <c r="O3251" t="n">
        <v>0</v>
      </c>
      <c r="P3251" t="n">
        <v>0</v>
      </c>
      <c r="Q3251" t="n">
        <v>0</v>
      </c>
      <c r="R3251" s="2" t="inlineStr"/>
    </row>
    <row r="3252" ht="15" customHeight="1">
      <c r="A3252" t="inlineStr">
        <is>
          <t>A 33626-2020</t>
        </is>
      </c>
      <c r="B3252" s="1" t="n">
        <v>44025</v>
      </c>
      <c r="C3252" s="1" t="n">
        <v>45204</v>
      </c>
      <c r="D3252" t="inlineStr">
        <is>
          <t>VÄSTERBOTTENS LÄN</t>
        </is>
      </c>
      <c r="E3252" t="inlineStr">
        <is>
          <t>NORDMALING</t>
        </is>
      </c>
      <c r="F3252" t="inlineStr">
        <is>
          <t>SCA</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33625-2020</t>
        </is>
      </c>
      <c r="B3253" s="1" t="n">
        <v>44025</v>
      </c>
      <c r="C3253" s="1" t="n">
        <v>45204</v>
      </c>
      <c r="D3253" t="inlineStr">
        <is>
          <t>VÄSTERBOTTENS LÄN</t>
        </is>
      </c>
      <c r="E3253" t="inlineStr">
        <is>
          <t>NORDMALING</t>
        </is>
      </c>
      <c r="F3253" t="inlineStr">
        <is>
          <t>SCA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33791-2020</t>
        </is>
      </c>
      <c r="B3254" s="1" t="n">
        <v>44026</v>
      </c>
      <c r="C3254" s="1" t="n">
        <v>45204</v>
      </c>
      <c r="D3254" t="inlineStr">
        <is>
          <t>VÄSTERBOTTENS LÄN</t>
        </is>
      </c>
      <c r="E3254" t="inlineStr">
        <is>
          <t>SKELLEFTEÅ</t>
        </is>
      </c>
      <c r="F3254" t="inlineStr">
        <is>
          <t>SCA</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33729-2020</t>
        </is>
      </c>
      <c r="B3255" s="1" t="n">
        <v>44026</v>
      </c>
      <c r="C3255" s="1" t="n">
        <v>45204</v>
      </c>
      <c r="D3255" t="inlineStr">
        <is>
          <t>VÄSTERBOTTENS LÄN</t>
        </is>
      </c>
      <c r="E3255" t="inlineStr">
        <is>
          <t>BJURHOLM</t>
        </is>
      </c>
      <c r="F3255" t="inlineStr">
        <is>
          <t>Holmen skog AB</t>
        </is>
      </c>
      <c r="G3255" t="n">
        <v>7.9</v>
      </c>
      <c r="H3255" t="n">
        <v>0</v>
      </c>
      <c r="I3255" t="n">
        <v>0</v>
      </c>
      <c r="J3255" t="n">
        <v>0</v>
      </c>
      <c r="K3255" t="n">
        <v>0</v>
      </c>
      <c r="L3255" t="n">
        <v>0</v>
      </c>
      <c r="M3255" t="n">
        <v>0</v>
      </c>
      <c r="N3255" t="n">
        <v>0</v>
      </c>
      <c r="O3255" t="n">
        <v>0</v>
      </c>
      <c r="P3255" t="n">
        <v>0</v>
      </c>
      <c r="Q3255" t="n">
        <v>0</v>
      </c>
      <c r="R3255" s="2" t="inlineStr"/>
    </row>
    <row r="3256" ht="15" customHeight="1">
      <c r="A3256" t="inlineStr">
        <is>
          <t>A 33771-2020</t>
        </is>
      </c>
      <c r="B3256" s="1" t="n">
        <v>44026</v>
      </c>
      <c r="C3256" s="1" t="n">
        <v>45204</v>
      </c>
      <c r="D3256" t="inlineStr">
        <is>
          <t>VÄSTERBOTTENS LÄN</t>
        </is>
      </c>
      <c r="E3256" t="inlineStr">
        <is>
          <t>ÅSELE</t>
        </is>
      </c>
      <c r="F3256" t="inlineStr">
        <is>
          <t>Sveaskog</t>
        </is>
      </c>
      <c r="G3256" t="n">
        <v>17.2</v>
      </c>
      <c r="H3256" t="n">
        <v>0</v>
      </c>
      <c r="I3256" t="n">
        <v>0</v>
      </c>
      <c r="J3256" t="n">
        <v>0</v>
      </c>
      <c r="K3256" t="n">
        <v>0</v>
      </c>
      <c r="L3256" t="n">
        <v>0</v>
      </c>
      <c r="M3256" t="n">
        <v>0</v>
      </c>
      <c r="N3256" t="n">
        <v>0</v>
      </c>
      <c r="O3256" t="n">
        <v>0</v>
      </c>
      <c r="P3256" t="n">
        <v>0</v>
      </c>
      <c r="Q3256" t="n">
        <v>0</v>
      </c>
      <c r="R3256" s="2" t="inlineStr"/>
    </row>
    <row r="3257" ht="15" customHeight="1">
      <c r="A3257" t="inlineStr">
        <is>
          <t>A 34235-2020</t>
        </is>
      </c>
      <c r="B3257" s="1" t="n">
        <v>44027</v>
      </c>
      <c r="C3257" s="1" t="n">
        <v>45204</v>
      </c>
      <c r="D3257" t="inlineStr">
        <is>
          <t>VÄSTERBOTTENS LÄN</t>
        </is>
      </c>
      <c r="E3257" t="inlineStr">
        <is>
          <t>SKELLEFTEÅ</t>
        </is>
      </c>
      <c r="G3257" t="n">
        <v>3.3</v>
      </c>
      <c r="H3257" t="n">
        <v>0</v>
      </c>
      <c r="I3257" t="n">
        <v>0</v>
      </c>
      <c r="J3257" t="n">
        <v>0</v>
      </c>
      <c r="K3257" t="n">
        <v>0</v>
      </c>
      <c r="L3257" t="n">
        <v>0</v>
      </c>
      <c r="M3257" t="n">
        <v>0</v>
      </c>
      <c r="N3257" t="n">
        <v>0</v>
      </c>
      <c r="O3257" t="n">
        <v>0</v>
      </c>
      <c r="P3257" t="n">
        <v>0</v>
      </c>
      <c r="Q3257" t="n">
        <v>0</v>
      </c>
      <c r="R3257" s="2" t="inlineStr"/>
    </row>
    <row r="3258" ht="15" customHeight="1">
      <c r="A3258" t="inlineStr">
        <is>
          <t>A 34151-2020</t>
        </is>
      </c>
      <c r="B3258" s="1" t="n">
        <v>44027</v>
      </c>
      <c r="C3258" s="1" t="n">
        <v>45204</v>
      </c>
      <c r="D3258" t="inlineStr">
        <is>
          <t>VÄSTERBOTTENS LÄN</t>
        </is>
      </c>
      <c r="E3258" t="inlineStr">
        <is>
          <t>LYCKSELE</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33841-2020</t>
        </is>
      </c>
      <c r="B3259" s="1" t="n">
        <v>44027</v>
      </c>
      <c r="C3259" s="1" t="n">
        <v>45204</v>
      </c>
      <c r="D3259" t="inlineStr">
        <is>
          <t>VÄSTERBOTTENS LÄN</t>
        </is>
      </c>
      <c r="E3259" t="inlineStr">
        <is>
          <t>LYCKSELE</t>
        </is>
      </c>
      <c r="F3259" t="inlineStr">
        <is>
          <t>Holmen skog AB</t>
        </is>
      </c>
      <c r="G3259" t="n">
        <v>13.1</v>
      </c>
      <c r="H3259" t="n">
        <v>0</v>
      </c>
      <c r="I3259" t="n">
        <v>0</v>
      </c>
      <c r="J3259" t="n">
        <v>0</v>
      </c>
      <c r="K3259" t="n">
        <v>0</v>
      </c>
      <c r="L3259" t="n">
        <v>0</v>
      </c>
      <c r="M3259" t="n">
        <v>0</v>
      </c>
      <c r="N3259" t="n">
        <v>0</v>
      </c>
      <c r="O3259" t="n">
        <v>0</v>
      </c>
      <c r="P3259" t="n">
        <v>0</v>
      </c>
      <c r="Q3259" t="n">
        <v>0</v>
      </c>
      <c r="R3259" s="2" t="inlineStr"/>
    </row>
    <row r="3260" ht="15" customHeight="1">
      <c r="A3260" t="inlineStr">
        <is>
          <t>A 33874-2020</t>
        </is>
      </c>
      <c r="B3260" s="1" t="n">
        <v>44027</v>
      </c>
      <c r="C3260" s="1" t="n">
        <v>45204</v>
      </c>
      <c r="D3260" t="inlineStr">
        <is>
          <t>VÄSTERBOTTENS LÄN</t>
        </is>
      </c>
      <c r="E3260" t="inlineStr">
        <is>
          <t>MALÅ</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33928-2020</t>
        </is>
      </c>
      <c r="B3261" s="1" t="n">
        <v>44027</v>
      </c>
      <c r="C3261" s="1" t="n">
        <v>45204</v>
      </c>
      <c r="D3261" t="inlineStr">
        <is>
          <t>VÄSTERBOTTENS LÄN</t>
        </is>
      </c>
      <c r="E3261" t="inlineStr">
        <is>
          <t>NORSJÖ</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34060-2020</t>
        </is>
      </c>
      <c r="B3262" s="1" t="n">
        <v>44028</v>
      </c>
      <c r="C3262" s="1" t="n">
        <v>45204</v>
      </c>
      <c r="D3262" t="inlineStr">
        <is>
          <t>VÄSTERBOTTENS LÄN</t>
        </is>
      </c>
      <c r="E3262" t="inlineStr">
        <is>
          <t>LYCKSELE</t>
        </is>
      </c>
      <c r="G3262" t="n">
        <v>9.300000000000001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34099-2020</t>
        </is>
      </c>
      <c r="B3263" s="1" t="n">
        <v>44028</v>
      </c>
      <c r="C3263" s="1" t="n">
        <v>45204</v>
      </c>
      <c r="D3263" t="inlineStr">
        <is>
          <t>VÄSTERBOTTENS LÄN</t>
        </is>
      </c>
      <c r="E3263" t="inlineStr">
        <is>
          <t>ÅSELE</t>
        </is>
      </c>
      <c r="F3263" t="inlineStr">
        <is>
          <t>SCA</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34522-2020</t>
        </is>
      </c>
      <c r="B3264" s="1" t="n">
        <v>44029</v>
      </c>
      <c r="C3264" s="1" t="n">
        <v>45204</v>
      </c>
      <c r="D3264" t="inlineStr">
        <is>
          <t>VÄSTERBOTTENS LÄN</t>
        </is>
      </c>
      <c r="E3264" t="inlineStr">
        <is>
          <t>ÅSELE</t>
        </is>
      </c>
      <c r="G3264" t="n">
        <v>35.2</v>
      </c>
      <c r="H3264" t="n">
        <v>0</v>
      </c>
      <c r="I3264" t="n">
        <v>0</v>
      </c>
      <c r="J3264" t="n">
        <v>0</v>
      </c>
      <c r="K3264" t="n">
        <v>0</v>
      </c>
      <c r="L3264" t="n">
        <v>0</v>
      </c>
      <c r="M3264" t="n">
        <v>0</v>
      </c>
      <c r="N3264" t="n">
        <v>0</v>
      </c>
      <c r="O3264" t="n">
        <v>0</v>
      </c>
      <c r="P3264" t="n">
        <v>0</v>
      </c>
      <c r="Q3264" t="n">
        <v>0</v>
      </c>
      <c r="R3264" s="2" t="inlineStr"/>
    </row>
    <row r="3265" ht="15" customHeight="1">
      <c r="A3265" t="inlineStr">
        <is>
          <t>A 34142-2020</t>
        </is>
      </c>
      <c r="B3265" s="1" t="n">
        <v>44029</v>
      </c>
      <c r="C3265" s="1" t="n">
        <v>45204</v>
      </c>
      <c r="D3265" t="inlineStr">
        <is>
          <t>VÄSTERBOTTENS LÄN</t>
        </is>
      </c>
      <c r="E3265" t="inlineStr">
        <is>
          <t>SKELLEFTEÅ</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34155-2020</t>
        </is>
      </c>
      <c r="B3266" s="1" t="n">
        <v>44029</v>
      </c>
      <c r="C3266" s="1" t="n">
        <v>45204</v>
      </c>
      <c r="D3266" t="inlineStr">
        <is>
          <t>VÄSTERBOTTENS LÄN</t>
        </is>
      </c>
      <c r="E3266" t="inlineStr">
        <is>
          <t>SKELLEFTEÅ</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34169-2020</t>
        </is>
      </c>
      <c r="B3267" s="1" t="n">
        <v>44029</v>
      </c>
      <c r="C3267" s="1" t="n">
        <v>45204</v>
      </c>
      <c r="D3267" t="inlineStr">
        <is>
          <t>VÄSTERBOTTENS LÄN</t>
        </is>
      </c>
      <c r="E3267" t="inlineStr">
        <is>
          <t>SKELLEFTEÅ</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34177-2020</t>
        </is>
      </c>
      <c r="B3268" s="1" t="n">
        <v>44029</v>
      </c>
      <c r="C3268" s="1" t="n">
        <v>45204</v>
      </c>
      <c r="D3268" t="inlineStr">
        <is>
          <t>VÄSTERBOTTENS LÄN</t>
        </is>
      </c>
      <c r="E3268" t="inlineStr">
        <is>
          <t>SKELLEFTEÅ</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34516-2020</t>
        </is>
      </c>
      <c r="B3269" s="1" t="n">
        <v>44029</v>
      </c>
      <c r="C3269" s="1" t="n">
        <v>45204</v>
      </c>
      <c r="D3269" t="inlineStr">
        <is>
          <t>VÄSTERBOTTENS LÄN</t>
        </is>
      </c>
      <c r="E3269" t="inlineStr">
        <is>
          <t>ÅSELE</t>
        </is>
      </c>
      <c r="G3269" t="n">
        <v>8.9</v>
      </c>
      <c r="H3269" t="n">
        <v>0</v>
      </c>
      <c r="I3269" t="n">
        <v>0</v>
      </c>
      <c r="J3269" t="n">
        <v>0</v>
      </c>
      <c r="K3269" t="n">
        <v>0</v>
      </c>
      <c r="L3269" t="n">
        <v>0</v>
      </c>
      <c r="M3269" t="n">
        <v>0</v>
      </c>
      <c r="N3269" t="n">
        <v>0</v>
      </c>
      <c r="O3269" t="n">
        <v>0</v>
      </c>
      <c r="P3269" t="n">
        <v>0</v>
      </c>
      <c r="Q3269" t="n">
        <v>0</v>
      </c>
      <c r="R3269" s="2" t="inlineStr"/>
    </row>
    <row r="3270" ht="15" customHeight="1">
      <c r="A3270" t="inlineStr">
        <is>
          <t>A 34173-2020</t>
        </is>
      </c>
      <c r="B3270" s="1" t="n">
        <v>44029</v>
      </c>
      <c r="C3270" s="1" t="n">
        <v>45204</v>
      </c>
      <c r="D3270" t="inlineStr">
        <is>
          <t>VÄSTERBOTTENS LÄN</t>
        </is>
      </c>
      <c r="E3270" t="inlineStr">
        <is>
          <t>SKELLEFTEÅ</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34510-2020</t>
        </is>
      </c>
      <c r="B3271" s="1" t="n">
        <v>44029</v>
      </c>
      <c r="C3271" s="1" t="n">
        <v>45204</v>
      </c>
      <c r="D3271" t="inlineStr">
        <is>
          <t>VÄSTERBOTTENS LÄN</t>
        </is>
      </c>
      <c r="E3271" t="inlineStr">
        <is>
          <t>ÅSELE</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34521-2020</t>
        </is>
      </c>
      <c r="B3272" s="1" t="n">
        <v>44029</v>
      </c>
      <c r="C3272" s="1" t="n">
        <v>45204</v>
      </c>
      <c r="D3272" t="inlineStr">
        <is>
          <t>VÄSTERBOTTENS LÄN</t>
        </is>
      </c>
      <c r="E3272" t="inlineStr">
        <is>
          <t>ROBERTSFORS</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34170-2020</t>
        </is>
      </c>
      <c r="B3273" s="1" t="n">
        <v>44029</v>
      </c>
      <c r="C3273" s="1" t="n">
        <v>45204</v>
      </c>
      <c r="D3273" t="inlineStr">
        <is>
          <t>VÄSTERBOTTENS LÄN</t>
        </is>
      </c>
      <c r="E3273" t="inlineStr">
        <is>
          <t>ÅSELE</t>
        </is>
      </c>
      <c r="F3273" t="inlineStr">
        <is>
          <t>Sveaskog</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34520-2020</t>
        </is>
      </c>
      <c r="B3274" s="1" t="n">
        <v>44029</v>
      </c>
      <c r="C3274" s="1" t="n">
        <v>45204</v>
      </c>
      <c r="D3274" t="inlineStr">
        <is>
          <t>VÄSTERBOTTENS LÄN</t>
        </is>
      </c>
      <c r="E3274" t="inlineStr">
        <is>
          <t>ÅSELE</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34351-2020</t>
        </is>
      </c>
      <c r="B3275" s="1" t="n">
        <v>44032</v>
      </c>
      <c r="C3275" s="1" t="n">
        <v>45204</v>
      </c>
      <c r="D3275" t="inlineStr">
        <is>
          <t>VÄSTERBOTTENS LÄN</t>
        </is>
      </c>
      <c r="E3275" t="inlineStr">
        <is>
          <t>SKELLEFTEÅ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34479-2020</t>
        </is>
      </c>
      <c r="B3276" s="1" t="n">
        <v>44032</v>
      </c>
      <c r="C3276" s="1" t="n">
        <v>45204</v>
      </c>
      <c r="D3276" t="inlineStr">
        <is>
          <t>VÄSTERBOTTENS LÄN</t>
        </is>
      </c>
      <c r="E3276" t="inlineStr">
        <is>
          <t>LYCKSELE</t>
        </is>
      </c>
      <c r="F3276" t="inlineStr">
        <is>
          <t>Naturvårdsverket</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34613-2020</t>
        </is>
      </c>
      <c r="B3277" s="1" t="n">
        <v>44033</v>
      </c>
      <c r="C3277" s="1" t="n">
        <v>45204</v>
      </c>
      <c r="D3277" t="inlineStr">
        <is>
          <t>VÄSTERBOTTENS LÄN</t>
        </is>
      </c>
      <c r="E3277" t="inlineStr">
        <is>
          <t>STORUMAN</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34517-2020</t>
        </is>
      </c>
      <c r="B3278" s="1" t="n">
        <v>44033</v>
      </c>
      <c r="C3278" s="1" t="n">
        <v>45204</v>
      </c>
      <c r="D3278" t="inlineStr">
        <is>
          <t>VÄSTERBOTTENS LÄN</t>
        </is>
      </c>
      <c r="E3278" t="inlineStr">
        <is>
          <t>SKELLEFTEÅ</t>
        </is>
      </c>
      <c r="F3278" t="inlineStr">
        <is>
          <t>Holmen skog AB</t>
        </is>
      </c>
      <c r="G3278" t="n">
        <v>4.7</v>
      </c>
      <c r="H3278" t="n">
        <v>0</v>
      </c>
      <c r="I3278" t="n">
        <v>0</v>
      </c>
      <c r="J3278" t="n">
        <v>0</v>
      </c>
      <c r="K3278" t="n">
        <v>0</v>
      </c>
      <c r="L3278" t="n">
        <v>0</v>
      </c>
      <c r="M3278" t="n">
        <v>0</v>
      </c>
      <c r="N3278" t="n">
        <v>0</v>
      </c>
      <c r="O3278" t="n">
        <v>0</v>
      </c>
      <c r="P3278" t="n">
        <v>0</v>
      </c>
      <c r="Q3278" t="n">
        <v>0</v>
      </c>
      <c r="R3278" s="2" t="inlineStr"/>
    </row>
    <row r="3279" ht="15" customHeight="1">
      <c r="A3279" t="inlineStr">
        <is>
          <t>A 34733-2020</t>
        </is>
      </c>
      <c r="B3279" s="1" t="n">
        <v>44035</v>
      </c>
      <c r="C3279" s="1" t="n">
        <v>45204</v>
      </c>
      <c r="D3279" t="inlineStr">
        <is>
          <t>VÄSTERBOTTENS LÄN</t>
        </is>
      </c>
      <c r="E3279" t="inlineStr">
        <is>
          <t>NORSJÖ</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34770-2020</t>
        </is>
      </c>
      <c r="B3280" s="1" t="n">
        <v>44035</v>
      </c>
      <c r="C3280" s="1" t="n">
        <v>45204</v>
      </c>
      <c r="D3280" t="inlineStr">
        <is>
          <t>VÄSTERBOTTENS LÄN</t>
        </is>
      </c>
      <c r="E3280" t="inlineStr">
        <is>
          <t>LYCKSELE</t>
        </is>
      </c>
      <c r="F3280" t="inlineStr">
        <is>
          <t>Sveaskog</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34762-2020</t>
        </is>
      </c>
      <c r="B3281" s="1" t="n">
        <v>44035</v>
      </c>
      <c r="C3281" s="1" t="n">
        <v>45204</v>
      </c>
      <c r="D3281" t="inlineStr">
        <is>
          <t>VÄSTERBOTTENS LÄN</t>
        </is>
      </c>
      <c r="E3281" t="inlineStr">
        <is>
          <t>LYCKSELE</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34710-2020</t>
        </is>
      </c>
      <c r="B3282" s="1" t="n">
        <v>44035</v>
      </c>
      <c r="C3282" s="1" t="n">
        <v>45204</v>
      </c>
      <c r="D3282" t="inlineStr">
        <is>
          <t>VÄSTERBOTTENS LÄN</t>
        </is>
      </c>
      <c r="E3282" t="inlineStr">
        <is>
          <t>NORDMALING</t>
        </is>
      </c>
      <c r="G3282" t="n">
        <v>6.8</v>
      </c>
      <c r="H3282" t="n">
        <v>0</v>
      </c>
      <c r="I3282" t="n">
        <v>0</v>
      </c>
      <c r="J3282" t="n">
        <v>0</v>
      </c>
      <c r="K3282" t="n">
        <v>0</v>
      </c>
      <c r="L3282" t="n">
        <v>0</v>
      </c>
      <c r="M3282" t="n">
        <v>0</v>
      </c>
      <c r="N3282" t="n">
        <v>0</v>
      </c>
      <c r="O3282" t="n">
        <v>0</v>
      </c>
      <c r="P3282" t="n">
        <v>0</v>
      </c>
      <c r="Q3282" t="n">
        <v>0</v>
      </c>
      <c r="R3282" s="2" t="inlineStr"/>
    </row>
    <row r="3283" ht="15" customHeight="1">
      <c r="A3283" t="inlineStr">
        <is>
          <t>A 34763-2020</t>
        </is>
      </c>
      <c r="B3283" s="1" t="n">
        <v>44035</v>
      </c>
      <c r="C3283" s="1" t="n">
        <v>45204</v>
      </c>
      <c r="D3283" t="inlineStr">
        <is>
          <t>VÄSTERBOTTENS LÄN</t>
        </is>
      </c>
      <c r="E3283" t="inlineStr">
        <is>
          <t>LYCKSELE</t>
        </is>
      </c>
      <c r="F3283" t="inlineStr">
        <is>
          <t>Sveaskog</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34909-2020</t>
        </is>
      </c>
      <c r="B3284" s="1" t="n">
        <v>44036</v>
      </c>
      <c r="C3284" s="1" t="n">
        <v>45204</v>
      </c>
      <c r="D3284" t="inlineStr">
        <is>
          <t>VÄSTERBOTTENS LÄN</t>
        </is>
      </c>
      <c r="E3284" t="inlineStr">
        <is>
          <t>VILHELMINA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34920-2020</t>
        </is>
      </c>
      <c r="B3285" s="1" t="n">
        <v>44036</v>
      </c>
      <c r="C3285" s="1" t="n">
        <v>45204</v>
      </c>
      <c r="D3285" t="inlineStr">
        <is>
          <t>VÄSTERBOTTENS LÄN</t>
        </is>
      </c>
      <c r="E3285" t="inlineStr">
        <is>
          <t>ROBERTSFORS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34933-2020</t>
        </is>
      </c>
      <c r="B3286" s="1" t="n">
        <v>44036</v>
      </c>
      <c r="C3286" s="1" t="n">
        <v>45204</v>
      </c>
      <c r="D3286" t="inlineStr">
        <is>
          <t>VÄSTERBOTTENS LÄN</t>
        </is>
      </c>
      <c r="E3286" t="inlineStr">
        <is>
          <t>ROBERTSFORS</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34987-2020</t>
        </is>
      </c>
      <c r="B3287" s="1" t="n">
        <v>44039</v>
      </c>
      <c r="C3287" s="1" t="n">
        <v>45204</v>
      </c>
      <c r="D3287" t="inlineStr">
        <is>
          <t>VÄSTERBOTTENS LÄN</t>
        </is>
      </c>
      <c r="E3287" t="inlineStr">
        <is>
          <t>VILHELMINA</t>
        </is>
      </c>
      <c r="G3287" t="n">
        <v>16.6</v>
      </c>
      <c r="H3287" t="n">
        <v>0</v>
      </c>
      <c r="I3287" t="n">
        <v>0</v>
      </c>
      <c r="J3287" t="n">
        <v>0</v>
      </c>
      <c r="K3287" t="n">
        <v>0</v>
      </c>
      <c r="L3287" t="n">
        <v>0</v>
      </c>
      <c r="M3287" t="n">
        <v>0</v>
      </c>
      <c r="N3287" t="n">
        <v>0</v>
      </c>
      <c r="O3287" t="n">
        <v>0</v>
      </c>
      <c r="P3287" t="n">
        <v>0</v>
      </c>
      <c r="Q3287" t="n">
        <v>0</v>
      </c>
      <c r="R3287" s="2" t="inlineStr"/>
    </row>
    <row r="3288" ht="15" customHeight="1">
      <c r="A3288" t="inlineStr">
        <is>
          <t>A 35173-2020</t>
        </is>
      </c>
      <c r="B3288" s="1" t="n">
        <v>44040</v>
      </c>
      <c r="C3288" s="1" t="n">
        <v>45204</v>
      </c>
      <c r="D3288" t="inlineStr">
        <is>
          <t>VÄSTERBOTTENS LÄN</t>
        </is>
      </c>
      <c r="E3288" t="inlineStr">
        <is>
          <t>SKELLEFTEÅ</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35230-2020</t>
        </is>
      </c>
      <c r="B3289" s="1" t="n">
        <v>44041</v>
      </c>
      <c r="C3289" s="1" t="n">
        <v>45204</v>
      </c>
      <c r="D3289" t="inlineStr">
        <is>
          <t>VÄSTERBOTTENS LÄN</t>
        </is>
      </c>
      <c r="E3289" t="inlineStr">
        <is>
          <t>SORSELE</t>
        </is>
      </c>
      <c r="F3289" t="inlineStr">
        <is>
          <t>Sveaskog</t>
        </is>
      </c>
      <c r="G3289" t="n">
        <v>41.8</v>
      </c>
      <c r="H3289" t="n">
        <v>0</v>
      </c>
      <c r="I3289" t="n">
        <v>0</v>
      </c>
      <c r="J3289" t="n">
        <v>0</v>
      </c>
      <c r="K3289" t="n">
        <v>0</v>
      </c>
      <c r="L3289" t="n">
        <v>0</v>
      </c>
      <c r="M3289" t="n">
        <v>0</v>
      </c>
      <c r="N3289" t="n">
        <v>0</v>
      </c>
      <c r="O3289" t="n">
        <v>0</v>
      </c>
      <c r="P3289" t="n">
        <v>0</v>
      </c>
      <c r="Q3289" t="n">
        <v>0</v>
      </c>
      <c r="R3289" s="2" t="inlineStr"/>
    </row>
    <row r="3290" ht="15" customHeight="1">
      <c r="A3290" t="inlineStr">
        <is>
          <t>A 35285-2020</t>
        </is>
      </c>
      <c r="B3290" s="1" t="n">
        <v>44041</v>
      </c>
      <c r="C3290" s="1" t="n">
        <v>45204</v>
      </c>
      <c r="D3290" t="inlineStr">
        <is>
          <t>VÄSTERBOTTENS LÄN</t>
        </is>
      </c>
      <c r="E3290" t="inlineStr">
        <is>
          <t>SKELLEFTEÅ</t>
        </is>
      </c>
      <c r="F3290" t="inlineStr">
        <is>
          <t>Holmen skog AB</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35232-2020</t>
        </is>
      </c>
      <c r="B3291" s="1" t="n">
        <v>44041</v>
      </c>
      <c r="C3291" s="1" t="n">
        <v>45204</v>
      </c>
      <c r="D3291" t="inlineStr">
        <is>
          <t>VÄSTERBOTTENS LÄN</t>
        </is>
      </c>
      <c r="E3291" t="inlineStr">
        <is>
          <t>SORSELE</t>
        </is>
      </c>
      <c r="F3291" t="inlineStr">
        <is>
          <t>Sveaskog</t>
        </is>
      </c>
      <c r="G3291" t="n">
        <v>17.7</v>
      </c>
      <c r="H3291" t="n">
        <v>0</v>
      </c>
      <c r="I3291" t="n">
        <v>0</v>
      </c>
      <c r="J3291" t="n">
        <v>0</v>
      </c>
      <c r="K3291" t="n">
        <v>0</v>
      </c>
      <c r="L3291" t="n">
        <v>0</v>
      </c>
      <c r="M3291" t="n">
        <v>0</v>
      </c>
      <c r="N3291" t="n">
        <v>0</v>
      </c>
      <c r="O3291" t="n">
        <v>0</v>
      </c>
      <c r="P3291" t="n">
        <v>0</v>
      </c>
      <c r="Q3291" t="n">
        <v>0</v>
      </c>
      <c r="R3291" s="2" t="inlineStr"/>
    </row>
    <row r="3292" ht="15" customHeight="1">
      <c r="A3292" t="inlineStr">
        <is>
          <t>A 35590-2020</t>
        </is>
      </c>
      <c r="B3292" s="1" t="n">
        <v>44043</v>
      </c>
      <c r="C3292" s="1" t="n">
        <v>45204</v>
      </c>
      <c r="D3292" t="inlineStr">
        <is>
          <t>VÄSTERBOTTENS LÄN</t>
        </is>
      </c>
      <c r="E3292" t="inlineStr">
        <is>
          <t>SORSELE</t>
        </is>
      </c>
      <c r="F3292" t="inlineStr">
        <is>
          <t>SCA</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35702-2020</t>
        </is>
      </c>
      <c r="B3293" s="1" t="n">
        <v>44046</v>
      </c>
      <c r="C3293" s="1" t="n">
        <v>45204</v>
      </c>
      <c r="D3293" t="inlineStr">
        <is>
          <t>VÄSTERBOTTENS LÄN</t>
        </is>
      </c>
      <c r="E3293" t="inlineStr">
        <is>
          <t>MALÅ</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35687-2020</t>
        </is>
      </c>
      <c r="B3294" s="1" t="n">
        <v>44046</v>
      </c>
      <c r="C3294" s="1" t="n">
        <v>45204</v>
      </c>
      <c r="D3294" t="inlineStr">
        <is>
          <t>VÄSTERBOTTENS LÄN</t>
        </is>
      </c>
      <c r="E3294" t="inlineStr">
        <is>
          <t>UMEÅ</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35806-2020</t>
        </is>
      </c>
      <c r="B3295" s="1" t="n">
        <v>44046</v>
      </c>
      <c r="C3295" s="1" t="n">
        <v>45204</v>
      </c>
      <c r="D3295" t="inlineStr">
        <is>
          <t>VÄSTERBOTTENS LÄN</t>
        </is>
      </c>
      <c r="E3295" t="inlineStr">
        <is>
          <t>SKELLEFTEÅ</t>
        </is>
      </c>
      <c r="F3295" t="inlineStr">
        <is>
          <t>SCA</t>
        </is>
      </c>
      <c r="G3295" t="n">
        <v>13.5</v>
      </c>
      <c r="H3295" t="n">
        <v>0</v>
      </c>
      <c r="I3295" t="n">
        <v>0</v>
      </c>
      <c r="J3295" t="n">
        <v>0</v>
      </c>
      <c r="K3295" t="n">
        <v>0</v>
      </c>
      <c r="L3295" t="n">
        <v>0</v>
      </c>
      <c r="M3295" t="n">
        <v>0</v>
      </c>
      <c r="N3295" t="n">
        <v>0</v>
      </c>
      <c r="O3295" t="n">
        <v>0</v>
      </c>
      <c r="P3295" t="n">
        <v>0</v>
      </c>
      <c r="Q3295" t="n">
        <v>0</v>
      </c>
      <c r="R3295" s="2" t="inlineStr"/>
    </row>
    <row r="3296" ht="15" customHeight="1">
      <c r="A3296" t="inlineStr">
        <is>
          <t>A 35807-2020</t>
        </is>
      </c>
      <c r="B3296" s="1" t="n">
        <v>44046</v>
      </c>
      <c r="C3296" s="1" t="n">
        <v>45204</v>
      </c>
      <c r="D3296" t="inlineStr">
        <is>
          <t>VÄSTERBOTTENS LÄN</t>
        </is>
      </c>
      <c r="E3296" t="inlineStr">
        <is>
          <t>SKELLEFTEÅ</t>
        </is>
      </c>
      <c r="F3296" t="inlineStr">
        <is>
          <t>SCA</t>
        </is>
      </c>
      <c r="G3296" t="n">
        <v>3.1</v>
      </c>
      <c r="H3296" t="n">
        <v>0</v>
      </c>
      <c r="I3296" t="n">
        <v>0</v>
      </c>
      <c r="J3296" t="n">
        <v>0</v>
      </c>
      <c r="K3296" t="n">
        <v>0</v>
      </c>
      <c r="L3296" t="n">
        <v>0</v>
      </c>
      <c r="M3296" t="n">
        <v>0</v>
      </c>
      <c r="N3296" t="n">
        <v>0</v>
      </c>
      <c r="O3296" t="n">
        <v>0</v>
      </c>
      <c r="P3296" t="n">
        <v>0</v>
      </c>
      <c r="Q3296" t="n">
        <v>0</v>
      </c>
      <c r="R3296" s="2" t="inlineStr"/>
    </row>
    <row r="3297" ht="15" customHeight="1">
      <c r="A3297" t="inlineStr">
        <is>
          <t>A 36431-2020</t>
        </is>
      </c>
      <c r="B3297" s="1" t="n">
        <v>44049</v>
      </c>
      <c r="C3297" s="1" t="n">
        <v>45204</v>
      </c>
      <c r="D3297" t="inlineStr">
        <is>
          <t>VÄSTERBOTTENS LÄN</t>
        </is>
      </c>
      <c r="E3297" t="inlineStr">
        <is>
          <t>VINDELN</t>
        </is>
      </c>
      <c r="G3297" t="n">
        <v>27.6</v>
      </c>
      <c r="H3297" t="n">
        <v>0</v>
      </c>
      <c r="I3297" t="n">
        <v>0</v>
      </c>
      <c r="J3297" t="n">
        <v>0</v>
      </c>
      <c r="K3297" t="n">
        <v>0</v>
      </c>
      <c r="L3297" t="n">
        <v>0</v>
      </c>
      <c r="M3297" t="n">
        <v>0</v>
      </c>
      <c r="N3297" t="n">
        <v>0</v>
      </c>
      <c r="O3297" t="n">
        <v>0</v>
      </c>
      <c r="P3297" t="n">
        <v>0</v>
      </c>
      <c r="Q3297" t="n">
        <v>0</v>
      </c>
      <c r="R3297" s="2" t="inlineStr"/>
    </row>
    <row r="3298" ht="15" customHeight="1">
      <c r="A3298" t="inlineStr">
        <is>
          <t>A 36401-2020</t>
        </is>
      </c>
      <c r="B3298" s="1" t="n">
        <v>44049</v>
      </c>
      <c r="C3298" s="1" t="n">
        <v>45204</v>
      </c>
      <c r="D3298" t="inlineStr">
        <is>
          <t>VÄSTERBOTTENS LÄN</t>
        </is>
      </c>
      <c r="E3298" t="inlineStr">
        <is>
          <t>SKELLEFTEÅ</t>
        </is>
      </c>
      <c r="F3298" t="inlineStr">
        <is>
          <t>Holmen skog AB</t>
        </is>
      </c>
      <c r="G3298" t="n">
        <v>11.1</v>
      </c>
      <c r="H3298" t="n">
        <v>0</v>
      </c>
      <c r="I3298" t="n">
        <v>0</v>
      </c>
      <c r="J3298" t="n">
        <v>0</v>
      </c>
      <c r="K3298" t="n">
        <v>0</v>
      </c>
      <c r="L3298" t="n">
        <v>0</v>
      </c>
      <c r="M3298" t="n">
        <v>0</v>
      </c>
      <c r="N3298" t="n">
        <v>0</v>
      </c>
      <c r="O3298" t="n">
        <v>0</v>
      </c>
      <c r="P3298" t="n">
        <v>0</v>
      </c>
      <c r="Q3298" t="n">
        <v>0</v>
      </c>
      <c r="R3298" s="2" t="inlineStr"/>
    </row>
    <row r="3299" ht="15" customHeight="1">
      <c r="A3299" t="inlineStr">
        <is>
          <t>A 36440-2020</t>
        </is>
      </c>
      <c r="B3299" s="1" t="n">
        <v>44049</v>
      </c>
      <c r="C3299" s="1" t="n">
        <v>45204</v>
      </c>
      <c r="D3299" t="inlineStr">
        <is>
          <t>VÄSTERBOTTENS LÄN</t>
        </is>
      </c>
      <c r="E3299" t="inlineStr">
        <is>
          <t>VÄNNÄS</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36439-2020</t>
        </is>
      </c>
      <c r="B3300" s="1" t="n">
        <v>44049</v>
      </c>
      <c r="C3300" s="1" t="n">
        <v>45204</v>
      </c>
      <c r="D3300" t="inlineStr">
        <is>
          <t>VÄSTERBOTTENS LÄN</t>
        </is>
      </c>
      <c r="E3300" t="inlineStr">
        <is>
          <t>VÄNNÄS</t>
        </is>
      </c>
      <c r="G3300" t="n">
        <v>3.7</v>
      </c>
      <c r="H3300" t="n">
        <v>0</v>
      </c>
      <c r="I3300" t="n">
        <v>0</v>
      </c>
      <c r="J3300" t="n">
        <v>0</v>
      </c>
      <c r="K3300" t="n">
        <v>0</v>
      </c>
      <c r="L3300" t="n">
        <v>0</v>
      </c>
      <c r="M3300" t="n">
        <v>0</v>
      </c>
      <c r="N3300" t="n">
        <v>0</v>
      </c>
      <c r="O3300" t="n">
        <v>0</v>
      </c>
      <c r="P3300" t="n">
        <v>0</v>
      </c>
      <c r="Q3300" t="n">
        <v>0</v>
      </c>
      <c r="R3300" s="2" t="inlineStr"/>
    </row>
    <row r="3301" ht="15" customHeight="1">
      <c r="A3301" t="inlineStr">
        <is>
          <t>A 36529-2020</t>
        </is>
      </c>
      <c r="B3301" s="1" t="n">
        <v>44050</v>
      </c>
      <c r="C3301" s="1" t="n">
        <v>45204</v>
      </c>
      <c r="D3301" t="inlineStr">
        <is>
          <t>VÄSTERBOTTENS LÄN</t>
        </is>
      </c>
      <c r="E3301" t="inlineStr">
        <is>
          <t>ROBERTSFORS</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36544-2020</t>
        </is>
      </c>
      <c r="B3302" s="1" t="n">
        <v>44050</v>
      </c>
      <c r="C3302" s="1" t="n">
        <v>45204</v>
      </c>
      <c r="D3302" t="inlineStr">
        <is>
          <t>VÄSTERBOTTENS LÄN</t>
        </is>
      </c>
      <c r="E3302" t="inlineStr">
        <is>
          <t>ROBERTSFORS</t>
        </is>
      </c>
      <c r="G3302" t="n">
        <v>4.5</v>
      </c>
      <c r="H3302" t="n">
        <v>0</v>
      </c>
      <c r="I3302" t="n">
        <v>0</v>
      </c>
      <c r="J3302" t="n">
        <v>0</v>
      </c>
      <c r="K3302" t="n">
        <v>0</v>
      </c>
      <c r="L3302" t="n">
        <v>0</v>
      </c>
      <c r="M3302" t="n">
        <v>0</v>
      </c>
      <c r="N3302" t="n">
        <v>0</v>
      </c>
      <c r="O3302" t="n">
        <v>0</v>
      </c>
      <c r="P3302" t="n">
        <v>0</v>
      </c>
      <c r="Q3302" t="n">
        <v>0</v>
      </c>
      <c r="R3302" s="2" t="inlineStr"/>
    </row>
    <row r="3303" ht="15" customHeight="1">
      <c r="A3303" t="inlineStr">
        <is>
          <t>A 36514-2020</t>
        </is>
      </c>
      <c r="B3303" s="1" t="n">
        <v>44050</v>
      </c>
      <c r="C3303" s="1" t="n">
        <v>45204</v>
      </c>
      <c r="D3303" t="inlineStr">
        <is>
          <t>VÄSTERBOTTENS LÄN</t>
        </is>
      </c>
      <c r="E3303" t="inlineStr">
        <is>
          <t>ÅSELE</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38217-2020</t>
        </is>
      </c>
      <c r="B3304" s="1" t="n">
        <v>44050</v>
      </c>
      <c r="C3304" s="1" t="n">
        <v>45204</v>
      </c>
      <c r="D3304" t="inlineStr">
        <is>
          <t>VÄSTERBOTTENS LÄN</t>
        </is>
      </c>
      <c r="E3304" t="inlineStr">
        <is>
          <t>SKELLEFTEÅ</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36531-2020</t>
        </is>
      </c>
      <c r="B3305" s="1" t="n">
        <v>44050</v>
      </c>
      <c r="C3305" s="1" t="n">
        <v>45204</v>
      </c>
      <c r="D3305" t="inlineStr">
        <is>
          <t>VÄSTERBOTTENS LÄN</t>
        </is>
      </c>
      <c r="E3305" t="inlineStr">
        <is>
          <t>UMEÅ</t>
        </is>
      </c>
      <c r="F3305" t="inlineStr">
        <is>
          <t>Holmen skog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36842-2020</t>
        </is>
      </c>
      <c r="B3306" s="1" t="n">
        <v>44053</v>
      </c>
      <c r="C3306" s="1" t="n">
        <v>45204</v>
      </c>
      <c r="D3306" t="inlineStr">
        <is>
          <t>VÄSTERBOTTENS LÄN</t>
        </is>
      </c>
      <c r="E3306" t="inlineStr">
        <is>
          <t>NORSJÖ</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36851-2020</t>
        </is>
      </c>
      <c r="B3307" s="1" t="n">
        <v>44053</v>
      </c>
      <c r="C3307" s="1" t="n">
        <v>45204</v>
      </c>
      <c r="D3307" t="inlineStr">
        <is>
          <t>VÄSTERBOTTENS LÄN</t>
        </is>
      </c>
      <c r="E3307" t="inlineStr">
        <is>
          <t>STORUMAN</t>
        </is>
      </c>
      <c r="F3307" t="inlineStr">
        <is>
          <t>Kyrkan</t>
        </is>
      </c>
      <c r="G3307" t="n">
        <v>39</v>
      </c>
      <c r="H3307" t="n">
        <v>0</v>
      </c>
      <c r="I3307" t="n">
        <v>0</v>
      </c>
      <c r="J3307" t="n">
        <v>0</v>
      </c>
      <c r="K3307" t="n">
        <v>0</v>
      </c>
      <c r="L3307" t="n">
        <v>0</v>
      </c>
      <c r="M3307" t="n">
        <v>0</v>
      </c>
      <c r="N3307" t="n">
        <v>0</v>
      </c>
      <c r="O3307" t="n">
        <v>0</v>
      </c>
      <c r="P3307" t="n">
        <v>0</v>
      </c>
      <c r="Q3307" t="n">
        <v>0</v>
      </c>
      <c r="R3307" s="2" t="inlineStr"/>
    </row>
    <row r="3308" ht="15" customHeight="1">
      <c r="A3308" t="inlineStr">
        <is>
          <t>A 36844-2020</t>
        </is>
      </c>
      <c r="B3308" s="1" t="n">
        <v>44053</v>
      </c>
      <c r="C3308" s="1" t="n">
        <v>45204</v>
      </c>
      <c r="D3308" t="inlineStr">
        <is>
          <t>VÄSTERBOTTENS LÄN</t>
        </is>
      </c>
      <c r="E3308" t="inlineStr">
        <is>
          <t>NORSJÖ</t>
        </is>
      </c>
      <c r="F3308" t="inlineStr">
        <is>
          <t>Holmen skog AB</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36854-2020</t>
        </is>
      </c>
      <c r="B3309" s="1" t="n">
        <v>44053</v>
      </c>
      <c r="C3309" s="1" t="n">
        <v>45204</v>
      </c>
      <c r="D3309" t="inlineStr">
        <is>
          <t>VÄSTERBOTTENS LÄN</t>
        </is>
      </c>
      <c r="E3309" t="inlineStr">
        <is>
          <t>VINDELN</t>
        </is>
      </c>
      <c r="G3309" t="n">
        <v>7.2</v>
      </c>
      <c r="H3309" t="n">
        <v>0</v>
      </c>
      <c r="I3309" t="n">
        <v>0</v>
      </c>
      <c r="J3309" t="n">
        <v>0</v>
      </c>
      <c r="K3309" t="n">
        <v>0</v>
      </c>
      <c r="L3309" t="n">
        <v>0</v>
      </c>
      <c r="M3309" t="n">
        <v>0</v>
      </c>
      <c r="N3309" t="n">
        <v>0</v>
      </c>
      <c r="O3309" t="n">
        <v>0</v>
      </c>
      <c r="P3309" t="n">
        <v>0</v>
      </c>
      <c r="Q3309" t="n">
        <v>0</v>
      </c>
      <c r="R3309" s="2" t="inlineStr"/>
    </row>
    <row r="3310" ht="15" customHeight="1">
      <c r="A3310" t="inlineStr">
        <is>
          <t>A 36846-2020</t>
        </is>
      </c>
      <c r="B3310" s="1" t="n">
        <v>44053</v>
      </c>
      <c r="C3310" s="1" t="n">
        <v>45204</v>
      </c>
      <c r="D3310" t="inlineStr">
        <is>
          <t>VÄSTERBOTTENS LÄN</t>
        </is>
      </c>
      <c r="E3310" t="inlineStr">
        <is>
          <t>STORUMAN</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36875-2020</t>
        </is>
      </c>
      <c r="B3311" s="1" t="n">
        <v>44053</v>
      </c>
      <c r="C3311" s="1" t="n">
        <v>45204</v>
      </c>
      <c r="D3311" t="inlineStr">
        <is>
          <t>VÄSTERBOTTENS LÄN</t>
        </is>
      </c>
      <c r="E3311" t="inlineStr">
        <is>
          <t>VILHELMINA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37073-2020</t>
        </is>
      </c>
      <c r="B3312" s="1" t="n">
        <v>44054</v>
      </c>
      <c r="C3312" s="1" t="n">
        <v>45204</v>
      </c>
      <c r="D3312" t="inlineStr">
        <is>
          <t>VÄSTERBOTTENS LÄN</t>
        </is>
      </c>
      <c r="E3312" t="inlineStr">
        <is>
          <t>NORSJÖ</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37227-2020</t>
        </is>
      </c>
      <c r="B3313" s="1" t="n">
        <v>44054</v>
      </c>
      <c r="C3313" s="1" t="n">
        <v>45204</v>
      </c>
      <c r="D3313" t="inlineStr">
        <is>
          <t>VÄSTERBOTTENS LÄN</t>
        </is>
      </c>
      <c r="E3313" t="inlineStr">
        <is>
          <t>LYCKSELE</t>
        </is>
      </c>
      <c r="F3313" t="inlineStr">
        <is>
          <t>SCA</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37309-2020</t>
        </is>
      </c>
      <c r="B3314" s="1" t="n">
        <v>44054</v>
      </c>
      <c r="C3314" s="1" t="n">
        <v>45204</v>
      </c>
      <c r="D3314" t="inlineStr">
        <is>
          <t>VÄSTERBOTTENS LÄN</t>
        </is>
      </c>
      <c r="E3314" t="inlineStr">
        <is>
          <t>ÅSELE</t>
        </is>
      </c>
      <c r="G3314" t="n">
        <v>6.3</v>
      </c>
      <c r="H3314" t="n">
        <v>0</v>
      </c>
      <c r="I3314" t="n">
        <v>0</v>
      </c>
      <c r="J3314" t="n">
        <v>0</v>
      </c>
      <c r="K3314" t="n">
        <v>0</v>
      </c>
      <c r="L3314" t="n">
        <v>0</v>
      </c>
      <c r="M3314" t="n">
        <v>0</v>
      </c>
      <c r="N3314" t="n">
        <v>0</v>
      </c>
      <c r="O3314" t="n">
        <v>0</v>
      </c>
      <c r="P3314" t="n">
        <v>0</v>
      </c>
      <c r="Q3314" t="n">
        <v>0</v>
      </c>
      <c r="R3314" s="2" t="inlineStr"/>
    </row>
    <row r="3315" ht="15" customHeight="1">
      <c r="A3315" t="inlineStr">
        <is>
          <t>A 37223-2020</t>
        </is>
      </c>
      <c r="B3315" s="1" t="n">
        <v>44054</v>
      </c>
      <c r="C3315" s="1" t="n">
        <v>45204</v>
      </c>
      <c r="D3315" t="inlineStr">
        <is>
          <t>VÄSTERBOTTENS LÄN</t>
        </is>
      </c>
      <c r="E3315" t="inlineStr">
        <is>
          <t>NORDMALING</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37334-2020</t>
        </is>
      </c>
      <c r="B3316" s="1" t="n">
        <v>44055</v>
      </c>
      <c r="C3316" s="1" t="n">
        <v>45204</v>
      </c>
      <c r="D3316" t="inlineStr">
        <is>
          <t>VÄSTERBOTTENS LÄN</t>
        </is>
      </c>
      <c r="E3316" t="inlineStr">
        <is>
          <t>VINDELN</t>
        </is>
      </c>
      <c r="F3316" t="inlineStr">
        <is>
          <t>Holmen skog AB</t>
        </is>
      </c>
      <c r="G3316" t="n">
        <v>15.7</v>
      </c>
      <c r="H3316" t="n">
        <v>0</v>
      </c>
      <c r="I3316" t="n">
        <v>0</v>
      </c>
      <c r="J3316" t="n">
        <v>0</v>
      </c>
      <c r="K3316" t="n">
        <v>0</v>
      </c>
      <c r="L3316" t="n">
        <v>0</v>
      </c>
      <c r="M3316" t="n">
        <v>0</v>
      </c>
      <c r="N3316" t="n">
        <v>0</v>
      </c>
      <c r="O3316" t="n">
        <v>0</v>
      </c>
      <c r="P3316" t="n">
        <v>0</v>
      </c>
      <c r="Q3316" t="n">
        <v>0</v>
      </c>
      <c r="R3316" s="2" t="inlineStr"/>
    </row>
    <row r="3317" ht="15" customHeight="1">
      <c r="A3317" t="inlineStr">
        <is>
          <t>A 37491-2020</t>
        </is>
      </c>
      <c r="B3317" s="1" t="n">
        <v>44055</v>
      </c>
      <c r="C3317" s="1" t="n">
        <v>45204</v>
      </c>
      <c r="D3317" t="inlineStr">
        <is>
          <t>VÄSTERBOTTENS LÄN</t>
        </is>
      </c>
      <c r="E3317" t="inlineStr">
        <is>
          <t>VINDELN</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37512-2020</t>
        </is>
      </c>
      <c r="B3318" s="1" t="n">
        <v>44055</v>
      </c>
      <c r="C3318" s="1" t="n">
        <v>45204</v>
      </c>
      <c r="D3318" t="inlineStr">
        <is>
          <t>VÄSTERBOTTENS LÄN</t>
        </is>
      </c>
      <c r="E3318" t="inlineStr">
        <is>
          <t>LYCKSELE</t>
        </is>
      </c>
      <c r="F3318" t="inlineStr">
        <is>
          <t>SCA</t>
        </is>
      </c>
      <c r="G3318" t="n">
        <v>7.8</v>
      </c>
      <c r="H3318" t="n">
        <v>0</v>
      </c>
      <c r="I3318" t="n">
        <v>0</v>
      </c>
      <c r="J3318" t="n">
        <v>0</v>
      </c>
      <c r="K3318" t="n">
        <v>0</v>
      </c>
      <c r="L3318" t="n">
        <v>0</v>
      </c>
      <c r="M3318" t="n">
        <v>0</v>
      </c>
      <c r="N3318" t="n">
        <v>0</v>
      </c>
      <c r="O3318" t="n">
        <v>0</v>
      </c>
      <c r="P3318" t="n">
        <v>0</v>
      </c>
      <c r="Q3318" t="n">
        <v>0</v>
      </c>
      <c r="R3318" s="2" t="inlineStr"/>
    </row>
    <row r="3319" ht="15" customHeight="1">
      <c r="A3319" t="inlineStr">
        <is>
          <t>A 37268-2020</t>
        </is>
      </c>
      <c r="B3319" s="1" t="n">
        <v>44055</v>
      </c>
      <c r="C3319" s="1" t="n">
        <v>45204</v>
      </c>
      <c r="D3319" t="inlineStr">
        <is>
          <t>VÄSTERBOTTENS LÄN</t>
        </is>
      </c>
      <c r="E3319" t="inlineStr">
        <is>
          <t>SKELLEFTEÅ</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37285-2020</t>
        </is>
      </c>
      <c r="B3320" s="1" t="n">
        <v>44055</v>
      </c>
      <c r="C3320" s="1" t="n">
        <v>45204</v>
      </c>
      <c r="D3320" t="inlineStr">
        <is>
          <t>VÄSTERBOTTENS LÄN</t>
        </is>
      </c>
      <c r="E3320" t="inlineStr">
        <is>
          <t>ROBERTSFORS</t>
        </is>
      </c>
      <c r="G3320" t="n">
        <v>2.6</v>
      </c>
      <c r="H3320" t="n">
        <v>0</v>
      </c>
      <c r="I3320" t="n">
        <v>0</v>
      </c>
      <c r="J3320" t="n">
        <v>0</v>
      </c>
      <c r="K3320" t="n">
        <v>0</v>
      </c>
      <c r="L3320" t="n">
        <v>0</v>
      </c>
      <c r="M3320" t="n">
        <v>0</v>
      </c>
      <c r="N3320" t="n">
        <v>0</v>
      </c>
      <c r="O3320" t="n">
        <v>0</v>
      </c>
      <c r="P3320" t="n">
        <v>0</v>
      </c>
      <c r="Q3320" t="n">
        <v>0</v>
      </c>
      <c r="R3320" s="2" t="inlineStr"/>
    </row>
    <row r="3321" ht="15" customHeight="1">
      <c r="A3321" t="inlineStr">
        <is>
          <t>A 37337-2020</t>
        </is>
      </c>
      <c r="B3321" s="1" t="n">
        <v>44055</v>
      </c>
      <c r="C3321" s="1" t="n">
        <v>45204</v>
      </c>
      <c r="D3321" t="inlineStr">
        <is>
          <t>VÄSTERBOTTENS LÄN</t>
        </is>
      </c>
      <c r="E3321" t="inlineStr">
        <is>
          <t>BJURHOLM</t>
        </is>
      </c>
      <c r="F3321" t="inlineStr">
        <is>
          <t>Holmen skog AB</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37384-2020</t>
        </is>
      </c>
      <c r="B3322" s="1" t="n">
        <v>44055</v>
      </c>
      <c r="C3322" s="1" t="n">
        <v>45204</v>
      </c>
      <c r="D3322" t="inlineStr">
        <is>
          <t>VÄSTERBOTTENS LÄN</t>
        </is>
      </c>
      <c r="E3322" t="inlineStr">
        <is>
          <t>SKELLEFTEÅ</t>
        </is>
      </c>
      <c r="F3322" t="inlineStr">
        <is>
          <t>Holmen skog AB</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37393-2020</t>
        </is>
      </c>
      <c r="B3323" s="1" t="n">
        <v>44055</v>
      </c>
      <c r="C3323" s="1" t="n">
        <v>45204</v>
      </c>
      <c r="D3323" t="inlineStr">
        <is>
          <t>VÄSTERBOTTENS LÄN</t>
        </is>
      </c>
      <c r="E3323" t="inlineStr">
        <is>
          <t>SKELLEFTEÅ</t>
        </is>
      </c>
      <c r="F3323" t="inlineStr">
        <is>
          <t>Holmen skog AB</t>
        </is>
      </c>
      <c r="G3323" t="n">
        <v>1.5</v>
      </c>
      <c r="H3323" t="n">
        <v>0</v>
      </c>
      <c r="I3323" t="n">
        <v>0</v>
      </c>
      <c r="J3323" t="n">
        <v>0</v>
      </c>
      <c r="K3323" t="n">
        <v>0</v>
      </c>
      <c r="L3323" t="n">
        <v>0</v>
      </c>
      <c r="M3323" t="n">
        <v>0</v>
      </c>
      <c r="N3323" t="n">
        <v>0</v>
      </c>
      <c r="O3323" t="n">
        <v>0</v>
      </c>
      <c r="P3323" t="n">
        <v>0</v>
      </c>
      <c r="Q3323" t="n">
        <v>0</v>
      </c>
      <c r="R3323" s="2" t="inlineStr"/>
    </row>
    <row r="3324" ht="15" customHeight="1">
      <c r="A3324" t="inlineStr">
        <is>
          <t>A 37405-2020</t>
        </is>
      </c>
      <c r="B3324" s="1" t="n">
        <v>44055</v>
      </c>
      <c r="C3324" s="1" t="n">
        <v>45204</v>
      </c>
      <c r="D3324" t="inlineStr">
        <is>
          <t>VÄSTERBOTTENS LÄN</t>
        </is>
      </c>
      <c r="E3324" t="inlineStr">
        <is>
          <t>VINDELN</t>
        </is>
      </c>
      <c r="F3324" t="inlineStr">
        <is>
          <t>Holmen skog AB</t>
        </is>
      </c>
      <c r="G3324" t="n">
        <v>4.4</v>
      </c>
      <c r="H3324" t="n">
        <v>0</v>
      </c>
      <c r="I3324" t="n">
        <v>0</v>
      </c>
      <c r="J3324" t="n">
        <v>0</v>
      </c>
      <c r="K3324" t="n">
        <v>0</v>
      </c>
      <c r="L3324" t="n">
        <v>0</v>
      </c>
      <c r="M3324" t="n">
        <v>0</v>
      </c>
      <c r="N3324" t="n">
        <v>0</v>
      </c>
      <c r="O3324" t="n">
        <v>0</v>
      </c>
      <c r="P3324" t="n">
        <v>0</v>
      </c>
      <c r="Q3324" t="n">
        <v>0</v>
      </c>
      <c r="R3324" s="2" t="inlineStr"/>
    </row>
    <row r="3325" ht="15" customHeight="1">
      <c r="A3325" t="inlineStr">
        <is>
          <t>A 37986-2020</t>
        </is>
      </c>
      <c r="B3325" s="1" t="n">
        <v>44057</v>
      </c>
      <c r="C3325" s="1" t="n">
        <v>45204</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38086-2020</t>
        </is>
      </c>
      <c r="B3326" s="1" t="n">
        <v>44057</v>
      </c>
      <c r="C3326" s="1" t="n">
        <v>45204</v>
      </c>
      <c r="D3326" t="inlineStr">
        <is>
          <t>VÄSTERBOTTENS LÄN</t>
        </is>
      </c>
      <c r="E3326" t="inlineStr">
        <is>
          <t>ROBERTSFORS</t>
        </is>
      </c>
      <c r="F3326" t="inlineStr">
        <is>
          <t>SCA</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38067-2020</t>
        </is>
      </c>
      <c r="B3327" s="1" t="n">
        <v>44057</v>
      </c>
      <c r="C3327" s="1" t="n">
        <v>45204</v>
      </c>
      <c r="D3327" t="inlineStr">
        <is>
          <t>VÄSTERBOTTENS LÄN</t>
        </is>
      </c>
      <c r="E3327" t="inlineStr">
        <is>
          <t>LYCKSELE</t>
        </is>
      </c>
      <c r="F3327" t="inlineStr">
        <is>
          <t>SCA</t>
        </is>
      </c>
      <c r="G3327" t="n">
        <v>6.6</v>
      </c>
      <c r="H3327" t="n">
        <v>0</v>
      </c>
      <c r="I3327" t="n">
        <v>0</v>
      </c>
      <c r="J3327" t="n">
        <v>0</v>
      </c>
      <c r="K3327" t="n">
        <v>0</v>
      </c>
      <c r="L3327" t="n">
        <v>0</v>
      </c>
      <c r="M3327" t="n">
        <v>0</v>
      </c>
      <c r="N3327" t="n">
        <v>0</v>
      </c>
      <c r="O3327" t="n">
        <v>0</v>
      </c>
      <c r="P3327" t="n">
        <v>0</v>
      </c>
      <c r="Q3327" t="n">
        <v>0</v>
      </c>
      <c r="R3327" s="2" t="inlineStr"/>
    </row>
    <row r="3328" ht="15" customHeight="1">
      <c r="A3328" t="inlineStr">
        <is>
          <t>A 38147-2020</t>
        </is>
      </c>
      <c r="B3328" s="1" t="n">
        <v>44057</v>
      </c>
      <c r="C3328" s="1" t="n">
        <v>45204</v>
      </c>
      <c r="D3328" t="inlineStr">
        <is>
          <t>VÄSTERBOTTENS LÄN</t>
        </is>
      </c>
      <c r="E3328" t="inlineStr">
        <is>
          <t>NORDMALING</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38181-2020</t>
        </is>
      </c>
      <c r="B3329" s="1" t="n">
        <v>44057</v>
      </c>
      <c r="C3329" s="1" t="n">
        <v>45204</v>
      </c>
      <c r="D3329" t="inlineStr">
        <is>
          <t>VÄSTERBOTTENS LÄN</t>
        </is>
      </c>
      <c r="E3329" t="inlineStr">
        <is>
          <t>SKELLEFTEÅ</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37860-2020</t>
        </is>
      </c>
      <c r="B3330" s="1" t="n">
        <v>44057</v>
      </c>
      <c r="C3330" s="1" t="n">
        <v>45204</v>
      </c>
      <c r="D3330" t="inlineStr">
        <is>
          <t>VÄSTERBOTTENS LÄN</t>
        </is>
      </c>
      <c r="E3330" t="inlineStr">
        <is>
          <t>SKELLEFTEÅ</t>
        </is>
      </c>
      <c r="F3330" t="inlineStr">
        <is>
          <t>Holmen skog AB</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37978-2020</t>
        </is>
      </c>
      <c r="B3331" s="1" t="n">
        <v>44057</v>
      </c>
      <c r="C3331" s="1" t="n">
        <v>45204</v>
      </c>
      <c r="D3331" t="inlineStr">
        <is>
          <t>VÄSTERBOTTENS LÄN</t>
        </is>
      </c>
      <c r="E3331" t="inlineStr">
        <is>
          <t>LYCKSELE</t>
        </is>
      </c>
      <c r="F3331" t="inlineStr">
        <is>
          <t>Sveaskog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38075-2020</t>
        </is>
      </c>
      <c r="B3332" s="1" t="n">
        <v>44057</v>
      </c>
      <c r="C3332" s="1" t="n">
        <v>45204</v>
      </c>
      <c r="D3332" t="inlineStr">
        <is>
          <t>VÄSTERBOTTENS LÄN</t>
        </is>
      </c>
      <c r="E3332" t="inlineStr">
        <is>
          <t>UMEÅ</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38160-2020</t>
        </is>
      </c>
      <c r="B3333" s="1" t="n">
        <v>44057</v>
      </c>
      <c r="C3333" s="1" t="n">
        <v>45204</v>
      </c>
      <c r="D3333" t="inlineStr">
        <is>
          <t>VÄSTERBOTTENS LÄN</t>
        </is>
      </c>
      <c r="E3333" t="inlineStr">
        <is>
          <t>NORDMALING</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38073-2020</t>
        </is>
      </c>
      <c r="B3334" s="1" t="n">
        <v>44057</v>
      </c>
      <c r="C3334" s="1" t="n">
        <v>45204</v>
      </c>
      <c r="D3334" t="inlineStr">
        <is>
          <t>VÄSTERBOTTENS LÄN</t>
        </is>
      </c>
      <c r="E3334" t="inlineStr">
        <is>
          <t>UMEÅ</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38174-2020</t>
        </is>
      </c>
      <c r="B3335" s="1" t="n">
        <v>44057</v>
      </c>
      <c r="C3335" s="1" t="n">
        <v>45204</v>
      </c>
      <c r="D3335" t="inlineStr">
        <is>
          <t>VÄSTERBOTTENS LÄN</t>
        </is>
      </c>
      <c r="E3335" t="inlineStr">
        <is>
          <t>SKELLEFTEÅ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38119-2020</t>
        </is>
      </c>
      <c r="B3336" s="1" t="n">
        <v>44059</v>
      </c>
      <c r="C3336" s="1" t="n">
        <v>45204</v>
      </c>
      <c r="D3336" t="inlineStr">
        <is>
          <t>VÄSTERBOTTENS LÄN</t>
        </is>
      </c>
      <c r="E3336" t="inlineStr">
        <is>
          <t>SKELLEFTEÅ</t>
        </is>
      </c>
      <c r="G3336" t="n">
        <v>0.4</v>
      </c>
      <c r="H3336" t="n">
        <v>0</v>
      </c>
      <c r="I3336" t="n">
        <v>0</v>
      </c>
      <c r="J3336" t="n">
        <v>0</v>
      </c>
      <c r="K3336" t="n">
        <v>0</v>
      </c>
      <c r="L3336" t="n">
        <v>0</v>
      </c>
      <c r="M3336" t="n">
        <v>0</v>
      </c>
      <c r="N3336" t="n">
        <v>0</v>
      </c>
      <c r="O3336" t="n">
        <v>0</v>
      </c>
      <c r="P3336" t="n">
        <v>0</v>
      </c>
      <c r="Q3336" t="n">
        <v>0</v>
      </c>
      <c r="R3336" s="2" t="inlineStr"/>
    </row>
    <row r="3337" ht="15" customHeight="1">
      <c r="A3337" t="inlineStr">
        <is>
          <t>A 38120-2020</t>
        </is>
      </c>
      <c r="B3337" s="1" t="n">
        <v>44059</v>
      </c>
      <c r="C3337" s="1" t="n">
        <v>45204</v>
      </c>
      <c r="D3337" t="inlineStr">
        <is>
          <t>VÄSTERBOTTENS LÄN</t>
        </is>
      </c>
      <c r="E3337" t="inlineStr">
        <is>
          <t>SKELLEFTEÅ</t>
        </is>
      </c>
      <c r="G3337" t="n">
        <v>3.4</v>
      </c>
      <c r="H3337" t="n">
        <v>0</v>
      </c>
      <c r="I3337" t="n">
        <v>0</v>
      </c>
      <c r="J3337" t="n">
        <v>0</v>
      </c>
      <c r="K3337" t="n">
        <v>0</v>
      </c>
      <c r="L3337" t="n">
        <v>0</v>
      </c>
      <c r="M3337" t="n">
        <v>0</v>
      </c>
      <c r="N3337" t="n">
        <v>0</v>
      </c>
      <c r="O3337" t="n">
        <v>0</v>
      </c>
      <c r="P3337" t="n">
        <v>0</v>
      </c>
      <c r="Q3337" t="n">
        <v>0</v>
      </c>
      <c r="R3337" s="2" t="inlineStr"/>
    </row>
    <row r="3338" ht="15" customHeight="1">
      <c r="A3338" t="inlineStr">
        <is>
          <t>A 38132-2020</t>
        </is>
      </c>
      <c r="B3338" s="1" t="n">
        <v>44059</v>
      </c>
      <c r="C3338" s="1" t="n">
        <v>45204</v>
      </c>
      <c r="D3338" t="inlineStr">
        <is>
          <t>VÄSTERBOTTENS LÄN</t>
        </is>
      </c>
      <c r="E3338" t="inlineStr">
        <is>
          <t>SKELLEFTEÅ</t>
        </is>
      </c>
      <c r="F3338" t="inlineStr">
        <is>
          <t>Holmen skog AB</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38392-2020</t>
        </is>
      </c>
      <c r="B3339" s="1" t="n">
        <v>44060</v>
      </c>
      <c r="C3339" s="1" t="n">
        <v>45204</v>
      </c>
      <c r="D3339" t="inlineStr">
        <is>
          <t>VÄSTERBOTTENS LÄN</t>
        </is>
      </c>
      <c r="E3339" t="inlineStr">
        <is>
          <t>ÅSELE</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38187-2020</t>
        </is>
      </c>
      <c r="B3340" s="1" t="n">
        <v>44060</v>
      </c>
      <c r="C3340" s="1" t="n">
        <v>45204</v>
      </c>
      <c r="D3340" t="inlineStr">
        <is>
          <t>VÄSTERBOTTENS LÄN</t>
        </is>
      </c>
      <c r="E3340" t="inlineStr">
        <is>
          <t>SKELLEFTEÅ</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38349-2020</t>
        </is>
      </c>
      <c r="B3341" s="1" t="n">
        <v>44060</v>
      </c>
      <c r="C3341" s="1" t="n">
        <v>45204</v>
      </c>
      <c r="D3341" t="inlineStr">
        <is>
          <t>VÄSTERBOTTENS LÄN</t>
        </is>
      </c>
      <c r="E3341" t="inlineStr">
        <is>
          <t>VILHELMINA</t>
        </is>
      </c>
      <c r="F3341" t="inlineStr">
        <is>
          <t>SCA</t>
        </is>
      </c>
      <c r="G3341" t="n">
        <v>26.8</v>
      </c>
      <c r="H3341" t="n">
        <v>0</v>
      </c>
      <c r="I3341" t="n">
        <v>0</v>
      </c>
      <c r="J3341" t="n">
        <v>0</v>
      </c>
      <c r="K3341" t="n">
        <v>0</v>
      </c>
      <c r="L3341" t="n">
        <v>0</v>
      </c>
      <c r="M3341" t="n">
        <v>0</v>
      </c>
      <c r="N3341" t="n">
        <v>0</v>
      </c>
      <c r="O3341" t="n">
        <v>0</v>
      </c>
      <c r="P3341" t="n">
        <v>0</v>
      </c>
      <c r="Q3341" t="n">
        <v>0</v>
      </c>
      <c r="R3341" s="2" t="inlineStr"/>
    </row>
    <row r="3342" ht="15" customHeight="1">
      <c r="A3342" t="inlineStr">
        <is>
          <t>A 38192-2020</t>
        </is>
      </c>
      <c r="B3342" s="1" t="n">
        <v>44060</v>
      </c>
      <c r="C3342" s="1" t="n">
        <v>45204</v>
      </c>
      <c r="D3342" t="inlineStr">
        <is>
          <t>VÄSTERBOTTENS LÄN</t>
        </is>
      </c>
      <c r="E3342" t="inlineStr">
        <is>
          <t>SKELLEFTEÅ</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38311-2020</t>
        </is>
      </c>
      <c r="B3343" s="1" t="n">
        <v>44060</v>
      </c>
      <c r="C3343" s="1" t="n">
        <v>45204</v>
      </c>
      <c r="D3343" t="inlineStr">
        <is>
          <t>VÄSTERBOTTENS LÄN</t>
        </is>
      </c>
      <c r="E3343" t="inlineStr">
        <is>
          <t>MALÅ</t>
        </is>
      </c>
      <c r="F3343" t="inlineStr">
        <is>
          <t>Sveaskog</t>
        </is>
      </c>
      <c r="G3343" t="n">
        <v>12.9</v>
      </c>
      <c r="H3343" t="n">
        <v>0</v>
      </c>
      <c r="I3343" t="n">
        <v>0</v>
      </c>
      <c r="J3343" t="n">
        <v>0</v>
      </c>
      <c r="K3343" t="n">
        <v>0</v>
      </c>
      <c r="L3343" t="n">
        <v>0</v>
      </c>
      <c r="M3343" t="n">
        <v>0</v>
      </c>
      <c r="N3343" t="n">
        <v>0</v>
      </c>
      <c r="O3343" t="n">
        <v>0</v>
      </c>
      <c r="P3343" t="n">
        <v>0</v>
      </c>
      <c r="Q3343" t="n">
        <v>0</v>
      </c>
      <c r="R3343" s="2" t="inlineStr"/>
    </row>
    <row r="3344" ht="15" customHeight="1">
      <c r="A3344" t="inlineStr">
        <is>
          <t>A 38457-2020</t>
        </is>
      </c>
      <c r="B3344" s="1" t="n">
        <v>44060</v>
      </c>
      <c r="C3344" s="1" t="n">
        <v>45204</v>
      </c>
      <c r="D3344" t="inlineStr">
        <is>
          <t>VÄSTERBOTTENS LÄN</t>
        </is>
      </c>
      <c r="E3344" t="inlineStr">
        <is>
          <t>ROBERTSFORS</t>
        </is>
      </c>
      <c r="F3344" t="inlineStr">
        <is>
          <t>SCA</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38194-2020</t>
        </is>
      </c>
      <c r="B3345" s="1" t="n">
        <v>44060</v>
      </c>
      <c r="C3345" s="1" t="n">
        <v>45204</v>
      </c>
      <c r="D3345" t="inlineStr">
        <is>
          <t>VÄSTERBOTTENS LÄN</t>
        </is>
      </c>
      <c r="E3345" t="inlineStr">
        <is>
          <t>VINDELN</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38930-2020</t>
        </is>
      </c>
      <c r="B3346" s="1" t="n">
        <v>44061</v>
      </c>
      <c r="C3346" s="1" t="n">
        <v>45204</v>
      </c>
      <c r="D3346" t="inlineStr">
        <is>
          <t>VÄSTERBOTTENS LÄN</t>
        </is>
      </c>
      <c r="E3346" t="inlineStr">
        <is>
          <t>ROBERTSFORS</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38580-2020</t>
        </is>
      </c>
      <c r="B3347" s="1" t="n">
        <v>44061</v>
      </c>
      <c r="C3347" s="1" t="n">
        <v>45204</v>
      </c>
      <c r="D3347" t="inlineStr">
        <is>
          <t>VÄSTERBOTTENS LÄN</t>
        </is>
      </c>
      <c r="E3347" t="inlineStr">
        <is>
          <t>VINDELN</t>
        </is>
      </c>
      <c r="F3347" t="inlineStr">
        <is>
          <t>Holmen skog AB</t>
        </is>
      </c>
      <c r="G3347" t="n">
        <v>7</v>
      </c>
      <c r="H3347" t="n">
        <v>0</v>
      </c>
      <c r="I3347" t="n">
        <v>0</v>
      </c>
      <c r="J3347" t="n">
        <v>0</v>
      </c>
      <c r="K3347" t="n">
        <v>0</v>
      </c>
      <c r="L3347" t="n">
        <v>0</v>
      </c>
      <c r="M3347" t="n">
        <v>0</v>
      </c>
      <c r="N3347" t="n">
        <v>0</v>
      </c>
      <c r="O3347" t="n">
        <v>0</v>
      </c>
      <c r="P3347" t="n">
        <v>0</v>
      </c>
      <c r="Q3347" t="n">
        <v>0</v>
      </c>
      <c r="R3347" s="2" t="inlineStr"/>
    </row>
    <row r="3348" ht="15" customHeight="1">
      <c r="A3348" t="inlineStr">
        <is>
          <t>A 38679-2020</t>
        </is>
      </c>
      <c r="B3348" s="1" t="n">
        <v>44061</v>
      </c>
      <c r="C3348" s="1" t="n">
        <v>45204</v>
      </c>
      <c r="D3348" t="inlineStr">
        <is>
          <t>VÄSTERBOTTENS LÄN</t>
        </is>
      </c>
      <c r="E3348" t="inlineStr">
        <is>
          <t>VINDELN</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38980-2020</t>
        </is>
      </c>
      <c r="B3349" s="1" t="n">
        <v>44062</v>
      </c>
      <c r="C3349" s="1" t="n">
        <v>45204</v>
      </c>
      <c r="D3349" t="inlineStr">
        <is>
          <t>VÄSTERBOTTENS LÄN</t>
        </is>
      </c>
      <c r="E3349" t="inlineStr">
        <is>
          <t>LYCKSELE</t>
        </is>
      </c>
      <c r="F3349" t="inlineStr">
        <is>
          <t>Holmen skog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38944-2020</t>
        </is>
      </c>
      <c r="B3350" s="1" t="n">
        <v>44062</v>
      </c>
      <c r="C3350" s="1" t="n">
        <v>45204</v>
      </c>
      <c r="D3350" t="inlineStr">
        <is>
          <t>VÄSTERBOTTENS LÄN</t>
        </is>
      </c>
      <c r="E3350" t="inlineStr">
        <is>
          <t>LYCKSELE</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39230-2020</t>
        </is>
      </c>
      <c r="B3351" s="1" t="n">
        <v>44063</v>
      </c>
      <c r="C3351" s="1" t="n">
        <v>45204</v>
      </c>
      <c r="D3351" t="inlineStr">
        <is>
          <t>VÄSTERBOTTENS LÄN</t>
        </is>
      </c>
      <c r="E3351" t="inlineStr">
        <is>
          <t>SORSELE</t>
        </is>
      </c>
      <c r="F3351" t="inlineStr">
        <is>
          <t>Sveaskog</t>
        </is>
      </c>
      <c r="G3351" t="n">
        <v>33.2</v>
      </c>
      <c r="H3351" t="n">
        <v>0</v>
      </c>
      <c r="I3351" t="n">
        <v>0</v>
      </c>
      <c r="J3351" t="n">
        <v>0</v>
      </c>
      <c r="K3351" t="n">
        <v>0</v>
      </c>
      <c r="L3351" t="n">
        <v>0</v>
      </c>
      <c r="M3351" t="n">
        <v>0</v>
      </c>
      <c r="N3351" t="n">
        <v>0</v>
      </c>
      <c r="O3351" t="n">
        <v>0</v>
      </c>
      <c r="P3351" t="n">
        <v>0</v>
      </c>
      <c r="Q3351" t="n">
        <v>0</v>
      </c>
      <c r="R3351" s="2" t="inlineStr"/>
    </row>
    <row r="3352" ht="15" customHeight="1">
      <c r="A3352" t="inlineStr">
        <is>
          <t>A 39131-2020</t>
        </is>
      </c>
      <c r="B3352" s="1" t="n">
        <v>44063</v>
      </c>
      <c r="C3352" s="1" t="n">
        <v>45204</v>
      </c>
      <c r="D3352" t="inlineStr">
        <is>
          <t>VÄSTERBOTTENS LÄN</t>
        </is>
      </c>
      <c r="E3352" t="inlineStr">
        <is>
          <t>STORUMAN</t>
        </is>
      </c>
      <c r="F3352" t="inlineStr">
        <is>
          <t>Sveaskog</t>
        </is>
      </c>
      <c r="G3352" t="n">
        <v>36.1</v>
      </c>
      <c r="H3352" t="n">
        <v>0</v>
      </c>
      <c r="I3352" t="n">
        <v>0</v>
      </c>
      <c r="J3352" t="n">
        <v>0</v>
      </c>
      <c r="K3352" t="n">
        <v>0</v>
      </c>
      <c r="L3352" t="n">
        <v>0</v>
      </c>
      <c r="M3352" t="n">
        <v>0</v>
      </c>
      <c r="N3352" t="n">
        <v>0</v>
      </c>
      <c r="O3352" t="n">
        <v>0</v>
      </c>
      <c r="P3352" t="n">
        <v>0</v>
      </c>
      <c r="Q3352" t="n">
        <v>0</v>
      </c>
      <c r="R3352" s="2" t="inlineStr"/>
    </row>
    <row r="3353" ht="15" customHeight="1">
      <c r="A3353" t="inlineStr">
        <is>
          <t>A 39623-2020</t>
        </is>
      </c>
      <c r="B3353" s="1" t="n">
        <v>44063</v>
      </c>
      <c r="C3353" s="1" t="n">
        <v>45204</v>
      </c>
      <c r="D3353" t="inlineStr">
        <is>
          <t>VÄSTERBOTTENS LÄN</t>
        </is>
      </c>
      <c r="E3353" t="inlineStr">
        <is>
          <t>NORDMALING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39129-2020</t>
        </is>
      </c>
      <c r="B3354" s="1" t="n">
        <v>44063</v>
      </c>
      <c r="C3354" s="1" t="n">
        <v>45204</v>
      </c>
      <c r="D3354" t="inlineStr">
        <is>
          <t>VÄSTERBOTTENS LÄN</t>
        </is>
      </c>
      <c r="E3354" t="inlineStr">
        <is>
          <t>VÄNNÄS</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39158-2020</t>
        </is>
      </c>
      <c r="B3355" s="1" t="n">
        <v>44063</v>
      </c>
      <c r="C3355" s="1" t="n">
        <v>45204</v>
      </c>
      <c r="D3355" t="inlineStr">
        <is>
          <t>VÄSTERBOTTENS LÄN</t>
        </is>
      </c>
      <c r="E3355" t="inlineStr">
        <is>
          <t>SORSELE</t>
        </is>
      </c>
      <c r="F3355" t="inlineStr">
        <is>
          <t>Sveaskog</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39151-2020</t>
        </is>
      </c>
      <c r="B3356" s="1" t="n">
        <v>44063</v>
      </c>
      <c r="C3356" s="1" t="n">
        <v>45204</v>
      </c>
      <c r="D3356" t="inlineStr">
        <is>
          <t>VÄSTERBOTTENS LÄN</t>
        </is>
      </c>
      <c r="E3356" t="inlineStr">
        <is>
          <t>NORSJÖ</t>
        </is>
      </c>
      <c r="F3356" t="inlineStr">
        <is>
          <t>Holmen skog AB</t>
        </is>
      </c>
      <c r="G3356" t="n">
        <v>5.2</v>
      </c>
      <c r="H3356" t="n">
        <v>0</v>
      </c>
      <c r="I3356" t="n">
        <v>0</v>
      </c>
      <c r="J3356" t="n">
        <v>0</v>
      </c>
      <c r="K3356" t="n">
        <v>0</v>
      </c>
      <c r="L3356" t="n">
        <v>0</v>
      </c>
      <c r="M3356" t="n">
        <v>0</v>
      </c>
      <c r="N3356" t="n">
        <v>0</v>
      </c>
      <c r="O3356" t="n">
        <v>0</v>
      </c>
      <c r="P3356" t="n">
        <v>0</v>
      </c>
      <c r="Q3356" t="n">
        <v>0</v>
      </c>
      <c r="R3356" s="2" t="inlineStr"/>
    </row>
    <row r="3357" ht="15" customHeight="1">
      <c r="A3357" t="inlineStr">
        <is>
          <t>A 39268-2020</t>
        </is>
      </c>
      <c r="B3357" s="1" t="n">
        <v>44063</v>
      </c>
      <c r="C3357" s="1" t="n">
        <v>45204</v>
      </c>
      <c r="D3357" t="inlineStr">
        <is>
          <t>VÄSTERBOTTENS LÄN</t>
        </is>
      </c>
      <c r="E3357" t="inlineStr">
        <is>
          <t>SKELLEFTEÅ</t>
        </is>
      </c>
      <c r="F3357" t="inlineStr">
        <is>
          <t>Holmen skog AB</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39658-2020</t>
        </is>
      </c>
      <c r="B3358" s="1" t="n">
        <v>44064</v>
      </c>
      <c r="C3358" s="1" t="n">
        <v>45204</v>
      </c>
      <c r="D3358" t="inlineStr">
        <is>
          <t>VÄSTERBOTTENS LÄN</t>
        </is>
      </c>
      <c r="E3358" t="inlineStr">
        <is>
          <t>NORDMALING</t>
        </is>
      </c>
      <c r="F3358" t="inlineStr">
        <is>
          <t>SCA</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40116-2020</t>
        </is>
      </c>
      <c r="B3359" s="1" t="n">
        <v>44064</v>
      </c>
      <c r="C3359" s="1" t="n">
        <v>45204</v>
      </c>
      <c r="D3359" t="inlineStr">
        <is>
          <t>VÄSTERBOTTENS LÄN</t>
        </is>
      </c>
      <c r="E3359" t="inlineStr">
        <is>
          <t>VILHELMINA</t>
        </is>
      </c>
      <c r="G3359" t="n">
        <v>19.8</v>
      </c>
      <c r="H3359" t="n">
        <v>0</v>
      </c>
      <c r="I3359" t="n">
        <v>0</v>
      </c>
      <c r="J3359" t="n">
        <v>0</v>
      </c>
      <c r="K3359" t="n">
        <v>0</v>
      </c>
      <c r="L3359" t="n">
        <v>0</v>
      </c>
      <c r="M3359" t="n">
        <v>0</v>
      </c>
      <c r="N3359" t="n">
        <v>0</v>
      </c>
      <c r="O3359" t="n">
        <v>0</v>
      </c>
      <c r="P3359" t="n">
        <v>0</v>
      </c>
      <c r="Q3359" t="n">
        <v>0</v>
      </c>
      <c r="R3359" s="2" t="inlineStr"/>
    </row>
    <row r="3360" ht="15" customHeight="1">
      <c r="A3360" t="inlineStr">
        <is>
          <t>A 40158-2020</t>
        </is>
      </c>
      <c r="B3360" s="1" t="n">
        <v>44064</v>
      </c>
      <c r="C3360" s="1" t="n">
        <v>45204</v>
      </c>
      <c r="D3360" t="inlineStr">
        <is>
          <t>VÄSTERBOTTENS LÄN</t>
        </is>
      </c>
      <c r="E3360" t="inlineStr">
        <is>
          <t>MALÅ</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40100-2020</t>
        </is>
      </c>
      <c r="B3361" s="1" t="n">
        <v>44064</v>
      </c>
      <c r="C3361" s="1" t="n">
        <v>45204</v>
      </c>
      <c r="D3361" t="inlineStr">
        <is>
          <t>VÄSTERBOTTENS LÄN</t>
        </is>
      </c>
      <c r="E3361" t="inlineStr">
        <is>
          <t>VILHELMINA</t>
        </is>
      </c>
      <c r="G3361" t="n">
        <v>22.5</v>
      </c>
      <c r="H3361" t="n">
        <v>0</v>
      </c>
      <c r="I3361" t="n">
        <v>0</v>
      </c>
      <c r="J3361" t="n">
        <v>0</v>
      </c>
      <c r="K3361" t="n">
        <v>0</v>
      </c>
      <c r="L3361" t="n">
        <v>0</v>
      </c>
      <c r="M3361" t="n">
        <v>0</v>
      </c>
      <c r="N3361" t="n">
        <v>0</v>
      </c>
      <c r="O3361" t="n">
        <v>0</v>
      </c>
      <c r="P3361" t="n">
        <v>0</v>
      </c>
      <c r="Q3361" t="n">
        <v>0</v>
      </c>
      <c r="R3361" s="2" t="inlineStr"/>
    </row>
    <row r="3362" ht="15" customHeight="1">
      <c r="A3362" t="inlineStr">
        <is>
          <t>A 40141-2020</t>
        </is>
      </c>
      <c r="B3362" s="1" t="n">
        <v>44064</v>
      </c>
      <c r="C3362" s="1" t="n">
        <v>45204</v>
      </c>
      <c r="D3362" t="inlineStr">
        <is>
          <t>VÄSTERBOTTENS LÄN</t>
        </is>
      </c>
      <c r="E3362" t="inlineStr">
        <is>
          <t>MALÅ</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40002-2020</t>
        </is>
      </c>
      <c r="B3363" s="1" t="n">
        <v>44067</v>
      </c>
      <c r="C3363" s="1" t="n">
        <v>45204</v>
      </c>
      <c r="D3363" t="inlineStr">
        <is>
          <t>VÄSTERBOTTENS LÄN</t>
        </is>
      </c>
      <c r="E3363" t="inlineStr">
        <is>
          <t>BJURHOLM</t>
        </is>
      </c>
      <c r="G3363" t="n">
        <v>8.6</v>
      </c>
      <c r="H3363" t="n">
        <v>0</v>
      </c>
      <c r="I3363" t="n">
        <v>0</v>
      </c>
      <c r="J3363" t="n">
        <v>0</v>
      </c>
      <c r="K3363" t="n">
        <v>0</v>
      </c>
      <c r="L3363" t="n">
        <v>0</v>
      </c>
      <c r="M3363" t="n">
        <v>0</v>
      </c>
      <c r="N3363" t="n">
        <v>0</v>
      </c>
      <c r="O3363" t="n">
        <v>0</v>
      </c>
      <c r="P3363" t="n">
        <v>0</v>
      </c>
      <c r="Q3363" t="n">
        <v>0</v>
      </c>
      <c r="R3363" s="2" t="inlineStr"/>
    </row>
    <row r="3364" ht="15" customHeight="1">
      <c r="A3364" t="inlineStr">
        <is>
          <t>A 39992-2020</t>
        </is>
      </c>
      <c r="B3364" s="1" t="n">
        <v>44067</v>
      </c>
      <c r="C3364" s="1" t="n">
        <v>45204</v>
      </c>
      <c r="D3364" t="inlineStr">
        <is>
          <t>VÄSTERBOTTENS LÄN</t>
        </is>
      </c>
      <c r="E3364" t="inlineStr">
        <is>
          <t>SKELLEFTEÅ</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40355-2020</t>
        </is>
      </c>
      <c r="B3365" s="1" t="n">
        <v>44067</v>
      </c>
      <c r="C3365" s="1" t="n">
        <v>45204</v>
      </c>
      <c r="D3365" t="inlineStr">
        <is>
          <t>VÄSTERBOTTENS LÄN</t>
        </is>
      </c>
      <c r="E3365" t="inlineStr">
        <is>
          <t>LYCKSELE</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40846-2020</t>
        </is>
      </c>
      <c r="B3366" s="1" t="n">
        <v>44067</v>
      </c>
      <c r="C3366" s="1" t="n">
        <v>45204</v>
      </c>
      <c r="D3366" t="inlineStr">
        <is>
          <t>VÄSTERBOTTENS LÄN</t>
        </is>
      </c>
      <c r="E3366" t="inlineStr">
        <is>
          <t>NORDMALING</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39882-2020</t>
        </is>
      </c>
      <c r="B3367" s="1" t="n">
        <v>44067</v>
      </c>
      <c r="C3367" s="1" t="n">
        <v>45204</v>
      </c>
      <c r="D3367" t="inlineStr">
        <is>
          <t>VÄSTERBOTTENS LÄN</t>
        </is>
      </c>
      <c r="E3367" t="inlineStr">
        <is>
          <t>NORSJÖ</t>
        </is>
      </c>
      <c r="F3367" t="inlineStr">
        <is>
          <t>Holmen skog AB</t>
        </is>
      </c>
      <c r="G3367" t="n">
        <v>10.6</v>
      </c>
      <c r="H3367" t="n">
        <v>0</v>
      </c>
      <c r="I3367" t="n">
        <v>0</v>
      </c>
      <c r="J3367" t="n">
        <v>0</v>
      </c>
      <c r="K3367" t="n">
        <v>0</v>
      </c>
      <c r="L3367" t="n">
        <v>0</v>
      </c>
      <c r="M3367" t="n">
        <v>0</v>
      </c>
      <c r="N3367" t="n">
        <v>0</v>
      </c>
      <c r="O3367" t="n">
        <v>0</v>
      </c>
      <c r="P3367" t="n">
        <v>0</v>
      </c>
      <c r="Q3367" t="n">
        <v>0</v>
      </c>
      <c r="R3367" s="2" t="inlineStr"/>
    </row>
    <row r="3368" ht="15" customHeight="1">
      <c r="A3368" t="inlineStr">
        <is>
          <t>A 40843-2020</t>
        </is>
      </c>
      <c r="B3368" s="1" t="n">
        <v>44067</v>
      </c>
      <c r="C3368" s="1" t="n">
        <v>45204</v>
      </c>
      <c r="D3368" t="inlineStr">
        <is>
          <t>VÄSTERBOTTENS LÄN</t>
        </is>
      </c>
      <c r="E3368" t="inlineStr">
        <is>
          <t>NORDMALING</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40196-2020</t>
        </is>
      </c>
      <c r="B3369" s="1" t="n">
        <v>44068</v>
      </c>
      <c r="C3369" s="1" t="n">
        <v>45204</v>
      </c>
      <c r="D3369" t="inlineStr">
        <is>
          <t>VÄSTERBOTTENS LÄN</t>
        </is>
      </c>
      <c r="E3369" t="inlineStr">
        <is>
          <t>SKELLEFTEÅ</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40854-2020</t>
        </is>
      </c>
      <c r="B3370" s="1" t="n">
        <v>44068</v>
      </c>
      <c r="C3370" s="1" t="n">
        <v>45204</v>
      </c>
      <c r="D3370" t="inlineStr">
        <is>
          <t>VÄSTERBOTTENS LÄN</t>
        </is>
      </c>
      <c r="E3370" t="inlineStr">
        <is>
          <t>ROBERTSFORS</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40156-2020</t>
        </is>
      </c>
      <c r="B3371" s="1" t="n">
        <v>44068</v>
      </c>
      <c r="C3371" s="1" t="n">
        <v>45204</v>
      </c>
      <c r="D3371" t="inlineStr">
        <is>
          <t>VÄSTERBOTTENS LÄN</t>
        </is>
      </c>
      <c r="E3371" t="inlineStr">
        <is>
          <t>SKELLEFTEÅ</t>
        </is>
      </c>
      <c r="F3371" t="inlineStr">
        <is>
          <t>Holmen skog AB</t>
        </is>
      </c>
      <c r="G3371" t="n">
        <v>6.9</v>
      </c>
      <c r="H3371" t="n">
        <v>0</v>
      </c>
      <c r="I3371" t="n">
        <v>0</v>
      </c>
      <c r="J3371" t="n">
        <v>0</v>
      </c>
      <c r="K3371" t="n">
        <v>0</v>
      </c>
      <c r="L3371" t="n">
        <v>0</v>
      </c>
      <c r="M3371" t="n">
        <v>0</v>
      </c>
      <c r="N3371" t="n">
        <v>0</v>
      </c>
      <c r="O3371" t="n">
        <v>0</v>
      </c>
      <c r="P3371" t="n">
        <v>0</v>
      </c>
      <c r="Q3371" t="n">
        <v>0</v>
      </c>
      <c r="R3371" s="2" t="inlineStr"/>
    </row>
    <row r="3372" ht="15" customHeight="1">
      <c r="A3372" t="inlineStr">
        <is>
          <t>A 41005-2020</t>
        </is>
      </c>
      <c r="B3372" s="1" t="n">
        <v>44068</v>
      </c>
      <c r="C3372" s="1" t="n">
        <v>45204</v>
      </c>
      <c r="D3372" t="inlineStr">
        <is>
          <t>VÄSTERBOTTENS LÄN</t>
        </is>
      </c>
      <c r="E3372" t="inlineStr">
        <is>
          <t>SKELLEFTEÅ</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40272-2020</t>
        </is>
      </c>
      <c r="B3373" s="1" t="n">
        <v>44068</v>
      </c>
      <c r="C3373" s="1" t="n">
        <v>45204</v>
      </c>
      <c r="D3373" t="inlineStr">
        <is>
          <t>VÄSTERBOTTENS LÄN</t>
        </is>
      </c>
      <c r="E3373" t="inlineStr">
        <is>
          <t>NORSJÖ</t>
        </is>
      </c>
      <c r="F3373" t="inlineStr">
        <is>
          <t>Holmen skog AB</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40417-2020</t>
        </is>
      </c>
      <c r="B3374" s="1" t="n">
        <v>44068</v>
      </c>
      <c r="C3374" s="1" t="n">
        <v>45204</v>
      </c>
      <c r="D3374" t="inlineStr">
        <is>
          <t>VÄSTERBOTTENS LÄN</t>
        </is>
      </c>
      <c r="E3374" t="inlineStr">
        <is>
          <t>DOROTEA</t>
        </is>
      </c>
      <c r="F3374" t="inlineStr">
        <is>
          <t>SCA</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40860-2020</t>
        </is>
      </c>
      <c r="B3375" s="1" t="n">
        <v>44068</v>
      </c>
      <c r="C3375" s="1" t="n">
        <v>45204</v>
      </c>
      <c r="D3375" t="inlineStr">
        <is>
          <t>VÄSTERBOTTENS LÄN</t>
        </is>
      </c>
      <c r="E3375" t="inlineStr">
        <is>
          <t>SKELLEFTEÅ</t>
        </is>
      </c>
      <c r="G3375" t="n">
        <v>8.9</v>
      </c>
      <c r="H3375" t="n">
        <v>0</v>
      </c>
      <c r="I3375" t="n">
        <v>0</v>
      </c>
      <c r="J3375" t="n">
        <v>0</v>
      </c>
      <c r="K3375" t="n">
        <v>0</v>
      </c>
      <c r="L3375" t="n">
        <v>0</v>
      </c>
      <c r="M3375" t="n">
        <v>0</v>
      </c>
      <c r="N3375" t="n">
        <v>0</v>
      </c>
      <c r="O3375" t="n">
        <v>0</v>
      </c>
      <c r="P3375" t="n">
        <v>0</v>
      </c>
      <c r="Q3375" t="n">
        <v>0</v>
      </c>
      <c r="R3375" s="2" t="inlineStr"/>
    </row>
    <row r="3376" ht="15" customHeight="1">
      <c r="A3376" t="inlineStr">
        <is>
          <t>A 40105-2020</t>
        </is>
      </c>
      <c r="B3376" s="1" t="n">
        <v>44068</v>
      </c>
      <c r="C3376" s="1" t="n">
        <v>45204</v>
      </c>
      <c r="D3376" t="inlineStr">
        <is>
          <t>VÄSTERBOTTENS LÄN</t>
        </is>
      </c>
      <c r="E3376" t="inlineStr">
        <is>
          <t>UMEÅ</t>
        </is>
      </c>
      <c r="F3376" t="inlineStr">
        <is>
          <t>Övriga Aktiebolag</t>
        </is>
      </c>
      <c r="G3376" t="n">
        <v>7.8</v>
      </c>
      <c r="H3376" t="n">
        <v>0</v>
      </c>
      <c r="I3376" t="n">
        <v>0</v>
      </c>
      <c r="J3376" t="n">
        <v>0</v>
      </c>
      <c r="K3376" t="n">
        <v>0</v>
      </c>
      <c r="L3376" t="n">
        <v>0</v>
      </c>
      <c r="M3376" t="n">
        <v>0</v>
      </c>
      <c r="N3376" t="n">
        <v>0</v>
      </c>
      <c r="O3376" t="n">
        <v>0</v>
      </c>
      <c r="P3376" t="n">
        <v>0</v>
      </c>
      <c r="Q3376" t="n">
        <v>0</v>
      </c>
      <c r="R3376" s="2" t="inlineStr"/>
    </row>
    <row r="3377" ht="15" customHeight="1">
      <c r="A3377" t="inlineStr">
        <is>
          <t>A 40277-2020</t>
        </is>
      </c>
      <c r="B3377" s="1" t="n">
        <v>44068</v>
      </c>
      <c r="C3377" s="1" t="n">
        <v>45204</v>
      </c>
      <c r="D3377" t="inlineStr">
        <is>
          <t>VÄSTERBOTTENS LÄN</t>
        </is>
      </c>
      <c r="E3377" t="inlineStr">
        <is>
          <t>SKELLEFTEÅ</t>
        </is>
      </c>
      <c r="F3377" t="inlineStr">
        <is>
          <t>Holmen skog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40703-2020</t>
        </is>
      </c>
      <c r="B3378" s="1" t="n">
        <v>44069</v>
      </c>
      <c r="C3378" s="1" t="n">
        <v>45204</v>
      </c>
      <c r="D3378" t="inlineStr">
        <is>
          <t>VÄSTERBOTTENS LÄN</t>
        </is>
      </c>
      <c r="E3378" t="inlineStr">
        <is>
          <t>VINDELN</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40469-2020</t>
        </is>
      </c>
      <c r="B3379" s="1" t="n">
        <v>44069</v>
      </c>
      <c r="C3379" s="1" t="n">
        <v>45204</v>
      </c>
      <c r="D3379" t="inlineStr">
        <is>
          <t>VÄSTERBOTTENS LÄN</t>
        </is>
      </c>
      <c r="E3379" t="inlineStr">
        <is>
          <t>SKELLEFTEÅ</t>
        </is>
      </c>
      <c r="G3379" t="n">
        <v>4.4</v>
      </c>
      <c r="H3379" t="n">
        <v>0</v>
      </c>
      <c r="I3379" t="n">
        <v>0</v>
      </c>
      <c r="J3379" t="n">
        <v>0</v>
      </c>
      <c r="K3379" t="n">
        <v>0</v>
      </c>
      <c r="L3379" t="n">
        <v>0</v>
      </c>
      <c r="M3379" t="n">
        <v>0</v>
      </c>
      <c r="N3379" t="n">
        <v>0</v>
      </c>
      <c r="O3379" t="n">
        <v>0</v>
      </c>
      <c r="P3379" t="n">
        <v>0</v>
      </c>
      <c r="Q3379" t="n">
        <v>0</v>
      </c>
      <c r="R3379" s="2" t="inlineStr"/>
    </row>
    <row r="3380" ht="15" customHeight="1">
      <c r="A3380" t="inlineStr">
        <is>
          <t>A 40842-2020</t>
        </is>
      </c>
      <c r="B3380" s="1" t="n">
        <v>44069</v>
      </c>
      <c r="C3380" s="1" t="n">
        <v>45204</v>
      </c>
      <c r="D3380" t="inlineStr">
        <is>
          <t>VÄSTERBOTTENS LÄN</t>
        </is>
      </c>
      <c r="E3380" t="inlineStr">
        <is>
          <t>VILHELMINA</t>
        </is>
      </c>
      <c r="G3380" t="n">
        <v>20.4</v>
      </c>
      <c r="H3380" t="n">
        <v>0</v>
      </c>
      <c r="I3380" t="n">
        <v>0</v>
      </c>
      <c r="J3380" t="n">
        <v>0</v>
      </c>
      <c r="K3380" t="n">
        <v>0</v>
      </c>
      <c r="L3380" t="n">
        <v>0</v>
      </c>
      <c r="M3380" t="n">
        <v>0</v>
      </c>
      <c r="N3380" t="n">
        <v>0</v>
      </c>
      <c r="O3380" t="n">
        <v>0</v>
      </c>
      <c r="P3380" t="n">
        <v>0</v>
      </c>
      <c r="Q3380" t="n">
        <v>0</v>
      </c>
      <c r="R3380" s="2" t="inlineStr"/>
    </row>
    <row r="3381" ht="15" customHeight="1">
      <c r="A3381" t="inlineStr">
        <is>
          <t>A 40662-2020</t>
        </is>
      </c>
      <c r="B3381" s="1" t="n">
        <v>44069</v>
      </c>
      <c r="C3381" s="1" t="n">
        <v>45204</v>
      </c>
      <c r="D3381" t="inlineStr">
        <is>
          <t>VÄSTERBOTTENS LÄN</t>
        </is>
      </c>
      <c r="E3381" t="inlineStr">
        <is>
          <t>STORUMAN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40536-2020</t>
        </is>
      </c>
      <c r="B3382" s="1" t="n">
        <v>44069</v>
      </c>
      <c r="C3382" s="1" t="n">
        <v>45204</v>
      </c>
      <c r="D3382" t="inlineStr">
        <is>
          <t>VÄSTERBOTTENS LÄN</t>
        </is>
      </c>
      <c r="E3382" t="inlineStr">
        <is>
          <t>NORSJÖ</t>
        </is>
      </c>
      <c r="F3382" t="inlineStr">
        <is>
          <t>Holmen skog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40566-2020</t>
        </is>
      </c>
      <c r="B3383" s="1" t="n">
        <v>44069</v>
      </c>
      <c r="C3383" s="1" t="n">
        <v>45204</v>
      </c>
      <c r="D3383" t="inlineStr">
        <is>
          <t>VÄSTERBOTTENS LÄN</t>
        </is>
      </c>
      <c r="E3383" t="inlineStr">
        <is>
          <t>SKELLEFTEÅ</t>
        </is>
      </c>
      <c r="F3383" t="inlineStr">
        <is>
          <t>Holmen skog AB</t>
        </is>
      </c>
      <c r="G3383" t="n">
        <v>7.1</v>
      </c>
      <c r="H3383" t="n">
        <v>0</v>
      </c>
      <c r="I3383" t="n">
        <v>0</v>
      </c>
      <c r="J3383" t="n">
        <v>0</v>
      </c>
      <c r="K3383" t="n">
        <v>0</v>
      </c>
      <c r="L3383" t="n">
        <v>0</v>
      </c>
      <c r="M3383" t="n">
        <v>0</v>
      </c>
      <c r="N3383" t="n">
        <v>0</v>
      </c>
      <c r="O3383" t="n">
        <v>0</v>
      </c>
      <c r="P3383" t="n">
        <v>0</v>
      </c>
      <c r="Q3383" t="n">
        <v>0</v>
      </c>
      <c r="R3383" s="2" t="inlineStr"/>
    </row>
    <row r="3384" ht="15" customHeight="1">
      <c r="A3384" t="inlineStr">
        <is>
          <t>A 40756-2020</t>
        </is>
      </c>
      <c r="B3384" s="1" t="n">
        <v>44069</v>
      </c>
      <c r="C3384" s="1" t="n">
        <v>45204</v>
      </c>
      <c r="D3384" t="inlineStr">
        <is>
          <t>VÄSTERBOTTENS LÄN</t>
        </is>
      </c>
      <c r="E3384" t="inlineStr">
        <is>
          <t>SKELLEFTEÅ</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40795-2020</t>
        </is>
      </c>
      <c r="B3385" s="1" t="n">
        <v>44070</v>
      </c>
      <c r="C3385" s="1" t="n">
        <v>45204</v>
      </c>
      <c r="D3385" t="inlineStr">
        <is>
          <t>VÄSTERBOTTENS LÄN</t>
        </is>
      </c>
      <c r="E3385" t="inlineStr">
        <is>
          <t>MALÅ</t>
        </is>
      </c>
      <c r="F3385" t="inlineStr">
        <is>
          <t>Sveaskog</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40828-2020</t>
        </is>
      </c>
      <c r="B3386" s="1" t="n">
        <v>44070</v>
      </c>
      <c r="C3386" s="1" t="n">
        <v>45204</v>
      </c>
      <c r="D3386" t="inlineStr">
        <is>
          <t>VÄSTERBOTTENS LÄN</t>
        </is>
      </c>
      <c r="E3386" t="inlineStr">
        <is>
          <t>SKELLEFTEÅ</t>
        </is>
      </c>
      <c r="G3386" t="n">
        <v>2.7</v>
      </c>
      <c r="H3386" t="n">
        <v>0</v>
      </c>
      <c r="I3386" t="n">
        <v>0</v>
      </c>
      <c r="J3386" t="n">
        <v>0</v>
      </c>
      <c r="K3386" t="n">
        <v>0</v>
      </c>
      <c r="L3386" t="n">
        <v>0</v>
      </c>
      <c r="M3386" t="n">
        <v>0</v>
      </c>
      <c r="N3386" t="n">
        <v>0</v>
      </c>
      <c r="O3386" t="n">
        <v>0</v>
      </c>
      <c r="P3386" t="n">
        <v>0</v>
      </c>
      <c r="Q3386" t="n">
        <v>0</v>
      </c>
      <c r="R3386" s="2" t="inlineStr"/>
    </row>
    <row r="3387" ht="15" customHeight="1">
      <c r="A3387" t="inlineStr">
        <is>
          <t>A 40845-2020</t>
        </is>
      </c>
      <c r="B3387" s="1" t="n">
        <v>44070</v>
      </c>
      <c r="C3387" s="1" t="n">
        <v>45204</v>
      </c>
      <c r="D3387" t="inlineStr">
        <is>
          <t>VÄSTERBOTTENS LÄN</t>
        </is>
      </c>
      <c r="E3387" t="inlineStr">
        <is>
          <t>STORUMAN</t>
        </is>
      </c>
      <c r="G3387" t="n">
        <v>20.1</v>
      </c>
      <c r="H3387" t="n">
        <v>0</v>
      </c>
      <c r="I3387" t="n">
        <v>0</v>
      </c>
      <c r="J3387" t="n">
        <v>0</v>
      </c>
      <c r="K3387" t="n">
        <v>0</v>
      </c>
      <c r="L3387" t="n">
        <v>0</v>
      </c>
      <c r="M3387" t="n">
        <v>0</v>
      </c>
      <c r="N3387" t="n">
        <v>0</v>
      </c>
      <c r="O3387" t="n">
        <v>0</v>
      </c>
      <c r="P3387" t="n">
        <v>0</v>
      </c>
      <c r="Q3387" t="n">
        <v>0</v>
      </c>
      <c r="R3387" s="2" t="inlineStr"/>
    </row>
    <row r="3388" ht="15" customHeight="1">
      <c r="A3388" t="inlineStr">
        <is>
          <t>A 41246-2020</t>
        </is>
      </c>
      <c r="B3388" s="1" t="n">
        <v>44071</v>
      </c>
      <c r="C3388" s="1" t="n">
        <v>45204</v>
      </c>
      <c r="D3388" t="inlineStr">
        <is>
          <t>VÄSTERBOTTENS LÄN</t>
        </is>
      </c>
      <c r="E3388" t="inlineStr">
        <is>
          <t>ÅSELE</t>
        </is>
      </c>
      <c r="F3388" t="inlineStr">
        <is>
          <t>Kyrkan</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42123-2020</t>
        </is>
      </c>
      <c r="B3389" s="1" t="n">
        <v>44071</v>
      </c>
      <c r="C3389" s="1" t="n">
        <v>45204</v>
      </c>
      <c r="D3389" t="inlineStr">
        <is>
          <t>VÄSTERBOTTENS LÄN</t>
        </is>
      </c>
      <c r="E3389" t="inlineStr">
        <is>
          <t>SKELLEFTEÅ</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41267-2020</t>
        </is>
      </c>
      <c r="B3390" s="1" t="n">
        <v>44071</v>
      </c>
      <c r="C3390" s="1" t="n">
        <v>45204</v>
      </c>
      <c r="D3390" t="inlineStr">
        <is>
          <t>VÄSTERBOTTENS LÄN</t>
        </is>
      </c>
      <c r="E3390" t="inlineStr">
        <is>
          <t>VILHELMINA</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41291-2020</t>
        </is>
      </c>
      <c r="B3391" s="1" t="n">
        <v>44071</v>
      </c>
      <c r="C3391" s="1" t="n">
        <v>45204</v>
      </c>
      <c r="D3391" t="inlineStr">
        <is>
          <t>VÄSTERBOTTENS LÄN</t>
        </is>
      </c>
      <c r="E3391" t="inlineStr">
        <is>
          <t>VINDELN</t>
        </is>
      </c>
      <c r="F3391" t="inlineStr">
        <is>
          <t>Holmen skog AB</t>
        </is>
      </c>
      <c r="G3391" t="n">
        <v>5.7</v>
      </c>
      <c r="H3391" t="n">
        <v>0</v>
      </c>
      <c r="I3391" t="n">
        <v>0</v>
      </c>
      <c r="J3391" t="n">
        <v>0</v>
      </c>
      <c r="K3391" t="n">
        <v>0</v>
      </c>
      <c r="L3391" t="n">
        <v>0</v>
      </c>
      <c r="M3391" t="n">
        <v>0</v>
      </c>
      <c r="N3391" t="n">
        <v>0</v>
      </c>
      <c r="O3391" t="n">
        <v>0</v>
      </c>
      <c r="P3391" t="n">
        <v>0</v>
      </c>
      <c r="Q3391" t="n">
        <v>0</v>
      </c>
      <c r="R3391" s="2" t="inlineStr"/>
    </row>
    <row r="3392" ht="15" customHeight="1">
      <c r="A3392" t="inlineStr">
        <is>
          <t>A 41372-2020</t>
        </is>
      </c>
      <c r="B3392" s="1" t="n">
        <v>44071</v>
      </c>
      <c r="C3392" s="1" t="n">
        <v>45204</v>
      </c>
      <c r="D3392" t="inlineStr">
        <is>
          <t>VÄSTERBOTTENS LÄN</t>
        </is>
      </c>
      <c r="E3392" t="inlineStr">
        <is>
          <t>SKELLEFTEÅ</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41440-2020</t>
        </is>
      </c>
      <c r="B3393" s="1" t="n">
        <v>44073</v>
      </c>
      <c r="C3393" s="1" t="n">
        <v>45204</v>
      </c>
      <c r="D3393" t="inlineStr">
        <is>
          <t>VÄSTERBOTTENS LÄN</t>
        </is>
      </c>
      <c r="E3393" t="inlineStr">
        <is>
          <t>UMEÅ</t>
        </is>
      </c>
      <c r="F3393" t="inlineStr">
        <is>
          <t>Holmen skog AB</t>
        </is>
      </c>
      <c r="G3393" t="n">
        <v>19.5</v>
      </c>
      <c r="H3393" t="n">
        <v>0</v>
      </c>
      <c r="I3393" t="n">
        <v>0</v>
      </c>
      <c r="J3393" t="n">
        <v>0</v>
      </c>
      <c r="K3393" t="n">
        <v>0</v>
      </c>
      <c r="L3393" t="n">
        <v>0</v>
      </c>
      <c r="M3393" t="n">
        <v>0</v>
      </c>
      <c r="N3393" t="n">
        <v>0</v>
      </c>
      <c r="O3393" t="n">
        <v>0</v>
      </c>
      <c r="P3393" t="n">
        <v>0</v>
      </c>
      <c r="Q3393" t="n">
        <v>0</v>
      </c>
      <c r="R3393" s="2" t="inlineStr"/>
    </row>
    <row r="3394" ht="15" customHeight="1">
      <c r="A3394" t="inlineStr">
        <is>
          <t>A 41428-2020</t>
        </is>
      </c>
      <c r="B3394" s="1" t="n">
        <v>44073</v>
      </c>
      <c r="C3394" s="1" t="n">
        <v>45204</v>
      </c>
      <c r="D3394" t="inlineStr">
        <is>
          <t>VÄSTERBOTTENS LÄN</t>
        </is>
      </c>
      <c r="E3394" t="inlineStr">
        <is>
          <t>SKELLEFTEÅ</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41647-2020</t>
        </is>
      </c>
      <c r="B3395" s="1" t="n">
        <v>44074</v>
      </c>
      <c r="C3395" s="1" t="n">
        <v>45204</v>
      </c>
      <c r="D3395" t="inlineStr">
        <is>
          <t>VÄSTERBOTTENS LÄN</t>
        </is>
      </c>
      <c r="E3395" t="inlineStr">
        <is>
          <t>VINDELN</t>
        </is>
      </c>
      <c r="F3395" t="inlineStr">
        <is>
          <t>Sveaskog</t>
        </is>
      </c>
      <c r="G3395" t="n">
        <v>9.4</v>
      </c>
      <c r="H3395" t="n">
        <v>0</v>
      </c>
      <c r="I3395" t="n">
        <v>0</v>
      </c>
      <c r="J3395" t="n">
        <v>0</v>
      </c>
      <c r="K3395" t="n">
        <v>0</v>
      </c>
      <c r="L3395" t="n">
        <v>0</v>
      </c>
      <c r="M3395" t="n">
        <v>0</v>
      </c>
      <c r="N3395" t="n">
        <v>0</v>
      </c>
      <c r="O3395" t="n">
        <v>0</v>
      </c>
      <c r="P3395" t="n">
        <v>0</v>
      </c>
      <c r="Q3395" t="n">
        <v>0</v>
      </c>
      <c r="R3395" s="2" t="inlineStr"/>
    </row>
    <row r="3396" ht="15" customHeight="1">
      <c r="A3396" t="inlineStr">
        <is>
          <t>A 41664-2020</t>
        </is>
      </c>
      <c r="B3396" s="1" t="n">
        <v>44074</v>
      </c>
      <c r="C3396" s="1" t="n">
        <v>45204</v>
      </c>
      <c r="D3396" t="inlineStr">
        <is>
          <t>VÄSTERBOTTENS LÄN</t>
        </is>
      </c>
      <c r="E3396" t="inlineStr">
        <is>
          <t>NORSJÖ</t>
        </is>
      </c>
      <c r="F3396" t="inlineStr">
        <is>
          <t>Holmen skog AB</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41696-2020</t>
        </is>
      </c>
      <c r="B3397" s="1" t="n">
        <v>44074</v>
      </c>
      <c r="C3397" s="1" t="n">
        <v>45204</v>
      </c>
      <c r="D3397" t="inlineStr">
        <is>
          <t>VÄSTERBOTTENS LÄN</t>
        </is>
      </c>
      <c r="E3397" t="inlineStr">
        <is>
          <t>UMEÅ</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41841-2020</t>
        </is>
      </c>
      <c r="B3398" s="1" t="n">
        <v>44074</v>
      </c>
      <c r="C3398" s="1" t="n">
        <v>45204</v>
      </c>
      <c r="D3398" t="inlineStr">
        <is>
          <t>VÄSTERBOTTENS LÄN</t>
        </is>
      </c>
      <c r="E3398" t="inlineStr">
        <is>
          <t>SKELLEFTEÅ</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42049-2020</t>
        </is>
      </c>
      <c r="B3399" s="1" t="n">
        <v>44074</v>
      </c>
      <c r="C3399" s="1" t="n">
        <v>45204</v>
      </c>
      <c r="D3399" t="inlineStr">
        <is>
          <t>VÄSTERBOTTENS LÄN</t>
        </is>
      </c>
      <c r="E3399" t="inlineStr">
        <is>
          <t>SKELLEFTEÅ</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41674-2020</t>
        </is>
      </c>
      <c r="B3400" s="1" t="n">
        <v>44074</v>
      </c>
      <c r="C3400" s="1" t="n">
        <v>45204</v>
      </c>
      <c r="D3400" t="inlineStr">
        <is>
          <t>VÄSTERBOTTENS LÄN</t>
        </is>
      </c>
      <c r="E3400" t="inlineStr">
        <is>
          <t>NORSJÖ</t>
        </is>
      </c>
      <c r="F3400" t="inlineStr">
        <is>
          <t>Holmen skog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41989-2020</t>
        </is>
      </c>
      <c r="B3401" s="1" t="n">
        <v>44075</v>
      </c>
      <c r="C3401" s="1" t="n">
        <v>45204</v>
      </c>
      <c r="D3401" t="inlineStr">
        <is>
          <t>VÄSTERBOTTENS LÄN</t>
        </is>
      </c>
      <c r="E3401" t="inlineStr">
        <is>
          <t>SKELLEFTEÅ</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42685-2020</t>
        </is>
      </c>
      <c r="B3402" s="1" t="n">
        <v>44075</v>
      </c>
      <c r="C3402" s="1" t="n">
        <v>45204</v>
      </c>
      <c r="D3402" t="inlineStr">
        <is>
          <t>VÄSTERBOTTENS LÄN</t>
        </is>
      </c>
      <c r="E3402" t="inlineStr">
        <is>
          <t>SKELLEFTEÅ</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42083-2020</t>
        </is>
      </c>
      <c r="B3403" s="1" t="n">
        <v>44075</v>
      </c>
      <c r="C3403" s="1" t="n">
        <v>45204</v>
      </c>
      <c r="D3403" t="inlineStr">
        <is>
          <t>VÄSTERBOTTENS LÄN</t>
        </is>
      </c>
      <c r="E3403" t="inlineStr">
        <is>
          <t>ROBERTSFORS</t>
        </is>
      </c>
      <c r="F3403" t="inlineStr">
        <is>
          <t>Holmen skog AB</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42121-2020</t>
        </is>
      </c>
      <c r="B3404" s="1" t="n">
        <v>44075</v>
      </c>
      <c r="C3404" s="1" t="n">
        <v>45204</v>
      </c>
      <c r="D3404" t="inlineStr">
        <is>
          <t>VÄSTERBOTTENS LÄN</t>
        </is>
      </c>
      <c r="E3404" t="inlineStr">
        <is>
          <t>STORUMAN</t>
        </is>
      </c>
      <c r="F3404" t="inlineStr">
        <is>
          <t>Sveaskog</t>
        </is>
      </c>
      <c r="G3404" t="n">
        <v>7</v>
      </c>
      <c r="H3404" t="n">
        <v>0</v>
      </c>
      <c r="I3404" t="n">
        <v>0</v>
      </c>
      <c r="J3404" t="n">
        <v>0</v>
      </c>
      <c r="K3404" t="n">
        <v>0</v>
      </c>
      <c r="L3404" t="n">
        <v>0</v>
      </c>
      <c r="M3404" t="n">
        <v>0</v>
      </c>
      <c r="N3404" t="n">
        <v>0</v>
      </c>
      <c r="O3404" t="n">
        <v>0</v>
      </c>
      <c r="P3404" t="n">
        <v>0</v>
      </c>
      <c r="Q3404" t="n">
        <v>0</v>
      </c>
      <c r="R3404" s="2" t="inlineStr"/>
    </row>
    <row r="3405" ht="15" customHeight="1">
      <c r="A3405" t="inlineStr">
        <is>
          <t>A 42205-2020</t>
        </is>
      </c>
      <c r="B3405" s="1" t="n">
        <v>44075</v>
      </c>
      <c r="C3405" s="1" t="n">
        <v>45204</v>
      </c>
      <c r="D3405" t="inlineStr">
        <is>
          <t>VÄSTERBOTTENS LÄN</t>
        </is>
      </c>
      <c r="E3405" t="inlineStr">
        <is>
          <t>VILHELMINA</t>
        </is>
      </c>
      <c r="F3405" t="inlineStr">
        <is>
          <t>SCA</t>
        </is>
      </c>
      <c r="G3405" t="n">
        <v>3.4</v>
      </c>
      <c r="H3405" t="n">
        <v>0</v>
      </c>
      <c r="I3405" t="n">
        <v>0</v>
      </c>
      <c r="J3405" t="n">
        <v>0</v>
      </c>
      <c r="K3405" t="n">
        <v>0</v>
      </c>
      <c r="L3405" t="n">
        <v>0</v>
      </c>
      <c r="M3405" t="n">
        <v>0</v>
      </c>
      <c r="N3405" t="n">
        <v>0</v>
      </c>
      <c r="O3405" t="n">
        <v>0</v>
      </c>
      <c r="P3405" t="n">
        <v>0</v>
      </c>
      <c r="Q3405" t="n">
        <v>0</v>
      </c>
      <c r="R3405" s="2" t="inlineStr"/>
    </row>
    <row r="3406" ht="15" customHeight="1">
      <c r="A3406" t="inlineStr">
        <is>
          <t>A 42679-2020</t>
        </is>
      </c>
      <c r="B3406" s="1" t="n">
        <v>44075</v>
      </c>
      <c r="C3406" s="1" t="n">
        <v>45204</v>
      </c>
      <c r="D3406" t="inlineStr">
        <is>
          <t>VÄSTERBOTTENS LÄN</t>
        </is>
      </c>
      <c r="E3406" t="inlineStr">
        <is>
          <t>SKELLEFTEÅ</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42124-2020</t>
        </is>
      </c>
      <c r="B3407" s="1" t="n">
        <v>44075</v>
      </c>
      <c r="C3407" s="1" t="n">
        <v>45204</v>
      </c>
      <c r="D3407" t="inlineStr">
        <is>
          <t>VÄSTERBOTTENS LÄN</t>
        </is>
      </c>
      <c r="E3407" t="inlineStr">
        <is>
          <t>STORUMAN</t>
        </is>
      </c>
      <c r="F3407" t="inlineStr">
        <is>
          <t>Sveaskog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43331-2020</t>
        </is>
      </c>
      <c r="B3408" s="1" t="n">
        <v>44076</v>
      </c>
      <c r="C3408" s="1" t="n">
        <v>45204</v>
      </c>
      <c r="D3408" t="inlineStr">
        <is>
          <t>VÄSTERBOTTENS LÄN</t>
        </is>
      </c>
      <c r="E3408" t="inlineStr">
        <is>
          <t>SKELLEFTEÅ</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42406-2020</t>
        </is>
      </c>
      <c r="B3409" s="1" t="n">
        <v>44076</v>
      </c>
      <c r="C3409" s="1" t="n">
        <v>45204</v>
      </c>
      <c r="D3409" t="inlineStr">
        <is>
          <t>VÄSTERBOTTENS LÄN</t>
        </is>
      </c>
      <c r="E3409" t="inlineStr">
        <is>
          <t>VÄNNÄS</t>
        </is>
      </c>
      <c r="F3409" t="inlineStr">
        <is>
          <t>Holmen skog AB</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42648-2020</t>
        </is>
      </c>
      <c r="B3410" s="1" t="n">
        <v>44077</v>
      </c>
      <c r="C3410" s="1" t="n">
        <v>45204</v>
      </c>
      <c r="D3410" t="inlineStr">
        <is>
          <t>VÄSTERBOTTENS LÄN</t>
        </is>
      </c>
      <c r="E3410" t="inlineStr">
        <is>
          <t>SKELLEFTEÅ</t>
        </is>
      </c>
      <c r="F3410" t="inlineStr">
        <is>
          <t>Holmen skog AB</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42930-2020</t>
        </is>
      </c>
      <c r="B3411" s="1" t="n">
        <v>44078</v>
      </c>
      <c r="C3411" s="1" t="n">
        <v>45204</v>
      </c>
      <c r="D3411" t="inlineStr">
        <is>
          <t>VÄSTERBOTTENS LÄN</t>
        </is>
      </c>
      <c r="E3411" t="inlineStr">
        <is>
          <t>STORUMAN</t>
        </is>
      </c>
      <c r="F3411" t="inlineStr">
        <is>
          <t>Sveaskog</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43607-2020</t>
        </is>
      </c>
      <c r="B3412" s="1" t="n">
        <v>44078</v>
      </c>
      <c r="C3412" s="1" t="n">
        <v>45204</v>
      </c>
      <c r="D3412" t="inlineStr">
        <is>
          <t>VÄSTERBOTTENS LÄN</t>
        </is>
      </c>
      <c r="E3412" t="inlineStr">
        <is>
          <t>UMEÅ</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43695-2020</t>
        </is>
      </c>
      <c r="B3413" s="1" t="n">
        <v>44078</v>
      </c>
      <c r="C3413" s="1" t="n">
        <v>45204</v>
      </c>
      <c r="D3413" t="inlineStr">
        <is>
          <t>VÄSTERBOTTENS LÄN</t>
        </is>
      </c>
      <c r="E3413" t="inlineStr">
        <is>
          <t>STORUMAN</t>
        </is>
      </c>
      <c r="G3413" t="n">
        <v>6.6</v>
      </c>
      <c r="H3413" t="n">
        <v>0</v>
      </c>
      <c r="I3413" t="n">
        <v>0</v>
      </c>
      <c r="J3413" t="n">
        <v>0</v>
      </c>
      <c r="K3413" t="n">
        <v>0</v>
      </c>
      <c r="L3413" t="n">
        <v>0</v>
      </c>
      <c r="M3413" t="n">
        <v>0</v>
      </c>
      <c r="N3413" t="n">
        <v>0</v>
      </c>
      <c r="O3413" t="n">
        <v>0</v>
      </c>
      <c r="P3413" t="n">
        <v>0</v>
      </c>
      <c r="Q3413" t="n">
        <v>0</v>
      </c>
      <c r="R3413" s="2" t="inlineStr"/>
    </row>
    <row r="3414" ht="15" customHeight="1">
      <c r="A3414" t="inlineStr">
        <is>
          <t>A 43901-2020</t>
        </is>
      </c>
      <c r="B3414" s="1" t="n">
        <v>44078</v>
      </c>
      <c r="C3414" s="1" t="n">
        <v>45204</v>
      </c>
      <c r="D3414" t="inlineStr">
        <is>
          <t>VÄSTERBOTTENS LÄN</t>
        </is>
      </c>
      <c r="E3414" t="inlineStr">
        <is>
          <t>STORUMAN</t>
        </is>
      </c>
      <c r="F3414" t="inlineStr">
        <is>
          <t>Allmännings- och besparingsskogar</t>
        </is>
      </c>
      <c r="G3414" t="n">
        <v>89.59999999999999</v>
      </c>
      <c r="H3414" t="n">
        <v>0</v>
      </c>
      <c r="I3414" t="n">
        <v>0</v>
      </c>
      <c r="J3414" t="n">
        <v>0</v>
      </c>
      <c r="K3414" t="n">
        <v>0</v>
      </c>
      <c r="L3414" t="n">
        <v>0</v>
      </c>
      <c r="M3414" t="n">
        <v>0</v>
      </c>
      <c r="N3414" t="n">
        <v>0</v>
      </c>
      <c r="O3414" t="n">
        <v>0</v>
      </c>
      <c r="P3414" t="n">
        <v>0</v>
      </c>
      <c r="Q3414" t="n">
        <v>0</v>
      </c>
      <c r="R3414" s="2" t="inlineStr"/>
    </row>
    <row r="3415" ht="15" customHeight="1">
      <c r="A3415" t="inlineStr">
        <is>
          <t>A 43063-2020</t>
        </is>
      </c>
      <c r="B3415" s="1" t="n">
        <v>44078</v>
      </c>
      <c r="C3415" s="1" t="n">
        <v>45204</v>
      </c>
      <c r="D3415" t="inlineStr">
        <is>
          <t>VÄSTERBOTTENS LÄN</t>
        </is>
      </c>
      <c r="E3415" t="inlineStr">
        <is>
          <t>LYCKSELE</t>
        </is>
      </c>
      <c r="F3415" t="inlineStr">
        <is>
          <t>SCA</t>
        </is>
      </c>
      <c r="G3415" t="n">
        <v>6.6</v>
      </c>
      <c r="H3415" t="n">
        <v>0</v>
      </c>
      <c r="I3415" t="n">
        <v>0</v>
      </c>
      <c r="J3415" t="n">
        <v>0</v>
      </c>
      <c r="K3415" t="n">
        <v>0</v>
      </c>
      <c r="L3415" t="n">
        <v>0</v>
      </c>
      <c r="M3415" t="n">
        <v>0</v>
      </c>
      <c r="N3415" t="n">
        <v>0</v>
      </c>
      <c r="O3415" t="n">
        <v>0</v>
      </c>
      <c r="P3415" t="n">
        <v>0</v>
      </c>
      <c r="Q3415" t="n">
        <v>0</v>
      </c>
      <c r="R3415" s="2" t="inlineStr"/>
    </row>
    <row r="3416" ht="15" customHeight="1">
      <c r="A3416" t="inlineStr">
        <is>
          <t>A 43616-2020</t>
        </is>
      </c>
      <c r="B3416" s="1" t="n">
        <v>44078</v>
      </c>
      <c r="C3416" s="1" t="n">
        <v>45204</v>
      </c>
      <c r="D3416" t="inlineStr">
        <is>
          <t>VÄSTERBOTTENS LÄN</t>
        </is>
      </c>
      <c r="E3416" t="inlineStr">
        <is>
          <t>DOROTEA</t>
        </is>
      </c>
      <c r="G3416" t="n">
        <v>4.4</v>
      </c>
      <c r="H3416" t="n">
        <v>0</v>
      </c>
      <c r="I3416" t="n">
        <v>0</v>
      </c>
      <c r="J3416" t="n">
        <v>0</v>
      </c>
      <c r="K3416" t="n">
        <v>0</v>
      </c>
      <c r="L3416" t="n">
        <v>0</v>
      </c>
      <c r="M3416" t="n">
        <v>0</v>
      </c>
      <c r="N3416" t="n">
        <v>0</v>
      </c>
      <c r="O3416" t="n">
        <v>0</v>
      </c>
      <c r="P3416" t="n">
        <v>0</v>
      </c>
      <c r="Q3416" t="n">
        <v>0</v>
      </c>
      <c r="R3416" s="2" t="inlineStr"/>
    </row>
    <row r="3417" ht="15" customHeight="1">
      <c r="A3417" t="inlineStr">
        <is>
          <t>A 43975-2020</t>
        </is>
      </c>
      <c r="B3417" s="1" t="n">
        <v>44078</v>
      </c>
      <c r="C3417" s="1" t="n">
        <v>45204</v>
      </c>
      <c r="D3417" t="inlineStr">
        <is>
          <t>VÄSTERBOTTENS LÄN</t>
        </is>
      </c>
      <c r="E3417" t="inlineStr">
        <is>
          <t>SORSELE</t>
        </is>
      </c>
      <c r="F3417" t="inlineStr">
        <is>
          <t>Allmännings- och besparingsskogar</t>
        </is>
      </c>
      <c r="G3417" t="n">
        <v>93.5</v>
      </c>
      <c r="H3417" t="n">
        <v>0</v>
      </c>
      <c r="I3417" t="n">
        <v>0</v>
      </c>
      <c r="J3417" t="n">
        <v>0</v>
      </c>
      <c r="K3417" t="n">
        <v>0</v>
      </c>
      <c r="L3417" t="n">
        <v>0</v>
      </c>
      <c r="M3417" t="n">
        <v>0</v>
      </c>
      <c r="N3417" t="n">
        <v>0</v>
      </c>
      <c r="O3417" t="n">
        <v>0</v>
      </c>
      <c r="P3417" t="n">
        <v>0</v>
      </c>
      <c r="Q3417" t="n">
        <v>0</v>
      </c>
      <c r="R3417" s="2" t="inlineStr"/>
    </row>
    <row r="3418" ht="15" customHeight="1">
      <c r="A3418" t="inlineStr">
        <is>
          <t>A 47987-2020</t>
        </is>
      </c>
      <c r="B3418" s="1" t="n">
        <v>44078</v>
      </c>
      <c r="C3418" s="1" t="n">
        <v>45204</v>
      </c>
      <c r="D3418" t="inlineStr">
        <is>
          <t>VÄSTERBOTTENS LÄN</t>
        </is>
      </c>
      <c r="E3418" t="inlineStr">
        <is>
          <t>SORSELE</t>
        </is>
      </c>
      <c r="F3418" t="inlineStr">
        <is>
          <t>Allmännings- och besparingsskogar</t>
        </is>
      </c>
      <c r="G3418" t="n">
        <v>273.4</v>
      </c>
      <c r="H3418" t="n">
        <v>0</v>
      </c>
      <c r="I3418" t="n">
        <v>0</v>
      </c>
      <c r="J3418" t="n">
        <v>0</v>
      </c>
      <c r="K3418" t="n">
        <v>0</v>
      </c>
      <c r="L3418" t="n">
        <v>0</v>
      </c>
      <c r="M3418" t="n">
        <v>0</v>
      </c>
      <c r="N3418" t="n">
        <v>0</v>
      </c>
      <c r="O3418" t="n">
        <v>0</v>
      </c>
      <c r="P3418" t="n">
        <v>0</v>
      </c>
      <c r="Q3418" t="n">
        <v>0</v>
      </c>
      <c r="R3418" s="2" t="inlineStr"/>
    </row>
    <row r="3419" ht="15" customHeight="1">
      <c r="A3419" t="inlineStr">
        <is>
          <t>A 42808-2020</t>
        </is>
      </c>
      <c r="B3419" s="1" t="n">
        <v>44078</v>
      </c>
      <c r="C3419" s="1" t="n">
        <v>45204</v>
      </c>
      <c r="D3419" t="inlineStr">
        <is>
          <t>VÄSTERBOTTENS LÄN</t>
        </is>
      </c>
      <c r="E3419" t="inlineStr">
        <is>
          <t>SKELLEFTEÅ</t>
        </is>
      </c>
      <c r="F3419" t="inlineStr">
        <is>
          <t>Kommuner</t>
        </is>
      </c>
      <c r="G3419" t="n">
        <v>6.5</v>
      </c>
      <c r="H3419" t="n">
        <v>0</v>
      </c>
      <c r="I3419" t="n">
        <v>0</v>
      </c>
      <c r="J3419" t="n">
        <v>0</v>
      </c>
      <c r="K3419" t="n">
        <v>0</v>
      </c>
      <c r="L3419" t="n">
        <v>0</v>
      </c>
      <c r="M3419" t="n">
        <v>0</v>
      </c>
      <c r="N3419" t="n">
        <v>0</v>
      </c>
      <c r="O3419" t="n">
        <v>0</v>
      </c>
      <c r="P3419" t="n">
        <v>0</v>
      </c>
      <c r="Q3419" t="n">
        <v>0</v>
      </c>
      <c r="R3419" s="2" t="inlineStr"/>
    </row>
    <row r="3420" ht="15" customHeight="1">
      <c r="A3420" t="inlineStr">
        <is>
          <t>A 43066-2020</t>
        </is>
      </c>
      <c r="B3420" s="1" t="n">
        <v>44078</v>
      </c>
      <c r="C3420" s="1" t="n">
        <v>45204</v>
      </c>
      <c r="D3420" t="inlineStr">
        <is>
          <t>VÄSTERBOTTENS LÄN</t>
        </is>
      </c>
      <c r="E3420" t="inlineStr">
        <is>
          <t>MALÅ</t>
        </is>
      </c>
      <c r="F3420" t="inlineStr">
        <is>
          <t>SCA</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43080-2020</t>
        </is>
      </c>
      <c r="B3421" s="1" t="n">
        <v>44078</v>
      </c>
      <c r="C3421" s="1" t="n">
        <v>45204</v>
      </c>
      <c r="D3421" t="inlineStr">
        <is>
          <t>VÄSTERBOTTENS LÄN</t>
        </is>
      </c>
      <c r="E3421" t="inlineStr">
        <is>
          <t>VILHELMINA</t>
        </is>
      </c>
      <c r="F3421" t="inlineStr">
        <is>
          <t>SCA</t>
        </is>
      </c>
      <c r="G3421" t="n">
        <v>15.4</v>
      </c>
      <c r="H3421" t="n">
        <v>0</v>
      </c>
      <c r="I3421" t="n">
        <v>0</v>
      </c>
      <c r="J3421" t="n">
        <v>0</v>
      </c>
      <c r="K3421" t="n">
        <v>0</v>
      </c>
      <c r="L3421" t="n">
        <v>0</v>
      </c>
      <c r="M3421" t="n">
        <v>0</v>
      </c>
      <c r="N3421" t="n">
        <v>0</v>
      </c>
      <c r="O3421" t="n">
        <v>0</v>
      </c>
      <c r="P3421" t="n">
        <v>0</v>
      </c>
      <c r="Q3421" t="n">
        <v>0</v>
      </c>
      <c r="R3421" s="2" t="inlineStr"/>
    </row>
    <row r="3422" ht="15" customHeight="1">
      <c r="A3422" t="inlineStr">
        <is>
          <t>A 43619-2020</t>
        </is>
      </c>
      <c r="B3422" s="1" t="n">
        <v>44078</v>
      </c>
      <c r="C3422" s="1" t="n">
        <v>45204</v>
      </c>
      <c r="D3422" t="inlineStr">
        <is>
          <t>VÄSTERBOTTENS LÄN</t>
        </is>
      </c>
      <c r="E3422" t="inlineStr">
        <is>
          <t>ÅSELE</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43714-2020</t>
        </is>
      </c>
      <c r="B3423" s="1" t="n">
        <v>44078</v>
      </c>
      <c r="C3423" s="1" t="n">
        <v>45204</v>
      </c>
      <c r="D3423" t="inlineStr">
        <is>
          <t>VÄSTERBOTTENS LÄN</t>
        </is>
      </c>
      <c r="E3423" t="inlineStr">
        <is>
          <t>ROBERTSFORS</t>
        </is>
      </c>
      <c r="G3423" t="n">
        <v>4.5</v>
      </c>
      <c r="H3423" t="n">
        <v>0</v>
      </c>
      <c r="I3423" t="n">
        <v>0</v>
      </c>
      <c r="J3423" t="n">
        <v>0</v>
      </c>
      <c r="K3423" t="n">
        <v>0</v>
      </c>
      <c r="L3423" t="n">
        <v>0</v>
      </c>
      <c r="M3423" t="n">
        <v>0</v>
      </c>
      <c r="N3423" t="n">
        <v>0</v>
      </c>
      <c r="O3423" t="n">
        <v>0</v>
      </c>
      <c r="P3423" t="n">
        <v>0</v>
      </c>
      <c r="Q3423" t="n">
        <v>0</v>
      </c>
      <c r="R3423" s="2" t="inlineStr"/>
    </row>
    <row r="3424" ht="15" customHeight="1">
      <c r="A3424" t="inlineStr">
        <is>
          <t>A 43922-2020</t>
        </is>
      </c>
      <c r="B3424" s="1" t="n">
        <v>44078</v>
      </c>
      <c r="C3424" s="1" t="n">
        <v>45204</v>
      </c>
      <c r="D3424" t="inlineStr">
        <is>
          <t>VÄSTERBOTTENS LÄN</t>
        </is>
      </c>
      <c r="E3424" t="inlineStr">
        <is>
          <t>STORUMAN</t>
        </is>
      </c>
      <c r="F3424" t="inlineStr">
        <is>
          <t>Allmännings- och besparingsskogar</t>
        </is>
      </c>
      <c r="G3424" t="n">
        <v>49.7</v>
      </c>
      <c r="H3424" t="n">
        <v>0</v>
      </c>
      <c r="I3424" t="n">
        <v>0</v>
      </c>
      <c r="J3424" t="n">
        <v>0</v>
      </c>
      <c r="K3424" t="n">
        <v>0</v>
      </c>
      <c r="L3424" t="n">
        <v>0</v>
      </c>
      <c r="M3424" t="n">
        <v>0</v>
      </c>
      <c r="N3424" t="n">
        <v>0</v>
      </c>
      <c r="O3424" t="n">
        <v>0</v>
      </c>
      <c r="P3424" t="n">
        <v>0</v>
      </c>
      <c r="Q3424" t="n">
        <v>0</v>
      </c>
      <c r="R3424" s="2" t="inlineStr"/>
    </row>
    <row r="3425" ht="15" customHeight="1">
      <c r="A3425" t="inlineStr">
        <is>
          <t>A 48533-2020</t>
        </is>
      </c>
      <c r="B3425" s="1" t="n">
        <v>44078</v>
      </c>
      <c r="C3425" s="1" t="n">
        <v>45204</v>
      </c>
      <c r="D3425" t="inlineStr">
        <is>
          <t>VÄSTERBOTTENS LÄN</t>
        </is>
      </c>
      <c r="E3425" t="inlineStr">
        <is>
          <t>SORSELE</t>
        </is>
      </c>
      <c r="F3425" t="inlineStr">
        <is>
          <t>Allmännings- och besparingsskogar</t>
        </is>
      </c>
      <c r="G3425" t="n">
        <v>115.4</v>
      </c>
      <c r="H3425" t="n">
        <v>0</v>
      </c>
      <c r="I3425" t="n">
        <v>0</v>
      </c>
      <c r="J3425" t="n">
        <v>0</v>
      </c>
      <c r="K3425" t="n">
        <v>0</v>
      </c>
      <c r="L3425" t="n">
        <v>0</v>
      </c>
      <c r="M3425" t="n">
        <v>0</v>
      </c>
      <c r="N3425" t="n">
        <v>0</v>
      </c>
      <c r="O3425" t="n">
        <v>0</v>
      </c>
      <c r="P3425" t="n">
        <v>0</v>
      </c>
      <c r="Q3425" t="n">
        <v>0</v>
      </c>
      <c r="R3425" s="2" t="inlineStr"/>
    </row>
    <row r="3426" ht="15" customHeight="1">
      <c r="A3426" t="inlineStr">
        <is>
          <t>A 43068-2020</t>
        </is>
      </c>
      <c r="B3426" s="1" t="n">
        <v>44078</v>
      </c>
      <c r="C3426" s="1" t="n">
        <v>45204</v>
      </c>
      <c r="D3426" t="inlineStr">
        <is>
          <t>VÄSTERBOTTENS LÄN</t>
        </is>
      </c>
      <c r="E3426" t="inlineStr">
        <is>
          <t>BJURHOLM</t>
        </is>
      </c>
      <c r="F3426" t="inlineStr">
        <is>
          <t>SCA</t>
        </is>
      </c>
      <c r="G3426" t="n">
        <v>17.1</v>
      </c>
      <c r="H3426" t="n">
        <v>0</v>
      </c>
      <c r="I3426" t="n">
        <v>0</v>
      </c>
      <c r="J3426" t="n">
        <v>0</v>
      </c>
      <c r="K3426" t="n">
        <v>0</v>
      </c>
      <c r="L3426" t="n">
        <v>0</v>
      </c>
      <c r="M3426" t="n">
        <v>0</v>
      </c>
      <c r="N3426" t="n">
        <v>0</v>
      </c>
      <c r="O3426" t="n">
        <v>0</v>
      </c>
      <c r="P3426" t="n">
        <v>0</v>
      </c>
      <c r="Q3426" t="n">
        <v>0</v>
      </c>
      <c r="R3426" s="2" t="inlineStr"/>
    </row>
    <row r="3427" ht="15" customHeight="1">
      <c r="A3427" t="inlineStr">
        <is>
          <t>A 43604-2020</t>
        </is>
      </c>
      <c r="B3427" s="1" t="n">
        <v>44078</v>
      </c>
      <c r="C3427" s="1" t="n">
        <v>45204</v>
      </c>
      <c r="D3427" t="inlineStr">
        <is>
          <t>VÄSTERBOTTENS LÄN</t>
        </is>
      </c>
      <c r="E3427" t="inlineStr">
        <is>
          <t>VINDELN</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43926-2020</t>
        </is>
      </c>
      <c r="B3428" s="1" t="n">
        <v>44078</v>
      </c>
      <c r="C3428" s="1" t="n">
        <v>45204</v>
      </c>
      <c r="D3428" t="inlineStr">
        <is>
          <t>VÄSTERBOTTENS LÄN</t>
        </is>
      </c>
      <c r="E3428" t="inlineStr">
        <is>
          <t>STORUMAN</t>
        </is>
      </c>
      <c r="F3428" t="inlineStr">
        <is>
          <t>Allmännings- och besparingsskogar</t>
        </is>
      </c>
      <c r="G3428" t="n">
        <v>55.6</v>
      </c>
      <c r="H3428" t="n">
        <v>0</v>
      </c>
      <c r="I3428" t="n">
        <v>0</v>
      </c>
      <c r="J3428" t="n">
        <v>0</v>
      </c>
      <c r="K3428" t="n">
        <v>0</v>
      </c>
      <c r="L3428" t="n">
        <v>0</v>
      </c>
      <c r="M3428" t="n">
        <v>0</v>
      </c>
      <c r="N3428" t="n">
        <v>0</v>
      </c>
      <c r="O3428" t="n">
        <v>0</v>
      </c>
      <c r="P3428" t="n">
        <v>0</v>
      </c>
      <c r="Q3428" t="n">
        <v>0</v>
      </c>
      <c r="R3428" s="2" t="inlineStr"/>
    </row>
    <row r="3429" ht="15" customHeight="1">
      <c r="A3429" t="inlineStr">
        <is>
          <t>A 43977-2020</t>
        </is>
      </c>
      <c r="B3429" s="1" t="n">
        <v>44078</v>
      </c>
      <c r="C3429" s="1" t="n">
        <v>45204</v>
      </c>
      <c r="D3429" t="inlineStr">
        <is>
          <t>VÄSTERBOTTENS LÄN</t>
        </is>
      </c>
      <c r="E3429" t="inlineStr">
        <is>
          <t>SORSELE</t>
        </is>
      </c>
      <c r="F3429" t="inlineStr">
        <is>
          <t>Allmännings- och besparingsskogar</t>
        </is>
      </c>
      <c r="G3429" t="n">
        <v>149.4</v>
      </c>
      <c r="H3429" t="n">
        <v>0</v>
      </c>
      <c r="I3429" t="n">
        <v>0</v>
      </c>
      <c r="J3429" t="n">
        <v>0</v>
      </c>
      <c r="K3429" t="n">
        <v>0</v>
      </c>
      <c r="L3429" t="n">
        <v>0</v>
      </c>
      <c r="M3429" t="n">
        <v>0</v>
      </c>
      <c r="N3429" t="n">
        <v>0</v>
      </c>
      <c r="O3429" t="n">
        <v>0</v>
      </c>
      <c r="P3429" t="n">
        <v>0</v>
      </c>
      <c r="Q3429" t="n">
        <v>0</v>
      </c>
      <c r="R3429" s="2" t="inlineStr"/>
    </row>
    <row r="3430" ht="15" customHeight="1">
      <c r="A3430" t="inlineStr">
        <is>
          <t>A 43152-2020</t>
        </is>
      </c>
      <c r="B3430" s="1" t="n">
        <v>44080</v>
      </c>
      <c r="C3430" s="1" t="n">
        <v>45204</v>
      </c>
      <c r="D3430" t="inlineStr">
        <is>
          <t>VÄSTERBOTTENS LÄN</t>
        </is>
      </c>
      <c r="E3430" t="inlineStr">
        <is>
          <t>SKELLEFTEÅ</t>
        </is>
      </c>
      <c r="F3430" t="inlineStr">
        <is>
          <t>Sveaskog</t>
        </is>
      </c>
      <c r="G3430" t="n">
        <v>19.8</v>
      </c>
      <c r="H3430" t="n">
        <v>0</v>
      </c>
      <c r="I3430" t="n">
        <v>0</v>
      </c>
      <c r="J3430" t="n">
        <v>0</v>
      </c>
      <c r="K3430" t="n">
        <v>0</v>
      </c>
      <c r="L3430" t="n">
        <v>0</v>
      </c>
      <c r="M3430" t="n">
        <v>0</v>
      </c>
      <c r="N3430" t="n">
        <v>0</v>
      </c>
      <c r="O3430" t="n">
        <v>0</v>
      </c>
      <c r="P3430" t="n">
        <v>0</v>
      </c>
      <c r="Q3430" t="n">
        <v>0</v>
      </c>
      <c r="R3430" s="2" t="inlineStr"/>
    </row>
    <row r="3431" ht="15" customHeight="1">
      <c r="A3431" t="inlineStr">
        <is>
          <t>A 43327-2020</t>
        </is>
      </c>
      <c r="B3431" s="1" t="n">
        <v>44081</v>
      </c>
      <c r="C3431" s="1" t="n">
        <v>45204</v>
      </c>
      <c r="D3431" t="inlineStr">
        <is>
          <t>VÄSTERBOTTENS LÄN</t>
        </is>
      </c>
      <c r="E3431" t="inlineStr">
        <is>
          <t>SKELLEFTEÅ</t>
        </is>
      </c>
      <c r="F3431" t="inlineStr">
        <is>
          <t>Sveaskog</t>
        </is>
      </c>
      <c r="G3431" t="n">
        <v>23.3</v>
      </c>
      <c r="H3431" t="n">
        <v>0</v>
      </c>
      <c r="I3431" t="n">
        <v>0</v>
      </c>
      <c r="J3431" t="n">
        <v>0</v>
      </c>
      <c r="K3431" t="n">
        <v>0</v>
      </c>
      <c r="L3431" t="n">
        <v>0</v>
      </c>
      <c r="M3431" t="n">
        <v>0</v>
      </c>
      <c r="N3431" t="n">
        <v>0</v>
      </c>
      <c r="O3431" t="n">
        <v>0</v>
      </c>
      <c r="P3431" t="n">
        <v>0</v>
      </c>
      <c r="Q3431" t="n">
        <v>0</v>
      </c>
      <c r="R3431" s="2" t="inlineStr"/>
    </row>
    <row r="3432" ht="15" customHeight="1">
      <c r="A3432" t="inlineStr">
        <is>
          <t>A 43388-2020</t>
        </is>
      </c>
      <c r="B3432" s="1" t="n">
        <v>44081</v>
      </c>
      <c r="C3432" s="1" t="n">
        <v>45204</v>
      </c>
      <c r="D3432" t="inlineStr">
        <is>
          <t>VÄSTERBOTTENS LÄN</t>
        </is>
      </c>
      <c r="E3432" t="inlineStr">
        <is>
          <t>VINDELN</t>
        </is>
      </c>
      <c r="F3432" t="inlineStr">
        <is>
          <t>Holmen skog AB</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44041-2020</t>
        </is>
      </c>
      <c r="B3433" s="1" t="n">
        <v>44081</v>
      </c>
      <c r="C3433" s="1" t="n">
        <v>45204</v>
      </c>
      <c r="D3433" t="inlineStr">
        <is>
          <t>VÄSTERBOTTENS LÄN</t>
        </is>
      </c>
      <c r="E3433" t="inlineStr">
        <is>
          <t>LYCKSELE</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43292-2020</t>
        </is>
      </c>
      <c r="B3434" s="1" t="n">
        <v>44081</v>
      </c>
      <c r="C3434" s="1" t="n">
        <v>45204</v>
      </c>
      <c r="D3434" t="inlineStr">
        <is>
          <t>VÄSTERBOTTENS LÄN</t>
        </is>
      </c>
      <c r="E3434" t="inlineStr">
        <is>
          <t>SKELLEFTEÅ</t>
        </is>
      </c>
      <c r="F3434" t="inlineStr">
        <is>
          <t>Sveaskog</t>
        </is>
      </c>
      <c r="G3434" t="n">
        <v>10.1</v>
      </c>
      <c r="H3434" t="n">
        <v>0</v>
      </c>
      <c r="I3434" t="n">
        <v>0</v>
      </c>
      <c r="J3434" t="n">
        <v>0</v>
      </c>
      <c r="K3434" t="n">
        <v>0</v>
      </c>
      <c r="L3434" t="n">
        <v>0</v>
      </c>
      <c r="M3434" t="n">
        <v>0</v>
      </c>
      <c r="N3434" t="n">
        <v>0</v>
      </c>
      <c r="O3434" t="n">
        <v>0</v>
      </c>
      <c r="P3434" t="n">
        <v>0</v>
      </c>
      <c r="Q3434" t="n">
        <v>0</v>
      </c>
      <c r="R3434" s="2" t="inlineStr"/>
    </row>
    <row r="3435" ht="15" customHeight="1">
      <c r="A3435" t="inlineStr">
        <is>
          <t>A 43344-2020</t>
        </is>
      </c>
      <c r="B3435" s="1" t="n">
        <v>44081</v>
      </c>
      <c r="C3435" s="1" t="n">
        <v>45204</v>
      </c>
      <c r="D3435" t="inlineStr">
        <is>
          <t>VÄSTERBOTTENS LÄN</t>
        </is>
      </c>
      <c r="E3435" t="inlineStr">
        <is>
          <t>SKELLEFTEÅ</t>
        </is>
      </c>
      <c r="F3435" t="inlineStr">
        <is>
          <t>Sveaskog</t>
        </is>
      </c>
      <c r="G3435" t="n">
        <v>11.4</v>
      </c>
      <c r="H3435" t="n">
        <v>0</v>
      </c>
      <c r="I3435" t="n">
        <v>0</v>
      </c>
      <c r="J3435" t="n">
        <v>0</v>
      </c>
      <c r="K3435" t="n">
        <v>0</v>
      </c>
      <c r="L3435" t="n">
        <v>0</v>
      </c>
      <c r="M3435" t="n">
        <v>0</v>
      </c>
      <c r="N3435" t="n">
        <v>0</v>
      </c>
      <c r="O3435" t="n">
        <v>0</v>
      </c>
      <c r="P3435" t="n">
        <v>0</v>
      </c>
      <c r="Q3435" t="n">
        <v>0</v>
      </c>
      <c r="R3435" s="2" t="inlineStr"/>
    </row>
    <row r="3436" ht="15" customHeight="1">
      <c r="A3436" t="inlineStr">
        <is>
          <t>A 43222-2020</t>
        </is>
      </c>
      <c r="B3436" s="1" t="n">
        <v>44081</v>
      </c>
      <c r="C3436" s="1" t="n">
        <v>45204</v>
      </c>
      <c r="D3436" t="inlineStr">
        <is>
          <t>VÄSTERBOTTENS LÄN</t>
        </is>
      </c>
      <c r="E3436" t="inlineStr">
        <is>
          <t>SKELLEFTEÅ</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43992-2020</t>
        </is>
      </c>
      <c r="B3437" s="1" t="n">
        <v>44081</v>
      </c>
      <c r="C3437" s="1" t="n">
        <v>45204</v>
      </c>
      <c r="D3437" t="inlineStr">
        <is>
          <t>VÄSTERBOTTENS LÄN</t>
        </is>
      </c>
      <c r="E3437" t="inlineStr">
        <is>
          <t>BJURHOLM</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43800-2020</t>
        </is>
      </c>
      <c r="B3438" s="1" t="n">
        <v>44082</v>
      </c>
      <c r="C3438" s="1" t="n">
        <v>45204</v>
      </c>
      <c r="D3438" t="inlineStr">
        <is>
          <t>VÄSTERBOTTENS LÄN</t>
        </is>
      </c>
      <c r="E3438" t="inlineStr">
        <is>
          <t>ÅSELE</t>
        </is>
      </c>
      <c r="F3438" t="inlineStr">
        <is>
          <t>Sveaskog</t>
        </is>
      </c>
      <c r="G3438" t="n">
        <v>12.2</v>
      </c>
      <c r="H3438" t="n">
        <v>0</v>
      </c>
      <c r="I3438" t="n">
        <v>0</v>
      </c>
      <c r="J3438" t="n">
        <v>0</v>
      </c>
      <c r="K3438" t="n">
        <v>0</v>
      </c>
      <c r="L3438" t="n">
        <v>0</v>
      </c>
      <c r="M3438" t="n">
        <v>0</v>
      </c>
      <c r="N3438" t="n">
        <v>0</v>
      </c>
      <c r="O3438" t="n">
        <v>0</v>
      </c>
      <c r="P3438" t="n">
        <v>0</v>
      </c>
      <c r="Q3438" t="n">
        <v>0</v>
      </c>
      <c r="R3438" s="2" t="inlineStr"/>
    </row>
    <row r="3439" ht="15" customHeight="1">
      <c r="A3439" t="inlineStr">
        <is>
          <t>A 43831-2020</t>
        </is>
      </c>
      <c r="B3439" s="1" t="n">
        <v>44082</v>
      </c>
      <c r="C3439" s="1" t="n">
        <v>45204</v>
      </c>
      <c r="D3439" t="inlineStr">
        <is>
          <t>VÄSTERBOTTENS LÄN</t>
        </is>
      </c>
      <c r="E3439" t="inlineStr">
        <is>
          <t>NORDMALING</t>
        </is>
      </c>
      <c r="F3439" t="inlineStr">
        <is>
          <t>SCA</t>
        </is>
      </c>
      <c r="G3439" t="n">
        <v>1.9</v>
      </c>
      <c r="H3439" t="n">
        <v>0</v>
      </c>
      <c r="I3439" t="n">
        <v>0</v>
      </c>
      <c r="J3439" t="n">
        <v>0</v>
      </c>
      <c r="K3439" t="n">
        <v>0</v>
      </c>
      <c r="L3439" t="n">
        <v>0</v>
      </c>
      <c r="M3439" t="n">
        <v>0</v>
      </c>
      <c r="N3439" t="n">
        <v>0</v>
      </c>
      <c r="O3439" t="n">
        <v>0</v>
      </c>
      <c r="P3439" t="n">
        <v>0</v>
      </c>
      <c r="Q3439" t="n">
        <v>0</v>
      </c>
      <c r="R3439" s="2" t="inlineStr"/>
    </row>
    <row r="3440" ht="15" customHeight="1">
      <c r="A3440" t="inlineStr">
        <is>
          <t>A 43840-2020</t>
        </is>
      </c>
      <c r="B3440" s="1" t="n">
        <v>44082</v>
      </c>
      <c r="C3440" s="1" t="n">
        <v>45204</v>
      </c>
      <c r="D3440" t="inlineStr">
        <is>
          <t>VÄSTERBOTTENS LÄN</t>
        </is>
      </c>
      <c r="E3440" t="inlineStr">
        <is>
          <t>VINDELN</t>
        </is>
      </c>
      <c r="F3440" t="inlineStr">
        <is>
          <t>SCA</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43851-2020</t>
        </is>
      </c>
      <c r="B3441" s="1" t="n">
        <v>44082</v>
      </c>
      <c r="C3441" s="1" t="n">
        <v>45204</v>
      </c>
      <c r="D3441" t="inlineStr">
        <is>
          <t>VÄSTERBOTTENS LÄN</t>
        </is>
      </c>
      <c r="E3441" t="inlineStr">
        <is>
          <t>NORDMALING</t>
        </is>
      </c>
      <c r="F3441" t="inlineStr">
        <is>
          <t>SCA</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43863-2020</t>
        </is>
      </c>
      <c r="B3442" s="1" t="n">
        <v>44082</v>
      </c>
      <c r="C3442" s="1" t="n">
        <v>45204</v>
      </c>
      <c r="D3442" t="inlineStr">
        <is>
          <t>VÄSTERBOTTENS LÄN</t>
        </is>
      </c>
      <c r="E3442" t="inlineStr">
        <is>
          <t>VINDELN</t>
        </is>
      </c>
      <c r="F3442" t="inlineStr">
        <is>
          <t>SCA</t>
        </is>
      </c>
      <c r="G3442" t="n">
        <v>3.9</v>
      </c>
      <c r="H3442" t="n">
        <v>0</v>
      </c>
      <c r="I3442" t="n">
        <v>0</v>
      </c>
      <c r="J3442" t="n">
        <v>0</v>
      </c>
      <c r="K3442" t="n">
        <v>0</v>
      </c>
      <c r="L3442" t="n">
        <v>0</v>
      </c>
      <c r="M3442" t="n">
        <v>0</v>
      </c>
      <c r="N3442" t="n">
        <v>0</v>
      </c>
      <c r="O3442" t="n">
        <v>0</v>
      </c>
      <c r="P3442" t="n">
        <v>0</v>
      </c>
      <c r="Q3442" t="n">
        <v>0</v>
      </c>
      <c r="R3442" s="2" t="inlineStr"/>
    </row>
    <row r="3443" ht="15" customHeight="1">
      <c r="A3443" t="inlineStr">
        <is>
          <t>A 43830-2020</t>
        </is>
      </c>
      <c r="B3443" s="1" t="n">
        <v>44082</v>
      </c>
      <c r="C3443" s="1" t="n">
        <v>45204</v>
      </c>
      <c r="D3443" t="inlineStr">
        <is>
          <t>VÄSTERBOTTENS LÄN</t>
        </is>
      </c>
      <c r="E3443" t="inlineStr">
        <is>
          <t>VINDELN</t>
        </is>
      </c>
      <c r="F3443" t="inlineStr">
        <is>
          <t>SCA</t>
        </is>
      </c>
      <c r="G3443" t="n">
        <v>5.9</v>
      </c>
      <c r="H3443" t="n">
        <v>0</v>
      </c>
      <c r="I3443" t="n">
        <v>0</v>
      </c>
      <c r="J3443" t="n">
        <v>0</v>
      </c>
      <c r="K3443" t="n">
        <v>0</v>
      </c>
      <c r="L3443" t="n">
        <v>0</v>
      </c>
      <c r="M3443" t="n">
        <v>0</v>
      </c>
      <c r="N3443" t="n">
        <v>0</v>
      </c>
      <c r="O3443" t="n">
        <v>0</v>
      </c>
      <c r="P3443" t="n">
        <v>0</v>
      </c>
      <c r="Q3443" t="n">
        <v>0</v>
      </c>
      <c r="R3443" s="2" t="inlineStr"/>
    </row>
    <row r="3444" ht="15" customHeight="1">
      <c r="A3444" t="inlineStr">
        <is>
          <t>A 43850-2020</t>
        </is>
      </c>
      <c r="B3444" s="1" t="n">
        <v>44082</v>
      </c>
      <c r="C3444" s="1" t="n">
        <v>45204</v>
      </c>
      <c r="D3444" t="inlineStr">
        <is>
          <t>VÄSTERBOTTENS LÄN</t>
        </is>
      </c>
      <c r="E3444" t="inlineStr">
        <is>
          <t>VINDELN</t>
        </is>
      </c>
      <c r="F3444" t="inlineStr">
        <is>
          <t>SCA</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43861-2020</t>
        </is>
      </c>
      <c r="B3445" s="1" t="n">
        <v>44082</v>
      </c>
      <c r="C3445" s="1" t="n">
        <v>45204</v>
      </c>
      <c r="D3445" t="inlineStr">
        <is>
          <t>VÄSTERBOTTENS LÄN</t>
        </is>
      </c>
      <c r="E3445" t="inlineStr">
        <is>
          <t>VINDELN</t>
        </is>
      </c>
      <c r="F3445" t="inlineStr">
        <is>
          <t>SCA</t>
        </is>
      </c>
      <c r="G3445" t="n">
        <v>2.7</v>
      </c>
      <c r="H3445" t="n">
        <v>0</v>
      </c>
      <c r="I3445" t="n">
        <v>0</v>
      </c>
      <c r="J3445" t="n">
        <v>0</v>
      </c>
      <c r="K3445" t="n">
        <v>0</v>
      </c>
      <c r="L3445" t="n">
        <v>0</v>
      </c>
      <c r="M3445" t="n">
        <v>0</v>
      </c>
      <c r="N3445" t="n">
        <v>0</v>
      </c>
      <c r="O3445" t="n">
        <v>0</v>
      </c>
      <c r="P3445" t="n">
        <v>0</v>
      </c>
      <c r="Q3445" t="n">
        <v>0</v>
      </c>
      <c r="R3445" s="2" t="inlineStr"/>
    </row>
    <row r="3446" ht="15" customHeight="1">
      <c r="A3446" t="inlineStr">
        <is>
          <t>A 44250-2020</t>
        </is>
      </c>
      <c r="B3446" s="1" t="n">
        <v>44082</v>
      </c>
      <c r="C3446" s="1" t="n">
        <v>45204</v>
      </c>
      <c r="D3446" t="inlineStr">
        <is>
          <t>VÄSTERBOTTENS LÄN</t>
        </is>
      </c>
      <c r="E3446" t="inlineStr">
        <is>
          <t>DOROTEA</t>
        </is>
      </c>
      <c r="F3446" t="inlineStr">
        <is>
          <t>Övriga statliga verk och myndigheter</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44564-2020</t>
        </is>
      </c>
      <c r="B3447" s="1" t="n">
        <v>44082</v>
      </c>
      <c r="C3447" s="1" t="n">
        <v>45204</v>
      </c>
      <c r="D3447" t="inlineStr">
        <is>
          <t>VÄSTERBOTTENS LÄN</t>
        </is>
      </c>
      <c r="E3447" t="inlineStr">
        <is>
          <t>SKELLEFTEÅ</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43826-2020</t>
        </is>
      </c>
      <c r="B3448" s="1" t="n">
        <v>44082</v>
      </c>
      <c r="C3448" s="1" t="n">
        <v>45204</v>
      </c>
      <c r="D3448" t="inlineStr">
        <is>
          <t>VÄSTERBOTTENS LÄN</t>
        </is>
      </c>
      <c r="E3448" t="inlineStr">
        <is>
          <t>VINDELN</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43833-2020</t>
        </is>
      </c>
      <c r="B3449" s="1" t="n">
        <v>44082</v>
      </c>
      <c r="C3449" s="1" t="n">
        <v>45204</v>
      </c>
      <c r="D3449" t="inlineStr">
        <is>
          <t>VÄSTERBOTTENS LÄN</t>
        </is>
      </c>
      <c r="E3449" t="inlineStr">
        <is>
          <t>NORDMALING</t>
        </is>
      </c>
      <c r="F3449" t="inlineStr">
        <is>
          <t>SCA</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43843-2020</t>
        </is>
      </c>
      <c r="B3450" s="1" t="n">
        <v>44082</v>
      </c>
      <c r="C3450" s="1" t="n">
        <v>45204</v>
      </c>
      <c r="D3450" t="inlineStr">
        <is>
          <t>VÄSTERBOTTENS LÄN</t>
        </is>
      </c>
      <c r="E3450" t="inlineStr">
        <is>
          <t>NORDMALING</t>
        </is>
      </c>
      <c r="F3450" t="inlineStr">
        <is>
          <t>SCA</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43852-2020</t>
        </is>
      </c>
      <c r="B3451" s="1" t="n">
        <v>44082</v>
      </c>
      <c r="C3451" s="1" t="n">
        <v>45204</v>
      </c>
      <c r="D3451" t="inlineStr">
        <is>
          <t>VÄSTERBOTTENS LÄN</t>
        </is>
      </c>
      <c r="E3451" t="inlineStr">
        <is>
          <t>VINDELN</t>
        </is>
      </c>
      <c r="F3451" t="inlineStr">
        <is>
          <t>SCA</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43811-2020</t>
        </is>
      </c>
      <c r="B3452" s="1" t="n">
        <v>44082</v>
      </c>
      <c r="C3452" s="1" t="n">
        <v>45204</v>
      </c>
      <c r="D3452" t="inlineStr">
        <is>
          <t>VÄSTERBOTTENS LÄN</t>
        </is>
      </c>
      <c r="E3452" t="inlineStr">
        <is>
          <t>ÅSELE</t>
        </is>
      </c>
      <c r="F3452" t="inlineStr">
        <is>
          <t>Sveaskog</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43845-2020</t>
        </is>
      </c>
      <c r="B3453" s="1" t="n">
        <v>44082</v>
      </c>
      <c r="C3453" s="1" t="n">
        <v>45204</v>
      </c>
      <c r="D3453" t="inlineStr">
        <is>
          <t>VÄSTERBOTTENS LÄN</t>
        </is>
      </c>
      <c r="E3453" t="inlineStr">
        <is>
          <t>BJURHOLM</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43854-2020</t>
        </is>
      </c>
      <c r="B3454" s="1" t="n">
        <v>44082</v>
      </c>
      <c r="C3454" s="1" t="n">
        <v>45204</v>
      </c>
      <c r="D3454" t="inlineStr">
        <is>
          <t>VÄSTERBOTTENS LÄN</t>
        </is>
      </c>
      <c r="E3454" t="inlineStr">
        <is>
          <t>NORDMALING</t>
        </is>
      </c>
      <c r="F3454" t="inlineStr">
        <is>
          <t>SCA</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44721-2020</t>
        </is>
      </c>
      <c r="B3455" s="1" t="n">
        <v>44082</v>
      </c>
      <c r="C3455" s="1" t="n">
        <v>45204</v>
      </c>
      <c r="D3455" t="inlineStr">
        <is>
          <t>VÄSTERBOTTENS LÄN</t>
        </is>
      </c>
      <c r="E3455" t="inlineStr">
        <is>
          <t>SKELLEFTEÅ</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43928-2020</t>
        </is>
      </c>
      <c r="B3456" s="1" t="n">
        <v>44083</v>
      </c>
      <c r="C3456" s="1" t="n">
        <v>45204</v>
      </c>
      <c r="D3456" t="inlineStr">
        <is>
          <t>VÄSTERBOTTENS LÄN</t>
        </is>
      </c>
      <c r="E3456" t="inlineStr">
        <is>
          <t>SKELLEFTEÅ</t>
        </is>
      </c>
      <c r="F3456" t="inlineStr">
        <is>
          <t>Sveaskog</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43923-2020</t>
        </is>
      </c>
      <c r="B3457" s="1" t="n">
        <v>44083</v>
      </c>
      <c r="C3457" s="1" t="n">
        <v>45204</v>
      </c>
      <c r="D3457" t="inlineStr">
        <is>
          <t>VÄSTERBOTTENS LÄN</t>
        </is>
      </c>
      <c r="E3457" t="inlineStr">
        <is>
          <t>SKELLEFTEÅ</t>
        </is>
      </c>
      <c r="F3457" t="inlineStr">
        <is>
          <t>Sveaskog</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43933-2020</t>
        </is>
      </c>
      <c r="B3458" s="1" t="n">
        <v>44083</v>
      </c>
      <c r="C3458" s="1" t="n">
        <v>45204</v>
      </c>
      <c r="D3458" t="inlineStr">
        <is>
          <t>VÄSTERBOTTENS LÄN</t>
        </is>
      </c>
      <c r="E3458" t="inlineStr">
        <is>
          <t>SKELLEFTEÅ</t>
        </is>
      </c>
      <c r="F3458" t="inlineStr">
        <is>
          <t>Sveaskog</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44707-2020</t>
        </is>
      </c>
      <c r="B3459" s="1" t="n">
        <v>44083</v>
      </c>
      <c r="C3459" s="1" t="n">
        <v>45204</v>
      </c>
      <c r="D3459" t="inlineStr">
        <is>
          <t>VÄSTERBOTTENS LÄN</t>
        </is>
      </c>
      <c r="E3459" t="inlineStr">
        <is>
          <t>UMEÅ</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45021-2020</t>
        </is>
      </c>
      <c r="B3460" s="1" t="n">
        <v>44083</v>
      </c>
      <c r="C3460" s="1" t="n">
        <v>45204</v>
      </c>
      <c r="D3460" t="inlineStr">
        <is>
          <t>VÄSTERBOTTENS LÄN</t>
        </is>
      </c>
      <c r="E3460" t="inlineStr">
        <is>
          <t>SORSELE</t>
        </is>
      </c>
      <c r="G3460" t="n">
        <v>0.4</v>
      </c>
      <c r="H3460" t="n">
        <v>0</v>
      </c>
      <c r="I3460" t="n">
        <v>0</v>
      </c>
      <c r="J3460" t="n">
        <v>0</v>
      </c>
      <c r="K3460" t="n">
        <v>0</v>
      </c>
      <c r="L3460" t="n">
        <v>0</v>
      </c>
      <c r="M3460" t="n">
        <v>0</v>
      </c>
      <c r="N3460" t="n">
        <v>0</v>
      </c>
      <c r="O3460" t="n">
        <v>0</v>
      </c>
      <c r="P3460" t="n">
        <v>0</v>
      </c>
      <c r="Q3460" t="n">
        <v>0</v>
      </c>
      <c r="R3460" s="2" t="inlineStr"/>
    </row>
    <row r="3461" ht="15" customHeight="1">
      <c r="A3461" t="inlineStr">
        <is>
          <t>A 18263-2021</t>
        </is>
      </c>
      <c r="B3461" s="1" t="n">
        <v>44083</v>
      </c>
      <c r="C3461" s="1" t="n">
        <v>45204</v>
      </c>
      <c r="D3461" t="inlineStr">
        <is>
          <t>VÄSTERBOTTENS LÄN</t>
        </is>
      </c>
      <c r="E3461" t="inlineStr">
        <is>
          <t>SKELLEFTEÅ</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44068-2020</t>
        </is>
      </c>
      <c r="B3462" s="1" t="n">
        <v>44083</v>
      </c>
      <c r="C3462" s="1" t="n">
        <v>45204</v>
      </c>
      <c r="D3462" t="inlineStr">
        <is>
          <t>VÄSTERBOTTENS LÄN</t>
        </is>
      </c>
      <c r="E3462" t="inlineStr">
        <is>
          <t>SKELLEFTEÅ</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18255-2021</t>
        </is>
      </c>
      <c r="B3463" s="1" t="n">
        <v>44083</v>
      </c>
      <c r="C3463" s="1" t="n">
        <v>45204</v>
      </c>
      <c r="D3463" t="inlineStr">
        <is>
          <t>VÄSTERBOTTENS LÄN</t>
        </is>
      </c>
      <c r="E3463" t="inlineStr">
        <is>
          <t>SKELLEFTEÅ</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43930-2020</t>
        </is>
      </c>
      <c r="B3464" s="1" t="n">
        <v>44083</v>
      </c>
      <c r="C3464" s="1" t="n">
        <v>45204</v>
      </c>
      <c r="D3464" t="inlineStr">
        <is>
          <t>VÄSTERBOTTENS LÄN</t>
        </is>
      </c>
      <c r="E3464" t="inlineStr">
        <is>
          <t>SKELLEFTEÅ</t>
        </is>
      </c>
      <c r="F3464" t="inlineStr">
        <is>
          <t>Sveaskog</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44198-2020</t>
        </is>
      </c>
      <c r="B3465" s="1" t="n">
        <v>44083</v>
      </c>
      <c r="C3465" s="1" t="n">
        <v>45204</v>
      </c>
      <c r="D3465" t="inlineStr">
        <is>
          <t>VÄSTERBOTTENS LÄN</t>
        </is>
      </c>
      <c r="E3465" t="inlineStr">
        <is>
          <t>LYCKSELE</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44323-2020</t>
        </is>
      </c>
      <c r="B3466" s="1" t="n">
        <v>44084</v>
      </c>
      <c r="C3466" s="1" t="n">
        <v>45204</v>
      </c>
      <c r="D3466" t="inlineStr">
        <is>
          <t>VÄSTERBOTTENS LÄN</t>
        </is>
      </c>
      <c r="E3466" t="inlineStr">
        <is>
          <t>ROBERTSFORS</t>
        </is>
      </c>
      <c r="F3466" t="inlineStr">
        <is>
          <t>Holmen skog AB</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44436-2020</t>
        </is>
      </c>
      <c r="B3467" s="1" t="n">
        <v>44084</v>
      </c>
      <c r="C3467" s="1" t="n">
        <v>45204</v>
      </c>
      <c r="D3467" t="inlineStr">
        <is>
          <t>VÄSTERBOTTENS LÄN</t>
        </is>
      </c>
      <c r="E3467" t="inlineStr">
        <is>
          <t>SKELLEFTEÅ</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44367-2020</t>
        </is>
      </c>
      <c r="B3468" s="1" t="n">
        <v>44084</v>
      </c>
      <c r="C3468" s="1" t="n">
        <v>45204</v>
      </c>
      <c r="D3468" t="inlineStr">
        <is>
          <t>VÄSTERBOTTENS LÄN</t>
        </is>
      </c>
      <c r="E3468" t="inlineStr">
        <is>
          <t>UMEÅ</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44507-2020</t>
        </is>
      </c>
      <c r="B3469" s="1" t="n">
        <v>44084</v>
      </c>
      <c r="C3469" s="1" t="n">
        <v>45204</v>
      </c>
      <c r="D3469" t="inlineStr">
        <is>
          <t>VÄSTERBOTTENS LÄN</t>
        </is>
      </c>
      <c r="E3469" t="inlineStr">
        <is>
          <t>VILHELMINA</t>
        </is>
      </c>
      <c r="F3469" t="inlineStr">
        <is>
          <t>SCA</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44280-2020</t>
        </is>
      </c>
      <c r="B3470" s="1" t="n">
        <v>44084</v>
      </c>
      <c r="C3470" s="1" t="n">
        <v>45204</v>
      </c>
      <c r="D3470" t="inlineStr">
        <is>
          <t>VÄSTERBOTTENS LÄN</t>
        </is>
      </c>
      <c r="E3470" t="inlineStr">
        <is>
          <t>NORSJÖ</t>
        </is>
      </c>
      <c r="F3470" t="inlineStr">
        <is>
          <t>Holmen skog AB</t>
        </is>
      </c>
      <c r="G3470" t="n">
        <v>13.9</v>
      </c>
      <c r="H3470" t="n">
        <v>0</v>
      </c>
      <c r="I3470" t="n">
        <v>0</v>
      </c>
      <c r="J3470" t="n">
        <v>0</v>
      </c>
      <c r="K3470" t="n">
        <v>0</v>
      </c>
      <c r="L3470" t="n">
        <v>0</v>
      </c>
      <c r="M3470" t="n">
        <v>0</v>
      </c>
      <c r="N3470" t="n">
        <v>0</v>
      </c>
      <c r="O3470" t="n">
        <v>0</v>
      </c>
      <c r="P3470" t="n">
        <v>0</v>
      </c>
      <c r="Q3470" t="n">
        <v>0</v>
      </c>
      <c r="R3470" s="2" t="inlineStr"/>
    </row>
    <row r="3471" ht="15" customHeight="1">
      <c r="A3471" t="inlineStr">
        <is>
          <t>A 44587-2020</t>
        </is>
      </c>
      <c r="B3471" s="1" t="n">
        <v>44085</v>
      </c>
      <c r="C3471" s="1" t="n">
        <v>45204</v>
      </c>
      <c r="D3471" t="inlineStr">
        <is>
          <t>VÄSTERBOTTENS LÄN</t>
        </is>
      </c>
      <c r="E3471" t="inlineStr">
        <is>
          <t>SKELLEFTEÅ</t>
        </is>
      </c>
      <c r="F3471" t="inlineStr">
        <is>
          <t>Sveaskog</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44529-2020</t>
        </is>
      </c>
      <c r="B3472" s="1" t="n">
        <v>44085</v>
      </c>
      <c r="C3472" s="1" t="n">
        <v>45204</v>
      </c>
      <c r="D3472" t="inlineStr">
        <is>
          <t>VÄSTERBOTTENS LÄN</t>
        </is>
      </c>
      <c r="E3472" t="inlineStr">
        <is>
          <t>LYCKSELE</t>
        </is>
      </c>
      <c r="F3472" t="inlineStr">
        <is>
          <t>Sveaskog</t>
        </is>
      </c>
      <c r="G3472" t="n">
        <v>55.2</v>
      </c>
      <c r="H3472" t="n">
        <v>0</v>
      </c>
      <c r="I3472" t="n">
        <v>0</v>
      </c>
      <c r="J3472" t="n">
        <v>0</v>
      </c>
      <c r="K3472" t="n">
        <v>0</v>
      </c>
      <c r="L3472" t="n">
        <v>0</v>
      </c>
      <c r="M3472" t="n">
        <v>0</v>
      </c>
      <c r="N3472" t="n">
        <v>0</v>
      </c>
      <c r="O3472" t="n">
        <v>0</v>
      </c>
      <c r="P3472" t="n">
        <v>0</v>
      </c>
      <c r="Q3472" t="n">
        <v>0</v>
      </c>
      <c r="R3472" s="2" t="inlineStr"/>
    </row>
    <row r="3473" ht="15" customHeight="1">
      <c r="A3473" t="inlineStr">
        <is>
          <t>A 44572-2020</t>
        </is>
      </c>
      <c r="B3473" s="1" t="n">
        <v>44085</v>
      </c>
      <c r="C3473" s="1" t="n">
        <v>45204</v>
      </c>
      <c r="D3473" t="inlineStr">
        <is>
          <t>VÄSTERBOTTENS LÄN</t>
        </is>
      </c>
      <c r="E3473" t="inlineStr">
        <is>
          <t>SKELLEFTEÅ</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44592-2020</t>
        </is>
      </c>
      <c r="B3474" s="1" t="n">
        <v>44085</v>
      </c>
      <c r="C3474" s="1" t="n">
        <v>45204</v>
      </c>
      <c r="D3474" t="inlineStr">
        <is>
          <t>VÄSTERBOTTENS LÄN</t>
        </is>
      </c>
      <c r="E3474" t="inlineStr">
        <is>
          <t>SKELLEFTEÅ</t>
        </is>
      </c>
      <c r="F3474" t="inlineStr">
        <is>
          <t>Sveaskog</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44791-2020</t>
        </is>
      </c>
      <c r="B3475" s="1" t="n">
        <v>44085</v>
      </c>
      <c r="C3475" s="1" t="n">
        <v>45204</v>
      </c>
      <c r="D3475" t="inlineStr">
        <is>
          <t>VÄSTERBOTTENS LÄN</t>
        </is>
      </c>
      <c r="E3475" t="inlineStr">
        <is>
          <t>BJURHOLM</t>
        </is>
      </c>
      <c r="F3475" t="inlineStr">
        <is>
          <t>Holmen skog AB</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44667-2020</t>
        </is>
      </c>
      <c r="B3476" s="1" t="n">
        <v>44085</v>
      </c>
      <c r="C3476" s="1" t="n">
        <v>45204</v>
      </c>
      <c r="D3476" t="inlineStr">
        <is>
          <t>VÄSTERBOTTENS LÄN</t>
        </is>
      </c>
      <c r="E3476" t="inlineStr">
        <is>
          <t>SKELLEFTEÅ</t>
        </is>
      </c>
      <c r="F3476" t="inlineStr">
        <is>
          <t>Sveaskog</t>
        </is>
      </c>
      <c r="G3476" t="n">
        <v>15.6</v>
      </c>
      <c r="H3476" t="n">
        <v>0</v>
      </c>
      <c r="I3476" t="n">
        <v>0</v>
      </c>
      <c r="J3476" t="n">
        <v>0</v>
      </c>
      <c r="K3476" t="n">
        <v>0</v>
      </c>
      <c r="L3476" t="n">
        <v>0</v>
      </c>
      <c r="M3476" t="n">
        <v>0</v>
      </c>
      <c r="N3476" t="n">
        <v>0</v>
      </c>
      <c r="O3476" t="n">
        <v>0</v>
      </c>
      <c r="P3476" t="n">
        <v>0</v>
      </c>
      <c r="Q3476" t="n">
        <v>0</v>
      </c>
      <c r="R3476" s="2" t="inlineStr"/>
    </row>
    <row r="3477" ht="15" customHeight="1">
      <c r="A3477" t="inlineStr">
        <is>
          <t>A 44927-2020</t>
        </is>
      </c>
      <c r="B3477" s="1" t="n">
        <v>44088</v>
      </c>
      <c r="C3477" s="1" t="n">
        <v>45204</v>
      </c>
      <c r="D3477" t="inlineStr">
        <is>
          <t>VÄSTERBOTTENS LÄN</t>
        </is>
      </c>
      <c r="E3477" t="inlineStr">
        <is>
          <t>MALÅ</t>
        </is>
      </c>
      <c r="F3477" t="inlineStr">
        <is>
          <t>Sveaskog</t>
        </is>
      </c>
      <c r="G3477" t="n">
        <v>6.4</v>
      </c>
      <c r="H3477" t="n">
        <v>0</v>
      </c>
      <c r="I3477" t="n">
        <v>0</v>
      </c>
      <c r="J3477" t="n">
        <v>0</v>
      </c>
      <c r="K3477" t="n">
        <v>0</v>
      </c>
      <c r="L3477" t="n">
        <v>0</v>
      </c>
      <c r="M3477" t="n">
        <v>0</v>
      </c>
      <c r="N3477" t="n">
        <v>0</v>
      </c>
      <c r="O3477" t="n">
        <v>0</v>
      </c>
      <c r="P3477" t="n">
        <v>0</v>
      </c>
      <c r="Q3477" t="n">
        <v>0</v>
      </c>
      <c r="R3477" s="2" t="inlineStr"/>
    </row>
    <row r="3478" ht="15" customHeight="1">
      <c r="A3478" t="inlineStr">
        <is>
          <t>A 45181-2020</t>
        </is>
      </c>
      <c r="B3478" s="1" t="n">
        <v>44088</v>
      </c>
      <c r="C3478" s="1" t="n">
        <v>45204</v>
      </c>
      <c r="D3478" t="inlineStr">
        <is>
          <t>VÄSTERBOTTENS LÄN</t>
        </is>
      </c>
      <c r="E3478" t="inlineStr">
        <is>
          <t>SKELLEFTEÅ</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44932-2020</t>
        </is>
      </c>
      <c r="B3479" s="1" t="n">
        <v>44088</v>
      </c>
      <c r="C3479" s="1" t="n">
        <v>45204</v>
      </c>
      <c r="D3479" t="inlineStr">
        <is>
          <t>VÄSTERBOTTENS LÄN</t>
        </is>
      </c>
      <c r="E3479" t="inlineStr">
        <is>
          <t>MALÅ</t>
        </is>
      </c>
      <c r="F3479" t="inlineStr">
        <is>
          <t>Sveaskog</t>
        </is>
      </c>
      <c r="G3479" t="n">
        <v>54.6</v>
      </c>
      <c r="H3479" t="n">
        <v>0</v>
      </c>
      <c r="I3479" t="n">
        <v>0</v>
      </c>
      <c r="J3479" t="n">
        <v>0</v>
      </c>
      <c r="K3479" t="n">
        <v>0</v>
      </c>
      <c r="L3479" t="n">
        <v>0</v>
      </c>
      <c r="M3479" t="n">
        <v>0</v>
      </c>
      <c r="N3479" t="n">
        <v>0</v>
      </c>
      <c r="O3479" t="n">
        <v>0</v>
      </c>
      <c r="P3479" t="n">
        <v>0</v>
      </c>
      <c r="Q3479" t="n">
        <v>0</v>
      </c>
      <c r="R3479" s="2" t="inlineStr"/>
    </row>
    <row r="3480" ht="15" customHeight="1">
      <c r="A3480" t="inlineStr">
        <is>
          <t>A 46509-2020</t>
        </is>
      </c>
      <c r="B3480" s="1" t="n">
        <v>44088</v>
      </c>
      <c r="C3480" s="1" t="n">
        <v>45204</v>
      </c>
      <c r="D3480" t="inlineStr">
        <is>
          <t>VÄSTERBOTTENS LÄN</t>
        </is>
      </c>
      <c r="E3480" t="inlineStr">
        <is>
          <t>VILHELMINA</t>
        </is>
      </c>
      <c r="G3480" t="n">
        <v>4.5</v>
      </c>
      <c r="H3480" t="n">
        <v>0</v>
      </c>
      <c r="I3480" t="n">
        <v>0</v>
      </c>
      <c r="J3480" t="n">
        <v>0</v>
      </c>
      <c r="K3480" t="n">
        <v>0</v>
      </c>
      <c r="L3480" t="n">
        <v>0</v>
      </c>
      <c r="M3480" t="n">
        <v>0</v>
      </c>
      <c r="N3480" t="n">
        <v>0</v>
      </c>
      <c r="O3480" t="n">
        <v>0</v>
      </c>
      <c r="P3480" t="n">
        <v>0</v>
      </c>
      <c r="Q3480" t="n">
        <v>0</v>
      </c>
      <c r="R3480" s="2" t="inlineStr"/>
    </row>
    <row r="3481" ht="15" customHeight="1">
      <c r="A3481" t="inlineStr">
        <is>
          <t>A 44940-2020</t>
        </is>
      </c>
      <c r="B3481" s="1" t="n">
        <v>44088</v>
      </c>
      <c r="C3481" s="1" t="n">
        <v>45204</v>
      </c>
      <c r="D3481" t="inlineStr">
        <is>
          <t>VÄSTERBOTTENS LÄN</t>
        </is>
      </c>
      <c r="E3481" t="inlineStr">
        <is>
          <t>MALÅ</t>
        </is>
      </c>
      <c r="F3481" t="inlineStr">
        <is>
          <t>Sveaskog</t>
        </is>
      </c>
      <c r="G3481" t="n">
        <v>17.1</v>
      </c>
      <c r="H3481" t="n">
        <v>0</v>
      </c>
      <c r="I3481" t="n">
        <v>0</v>
      </c>
      <c r="J3481" t="n">
        <v>0</v>
      </c>
      <c r="K3481" t="n">
        <v>0</v>
      </c>
      <c r="L3481" t="n">
        <v>0</v>
      </c>
      <c r="M3481" t="n">
        <v>0</v>
      </c>
      <c r="N3481" t="n">
        <v>0</v>
      </c>
      <c r="O3481" t="n">
        <v>0</v>
      </c>
      <c r="P3481" t="n">
        <v>0</v>
      </c>
      <c r="Q3481" t="n">
        <v>0</v>
      </c>
      <c r="R3481" s="2" t="inlineStr"/>
    </row>
    <row r="3482" ht="15" customHeight="1">
      <c r="A3482" t="inlineStr">
        <is>
          <t>A 46686-2020</t>
        </is>
      </c>
      <c r="B3482" s="1" t="n">
        <v>44089</v>
      </c>
      <c r="C3482" s="1" t="n">
        <v>45204</v>
      </c>
      <c r="D3482" t="inlineStr">
        <is>
          <t>VÄSTERBOTTENS LÄN</t>
        </is>
      </c>
      <c r="E3482" t="inlineStr">
        <is>
          <t>SKELLEFTEÅ</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46856-2020</t>
        </is>
      </c>
      <c r="B3483" s="1" t="n">
        <v>44089</v>
      </c>
      <c r="C3483" s="1" t="n">
        <v>45204</v>
      </c>
      <c r="D3483" t="inlineStr">
        <is>
          <t>VÄSTERBOTTENS LÄN</t>
        </is>
      </c>
      <c r="E3483" t="inlineStr">
        <is>
          <t>ÅSELE</t>
        </is>
      </c>
      <c r="G3483" t="n">
        <v>4.1</v>
      </c>
      <c r="H3483" t="n">
        <v>0</v>
      </c>
      <c r="I3483" t="n">
        <v>0</v>
      </c>
      <c r="J3483" t="n">
        <v>0</v>
      </c>
      <c r="K3483" t="n">
        <v>0</v>
      </c>
      <c r="L3483" t="n">
        <v>0</v>
      </c>
      <c r="M3483" t="n">
        <v>0</v>
      </c>
      <c r="N3483" t="n">
        <v>0</v>
      </c>
      <c r="O3483" t="n">
        <v>0</v>
      </c>
      <c r="P3483" t="n">
        <v>0</v>
      </c>
      <c r="Q3483" t="n">
        <v>0</v>
      </c>
      <c r="R3483" s="2" t="inlineStr"/>
    </row>
    <row r="3484" ht="15" customHeight="1">
      <c r="A3484" t="inlineStr">
        <is>
          <t>A 45514-2020</t>
        </is>
      </c>
      <c r="B3484" s="1" t="n">
        <v>44089</v>
      </c>
      <c r="C3484" s="1" t="n">
        <v>45204</v>
      </c>
      <c r="D3484" t="inlineStr">
        <is>
          <t>VÄSTERBOTTENS LÄN</t>
        </is>
      </c>
      <c r="E3484" t="inlineStr">
        <is>
          <t>SKELLEFTEÅ</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46862-2020</t>
        </is>
      </c>
      <c r="B3485" s="1" t="n">
        <v>44089</v>
      </c>
      <c r="C3485" s="1" t="n">
        <v>45204</v>
      </c>
      <c r="D3485" t="inlineStr">
        <is>
          <t>VÄSTERBOTTENS LÄN</t>
        </is>
      </c>
      <c r="E3485" t="inlineStr">
        <is>
          <t>ÅSELE</t>
        </is>
      </c>
      <c r="G3485" t="n">
        <v>16.3</v>
      </c>
      <c r="H3485" t="n">
        <v>0</v>
      </c>
      <c r="I3485" t="n">
        <v>0</v>
      </c>
      <c r="J3485" t="n">
        <v>0</v>
      </c>
      <c r="K3485" t="n">
        <v>0</v>
      </c>
      <c r="L3485" t="n">
        <v>0</v>
      </c>
      <c r="M3485" t="n">
        <v>0</v>
      </c>
      <c r="N3485" t="n">
        <v>0</v>
      </c>
      <c r="O3485" t="n">
        <v>0</v>
      </c>
      <c r="P3485" t="n">
        <v>0</v>
      </c>
      <c r="Q3485" t="n">
        <v>0</v>
      </c>
      <c r="R3485" s="2" t="inlineStr"/>
    </row>
    <row r="3486" ht="15" customHeight="1">
      <c r="A3486" t="inlineStr">
        <is>
          <t>A 46883-2020</t>
        </is>
      </c>
      <c r="B3486" s="1" t="n">
        <v>44089</v>
      </c>
      <c r="C3486" s="1" t="n">
        <v>45204</v>
      </c>
      <c r="D3486" t="inlineStr">
        <is>
          <t>VÄSTERBOTTENS LÄN</t>
        </is>
      </c>
      <c r="E3486" t="inlineStr">
        <is>
          <t>ÅSELE</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46682-2020</t>
        </is>
      </c>
      <c r="B3487" s="1" t="n">
        <v>44089</v>
      </c>
      <c r="C3487" s="1" t="n">
        <v>45204</v>
      </c>
      <c r="D3487" t="inlineStr">
        <is>
          <t>VÄSTERBOTTENS LÄN</t>
        </is>
      </c>
      <c r="E3487" t="inlineStr">
        <is>
          <t>SKELLEFTEÅ</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46713-2020</t>
        </is>
      </c>
      <c r="B3488" s="1" t="n">
        <v>44089</v>
      </c>
      <c r="C3488" s="1" t="n">
        <v>45204</v>
      </c>
      <c r="D3488" t="inlineStr">
        <is>
          <t>VÄSTERBOTTENS LÄN</t>
        </is>
      </c>
      <c r="E3488" t="inlineStr">
        <is>
          <t>ROBERTSFORS</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46835-2020</t>
        </is>
      </c>
      <c r="B3489" s="1" t="n">
        <v>44089</v>
      </c>
      <c r="C3489" s="1" t="n">
        <v>45204</v>
      </c>
      <c r="D3489" t="inlineStr">
        <is>
          <t>VÄSTERBOTTENS LÄN</t>
        </is>
      </c>
      <c r="E3489" t="inlineStr">
        <is>
          <t>ÅSELE</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45623-2020</t>
        </is>
      </c>
      <c r="B3490" s="1" t="n">
        <v>44090</v>
      </c>
      <c r="C3490" s="1" t="n">
        <v>45204</v>
      </c>
      <c r="D3490" t="inlineStr">
        <is>
          <t>VÄSTERBOTTENS LÄN</t>
        </is>
      </c>
      <c r="E3490" t="inlineStr">
        <is>
          <t>ÅSELE</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46821-2020</t>
        </is>
      </c>
      <c r="B3491" s="1" t="n">
        <v>44090</v>
      </c>
      <c r="C3491" s="1" t="n">
        <v>45204</v>
      </c>
      <c r="D3491" t="inlineStr">
        <is>
          <t>VÄSTERBOTTENS LÄN</t>
        </is>
      </c>
      <c r="E3491" t="inlineStr">
        <is>
          <t>SKELLEFTEÅ</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46913-2020</t>
        </is>
      </c>
      <c r="B3492" s="1" t="n">
        <v>44090</v>
      </c>
      <c r="C3492" s="1" t="n">
        <v>45204</v>
      </c>
      <c r="D3492" t="inlineStr">
        <is>
          <t>VÄSTERBOTTENS LÄN</t>
        </is>
      </c>
      <c r="E3492" t="inlineStr">
        <is>
          <t>ÅSELE</t>
        </is>
      </c>
      <c r="G3492" t="n">
        <v>2.8</v>
      </c>
      <c r="H3492" t="n">
        <v>0</v>
      </c>
      <c r="I3492" t="n">
        <v>0</v>
      </c>
      <c r="J3492" t="n">
        <v>0</v>
      </c>
      <c r="K3492" t="n">
        <v>0</v>
      </c>
      <c r="L3492" t="n">
        <v>0</v>
      </c>
      <c r="M3492" t="n">
        <v>0</v>
      </c>
      <c r="N3492" t="n">
        <v>0</v>
      </c>
      <c r="O3492" t="n">
        <v>0</v>
      </c>
      <c r="P3492" t="n">
        <v>0</v>
      </c>
      <c r="Q3492" t="n">
        <v>0</v>
      </c>
      <c r="R3492" s="2" t="inlineStr"/>
    </row>
    <row r="3493" ht="15" customHeight="1">
      <c r="A3493" t="inlineStr">
        <is>
          <t>A 46974-2020</t>
        </is>
      </c>
      <c r="B3493" s="1" t="n">
        <v>44090</v>
      </c>
      <c r="C3493" s="1" t="n">
        <v>45204</v>
      </c>
      <c r="D3493" t="inlineStr">
        <is>
          <t>VÄSTERBOTTENS LÄN</t>
        </is>
      </c>
      <c r="E3493" t="inlineStr">
        <is>
          <t>VINDELN</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45757-2020</t>
        </is>
      </c>
      <c r="B3494" s="1" t="n">
        <v>44090</v>
      </c>
      <c r="C3494" s="1" t="n">
        <v>45204</v>
      </c>
      <c r="D3494" t="inlineStr">
        <is>
          <t>VÄSTERBOTTENS LÄN</t>
        </is>
      </c>
      <c r="E3494" t="inlineStr">
        <is>
          <t>NORSJÖ</t>
        </is>
      </c>
      <c r="F3494" t="inlineStr">
        <is>
          <t>Holmen skog AB</t>
        </is>
      </c>
      <c r="G3494" t="n">
        <v>23.6</v>
      </c>
      <c r="H3494" t="n">
        <v>0</v>
      </c>
      <c r="I3494" t="n">
        <v>0</v>
      </c>
      <c r="J3494" t="n">
        <v>0</v>
      </c>
      <c r="K3494" t="n">
        <v>0</v>
      </c>
      <c r="L3494" t="n">
        <v>0</v>
      </c>
      <c r="M3494" t="n">
        <v>0</v>
      </c>
      <c r="N3494" t="n">
        <v>0</v>
      </c>
      <c r="O3494" t="n">
        <v>0</v>
      </c>
      <c r="P3494" t="n">
        <v>0</v>
      </c>
      <c r="Q3494" t="n">
        <v>0</v>
      </c>
      <c r="R3494" s="2" t="inlineStr"/>
    </row>
    <row r="3495" ht="15" customHeight="1">
      <c r="A3495" t="inlineStr">
        <is>
          <t>A 46911-2020</t>
        </is>
      </c>
      <c r="B3495" s="1" t="n">
        <v>44090</v>
      </c>
      <c r="C3495" s="1" t="n">
        <v>45204</v>
      </c>
      <c r="D3495" t="inlineStr">
        <is>
          <t>VÄSTERBOTTENS LÄN</t>
        </is>
      </c>
      <c r="E3495" t="inlineStr">
        <is>
          <t>ÅSELE</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45618-2020</t>
        </is>
      </c>
      <c r="B3496" s="1" t="n">
        <v>44090</v>
      </c>
      <c r="C3496" s="1" t="n">
        <v>45204</v>
      </c>
      <c r="D3496" t="inlineStr">
        <is>
          <t>VÄSTERBOTTENS LÄN</t>
        </is>
      </c>
      <c r="E3496" t="inlineStr">
        <is>
          <t>VINDELN</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45628-2020</t>
        </is>
      </c>
      <c r="B3497" s="1" t="n">
        <v>44090</v>
      </c>
      <c r="C3497" s="1" t="n">
        <v>45204</v>
      </c>
      <c r="D3497" t="inlineStr">
        <is>
          <t>VÄSTERBOTTENS LÄN</t>
        </is>
      </c>
      <c r="E3497" t="inlineStr">
        <is>
          <t>SORSELE</t>
        </is>
      </c>
      <c r="F3497" t="inlineStr">
        <is>
          <t>Sveaskog</t>
        </is>
      </c>
      <c r="G3497" t="n">
        <v>23.9</v>
      </c>
      <c r="H3497" t="n">
        <v>0</v>
      </c>
      <c r="I3497" t="n">
        <v>0</v>
      </c>
      <c r="J3497" t="n">
        <v>0</v>
      </c>
      <c r="K3497" t="n">
        <v>0</v>
      </c>
      <c r="L3497" t="n">
        <v>0</v>
      </c>
      <c r="M3497" t="n">
        <v>0</v>
      </c>
      <c r="N3497" t="n">
        <v>0</v>
      </c>
      <c r="O3497" t="n">
        <v>0</v>
      </c>
      <c r="P3497" t="n">
        <v>0</v>
      </c>
      <c r="Q3497" t="n">
        <v>0</v>
      </c>
      <c r="R3497" s="2" t="inlineStr"/>
    </row>
    <row r="3498" ht="15" customHeight="1">
      <c r="A3498" t="inlineStr">
        <is>
          <t>A 45690-2020</t>
        </is>
      </c>
      <c r="B3498" s="1" t="n">
        <v>44090</v>
      </c>
      <c r="C3498" s="1" t="n">
        <v>45204</v>
      </c>
      <c r="D3498" t="inlineStr">
        <is>
          <t>VÄSTERBOTTENS LÄN</t>
        </is>
      </c>
      <c r="E3498" t="inlineStr">
        <is>
          <t>SKELLEFTEÅ</t>
        </is>
      </c>
      <c r="G3498" t="n">
        <v>9.6</v>
      </c>
      <c r="H3498" t="n">
        <v>0</v>
      </c>
      <c r="I3498" t="n">
        <v>0</v>
      </c>
      <c r="J3498" t="n">
        <v>0</v>
      </c>
      <c r="K3498" t="n">
        <v>0</v>
      </c>
      <c r="L3498" t="n">
        <v>0</v>
      </c>
      <c r="M3498" t="n">
        <v>0</v>
      </c>
      <c r="N3498" t="n">
        <v>0</v>
      </c>
      <c r="O3498" t="n">
        <v>0</v>
      </c>
      <c r="P3498" t="n">
        <v>0</v>
      </c>
      <c r="Q3498" t="n">
        <v>0</v>
      </c>
      <c r="R3498" s="2" t="inlineStr"/>
    </row>
    <row r="3499" ht="15" customHeight="1">
      <c r="A3499" t="inlineStr">
        <is>
          <t>A 45842-2020</t>
        </is>
      </c>
      <c r="B3499" s="1" t="n">
        <v>44090</v>
      </c>
      <c r="C3499" s="1" t="n">
        <v>45204</v>
      </c>
      <c r="D3499" t="inlineStr">
        <is>
          <t>VÄSTERBOTTENS LÄN</t>
        </is>
      </c>
      <c r="E3499" t="inlineStr">
        <is>
          <t>NORDMALING</t>
        </is>
      </c>
      <c r="F3499" t="inlineStr">
        <is>
          <t>SCA</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46845-2020</t>
        </is>
      </c>
      <c r="B3500" s="1" t="n">
        <v>44090</v>
      </c>
      <c r="C3500" s="1" t="n">
        <v>45204</v>
      </c>
      <c r="D3500" t="inlineStr">
        <is>
          <t>VÄSTERBOTTENS LÄN</t>
        </is>
      </c>
      <c r="E3500" t="inlineStr">
        <is>
          <t>UMEÅ</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46917-2020</t>
        </is>
      </c>
      <c r="B3501" s="1" t="n">
        <v>44090</v>
      </c>
      <c r="C3501" s="1" t="n">
        <v>45204</v>
      </c>
      <c r="D3501" t="inlineStr">
        <is>
          <t>VÄSTERBOTTENS LÄN</t>
        </is>
      </c>
      <c r="E3501" t="inlineStr">
        <is>
          <t>ÅSELE</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45974-2020</t>
        </is>
      </c>
      <c r="B3502" s="1" t="n">
        <v>44091</v>
      </c>
      <c r="C3502" s="1" t="n">
        <v>45204</v>
      </c>
      <c r="D3502" t="inlineStr">
        <is>
          <t>VÄSTERBOTTENS LÄN</t>
        </is>
      </c>
      <c r="E3502" t="inlineStr">
        <is>
          <t>LYCKSELE</t>
        </is>
      </c>
      <c r="G3502" t="n">
        <v>14.1</v>
      </c>
      <c r="H3502" t="n">
        <v>0</v>
      </c>
      <c r="I3502" t="n">
        <v>0</v>
      </c>
      <c r="J3502" t="n">
        <v>0</v>
      </c>
      <c r="K3502" t="n">
        <v>0</v>
      </c>
      <c r="L3502" t="n">
        <v>0</v>
      </c>
      <c r="M3502" t="n">
        <v>0</v>
      </c>
      <c r="N3502" t="n">
        <v>0</v>
      </c>
      <c r="O3502" t="n">
        <v>0</v>
      </c>
      <c r="P3502" t="n">
        <v>0</v>
      </c>
      <c r="Q3502" t="n">
        <v>0</v>
      </c>
      <c r="R3502" s="2" t="inlineStr"/>
    </row>
    <row r="3503" ht="15" customHeight="1">
      <c r="A3503" t="inlineStr">
        <is>
          <t>A 46041-2020</t>
        </is>
      </c>
      <c r="B3503" s="1" t="n">
        <v>44091</v>
      </c>
      <c r="C3503" s="1" t="n">
        <v>45204</v>
      </c>
      <c r="D3503" t="inlineStr">
        <is>
          <t>VÄSTERBOTTENS LÄN</t>
        </is>
      </c>
      <c r="E3503" t="inlineStr">
        <is>
          <t>NORDMALING</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46378-2020</t>
        </is>
      </c>
      <c r="B3504" s="1" t="n">
        <v>44092</v>
      </c>
      <c r="C3504" s="1" t="n">
        <v>45204</v>
      </c>
      <c r="D3504" t="inlineStr">
        <is>
          <t>VÄSTERBOTTENS LÄN</t>
        </is>
      </c>
      <c r="E3504" t="inlineStr">
        <is>
          <t>VILHELMINA</t>
        </is>
      </c>
      <c r="F3504" t="inlineStr">
        <is>
          <t>SCA</t>
        </is>
      </c>
      <c r="G3504" t="n">
        <v>5.2</v>
      </c>
      <c r="H3504" t="n">
        <v>0</v>
      </c>
      <c r="I3504" t="n">
        <v>0</v>
      </c>
      <c r="J3504" t="n">
        <v>0</v>
      </c>
      <c r="K3504" t="n">
        <v>0</v>
      </c>
      <c r="L3504" t="n">
        <v>0</v>
      </c>
      <c r="M3504" t="n">
        <v>0</v>
      </c>
      <c r="N3504" t="n">
        <v>0</v>
      </c>
      <c r="O3504" t="n">
        <v>0</v>
      </c>
      <c r="P3504" t="n">
        <v>0</v>
      </c>
      <c r="Q3504" t="n">
        <v>0</v>
      </c>
      <c r="R3504" s="2" t="inlineStr"/>
    </row>
    <row r="3505" ht="15" customHeight="1">
      <c r="A3505" t="inlineStr">
        <is>
          <t>A 46205-2020</t>
        </is>
      </c>
      <c r="B3505" s="1" t="n">
        <v>44092</v>
      </c>
      <c r="C3505" s="1" t="n">
        <v>45204</v>
      </c>
      <c r="D3505" t="inlineStr">
        <is>
          <t>VÄSTERBOTTENS LÄN</t>
        </is>
      </c>
      <c r="E3505" t="inlineStr">
        <is>
          <t>SKELLEFTEÅ</t>
        </is>
      </c>
      <c r="F3505" t="inlineStr">
        <is>
          <t>Holmen skog AB</t>
        </is>
      </c>
      <c r="G3505" t="n">
        <v>5.1</v>
      </c>
      <c r="H3505" t="n">
        <v>0</v>
      </c>
      <c r="I3505" t="n">
        <v>0</v>
      </c>
      <c r="J3505" t="n">
        <v>0</v>
      </c>
      <c r="K3505" t="n">
        <v>0</v>
      </c>
      <c r="L3505" t="n">
        <v>0</v>
      </c>
      <c r="M3505" t="n">
        <v>0</v>
      </c>
      <c r="N3505" t="n">
        <v>0</v>
      </c>
      <c r="O3505" t="n">
        <v>0</v>
      </c>
      <c r="P3505" t="n">
        <v>0</v>
      </c>
      <c r="Q3505" t="n">
        <v>0</v>
      </c>
      <c r="R3505" s="2" t="inlineStr"/>
    </row>
    <row r="3506" ht="15" customHeight="1">
      <c r="A3506" t="inlineStr">
        <is>
          <t>A 46227-2020</t>
        </is>
      </c>
      <c r="B3506" s="1" t="n">
        <v>44092</v>
      </c>
      <c r="C3506" s="1" t="n">
        <v>45204</v>
      </c>
      <c r="D3506" t="inlineStr">
        <is>
          <t>VÄSTERBOTTENS LÄN</t>
        </is>
      </c>
      <c r="E3506" t="inlineStr">
        <is>
          <t>STORUMAN</t>
        </is>
      </c>
      <c r="F3506" t="inlineStr">
        <is>
          <t>Sveaskog</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46246-2020</t>
        </is>
      </c>
      <c r="B3507" s="1" t="n">
        <v>44092</v>
      </c>
      <c r="C3507" s="1" t="n">
        <v>45204</v>
      </c>
      <c r="D3507" t="inlineStr">
        <is>
          <t>VÄSTERBOTTENS LÄN</t>
        </is>
      </c>
      <c r="E3507" t="inlineStr">
        <is>
          <t>MALÅ</t>
        </is>
      </c>
      <c r="G3507" t="n">
        <v>7.8</v>
      </c>
      <c r="H3507" t="n">
        <v>0</v>
      </c>
      <c r="I3507" t="n">
        <v>0</v>
      </c>
      <c r="J3507" t="n">
        <v>0</v>
      </c>
      <c r="K3507" t="n">
        <v>0</v>
      </c>
      <c r="L3507" t="n">
        <v>0</v>
      </c>
      <c r="M3507" t="n">
        <v>0</v>
      </c>
      <c r="N3507" t="n">
        <v>0</v>
      </c>
      <c r="O3507" t="n">
        <v>0</v>
      </c>
      <c r="P3507" t="n">
        <v>0</v>
      </c>
      <c r="Q3507" t="n">
        <v>0</v>
      </c>
      <c r="R3507" s="2" t="inlineStr"/>
    </row>
    <row r="3508" ht="15" customHeight="1">
      <c r="A3508" t="inlineStr">
        <is>
          <t>A 46380-2020</t>
        </is>
      </c>
      <c r="B3508" s="1" t="n">
        <v>44092</v>
      </c>
      <c r="C3508" s="1" t="n">
        <v>45204</v>
      </c>
      <c r="D3508" t="inlineStr">
        <is>
          <t>VÄSTERBOTTENS LÄN</t>
        </is>
      </c>
      <c r="E3508" t="inlineStr">
        <is>
          <t>UMEÅ</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47308-2020</t>
        </is>
      </c>
      <c r="B3509" s="1" t="n">
        <v>44092</v>
      </c>
      <c r="C3509" s="1" t="n">
        <v>45204</v>
      </c>
      <c r="D3509" t="inlineStr">
        <is>
          <t>VÄSTERBOTTENS LÄN</t>
        </is>
      </c>
      <c r="E3509" t="inlineStr">
        <is>
          <t>VILHELMINA</t>
        </is>
      </c>
      <c r="F3509" t="inlineStr">
        <is>
          <t>Övriga statliga verk och myndigheter</t>
        </is>
      </c>
      <c r="G3509" t="n">
        <v>35.3</v>
      </c>
      <c r="H3509" t="n">
        <v>0</v>
      </c>
      <c r="I3509" t="n">
        <v>0</v>
      </c>
      <c r="J3509" t="n">
        <v>0</v>
      </c>
      <c r="K3509" t="n">
        <v>0</v>
      </c>
      <c r="L3509" t="n">
        <v>0</v>
      </c>
      <c r="M3509" t="n">
        <v>0</v>
      </c>
      <c r="N3509" t="n">
        <v>0</v>
      </c>
      <c r="O3509" t="n">
        <v>0</v>
      </c>
      <c r="P3509" t="n">
        <v>0</v>
      </c>
      <c r="Q3509" t="n">
        <v>0</v>
      </c>
      <c r="R3509" s="2" t="inlineStr"/>
    </row>
    <row r="3510" ht="15" customHeight="1">
      <c r="A3510" t="inlineStr">
        <is>
          <t>A 46373-2020</t>
        </is>
      </c>
      <c r="B3510" s="1" t="n">
        <v>44092</v>
      </c>
      <c r="C3510" s="1" t="n">
        <v>45204</v>
      </c>
      <c r="D3510" t="inlineStr">
        <is>
          <t>VÄSTERBOTTENS LÄN</t>
        </is>
      </c>
      <c r="E3510" t="inlineStr">
        <is>
          <t>VILHELMINA</t>
        </is>
      </c>
      <c r="F3510" t="inlineStr">
        <is>
          <t>SCA</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48019-2020</t>
        </is>
      </c>
      <c r="B3511" s="1" t="n">
        <v>44092</v>
      </c>
      <c r="C3511" s="1" t="n">
        <v>45204</v>
      </c>
      <c r="D3511" t="inlineStr">
        <is>
          <t>VÄSTERBOTTENS LÄN</t>
        </is>
      </c>
      <c r="E3511" t="inlineStr">
        <is>
          <t>VILHELMINA</t>
        </is>
      </c>
      <c r="F3511" t="inlineStr">
        <is>
          <t>Övriga statliga verk och myndigheter</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48256-2020</t>
        </is>
      </c>
      <c r="B3512" s="1" t="n">
        <v>44092</v>
      </c>
      <c r="C3512" s="1" t="n">
        <v>45204</v>
      </c>
      <c r="D3512" t="inlineStr">
        <is>
          <t>VÄSTERBOTTENS LÄN</t>
        </is>
      </c>
      <c r="E3512" t="inlineStr">
        <is>
          <t>VILHELMINA</t>
        </is>
      </c>
      <c r="F3512" t="inlineStr">
        <is>
          <t>Övriga statliga verk och myndigheter</t>
        </is>
      </c>
      <c r="G3512" t="n">
        <v>13.4</v>
      </c>
      <c r="H3512" t="n">
        <v>0</v>
      </c>
      <c r="I3512" t="n">
        <v>0</v>
      </c>
      <c r="J3512" t="n">
        <v>0</v>
      </c>
      <c r="K3512" t="n">
        <v>0</v>
      </c>
      <c r="L3512" t="n">
        <v>0</v>
      </c>
      <c r="M3512" t="n">
        <v>0</v>
      </c>
      <c r="N3512" t="n">
        <v>0</v>
      </c>
      <c r="O3512" t="n">
        <v>0</v>
      </c>
      <c r="P3512" t="n">
        <v>0</v>
      </c>
      <c r="Q3512" t="n">
        <v>0</v>
      </c>
      <c r="R3512" s="2" t="inlineStr"/>
    </row>
    <row r="3513" ht="15" customHeight="1">
      <c r="A3513" t="inlineStr">
        <is>
          <t>A 46769-2020</t>
        </is>
      </c>
      <c r="B3513" s="1" t="n">
        <v>44095</v>
      </c>
      <c r="C3513" s="1" t="n">
        <v>45204</v>
      </c>
      <c r="D3513" t="inlineStr">
        <is>
          <t>VÄSTERBOTTENS LÄN</t>
        </is>
      </c>
      <c r="E3513" t="inlineStr">
        <is>
          <t>NORDMALING</t>
        </is>
      </c>
      <c r="F3513" t="inlineStr">
        <is>
          <t>SCA</t>
        </is>
      </c>
      <c r="G3513" t="n">
        <v>12.6</v>
      </c>
      <c r="H3513" t="n">
        <v>0</v>
      </c>
      <c r="I3513" t="n">
        <v>0</v>
      </c>
      <c r="J3513" t="n">
        <v>0</v>
      </c>
      <c r="K3513" t="n">
        <v>0</v>
      </c>
      <c r="L3513" t="n">
        <v>0</v>
      </c>
      <c r="M3513" t="n">
        <v>0</v>
      </c>
      <c r="N3513" t="n">
        <v>0</v>
      </c>
      <c r="O3513" t="n">
        <v>0</v>
      </c>
      <c r="P3513" t="n">
        <v>0</v>
      </c>
      <c r="Q3513" t="n">
        <v>0</v>
      </c>
      <c r="R3513" s="2" t="inlineStr"/>
    </row>
    <row r="3514" ht="15" customHeight="1">
      <c r="A3514" t="inlineStr">
        <is>
          <t>A 47491-2020</t>
        </is>
      </c>
      <c r="B3514" s="1" t="n">
        <v>44095</v>
      </c>
      <c r="C3514" s="1" t="n">
        <v>45204</v>
      </c>
      <c r="D3514" t="inlineStr">
        <is>
          <t>VÄSTERBOTTENS LÄN</t>
        </is>
      </c>
      <c r="E3514" t="inlineStr">
        <is>
          <t>STORUMAN</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47580-2020</t>
        </is>
      </c>
      <c r="B3515" s="1" t="n">
        <v>44095</v>
      </c>
      <c r="C3515" s="1" t="n">
        <v>45204</v>
      </c>
      <c r="D3515" t="inlineStr">
        <is>
          <t>VÄSTERBOTTENS LÄN</t>
        </is>
      </c>
      <c r="E3515" t="inlineStr">
        <is>
          <t>UMEÅ</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46573-2020</t>
        </is>
      </c>
      <c r="B3516" s="1" t="n">
        <v>44095</v>
      </c>
      <c r="C3516" s="1" t="n">
        <v>45204</v>
      </c>
      <c r="D3516" t="inlineStr">
        <is>
          <t>VÄSTERBOTTENS LÄN</t>
        </is>
      </c>
      <c r="E3516" t="inlineStr">
        <is>
          <t>STORUMAN</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46595-2020</t>
        </is>
      </c>
      <c r="B3517" s="1" t="n">
        <v>44095</v>
      </c>
      <c r="C3517" s="1" t="n">
        <v>45204</v>
      </c>
      <c r="D3517" t="inlineStr">
        <is>
          <t>VÄSTERBOTTENS LÄN</t>
        </is>
      </c>
      <c r="E3517" t="inlineStr">
        <is>
          <t>LYCKSELE</t>
        </is>
      </c>
      <c r="F3517" t="inlineStr">
        <is>
          <t>Sveaskog</t>
        </is>
      </c>
      <c r="G3517" t="n">
        <v>56.3</v>
      </c>
      <c r="H3517" t="n">
        <v>0</v>
      </c>
      <c r="I3517" t="n">
        <v>0</v>
      </c>
      <c r="J3517" t="n">
        <v>0</v>
      </c>
      <c r="K3517" t="n">
        <v>0</v>
      </c>
      <c r="L3517" t="n">
        <v>0</v>
      </c>
      <c r="M3517" t="n">
        <v>0</v>
      </c>
      <c r="N3517" t="n">
        <v>0</v>
      </c>
      <c r="O3517" t="n">
        <v>0</v>
      </c>
      <c r="P3517" t="n">
        <v>0</v>
      </c>
      <c r="Q3517" t="n">
        <v>0</v>
      </c>
      <c r="R3517" s="2" t="inlineStr"/>
    </row>
    <row r="3518" ht="15" customHeight="1">
      <c r="A3518" t="inlineStr">
        <is>
          <t>A 46761-2020</t>
        </is>
      </c>
      <c r="B3518" s="1" t="n">
        <v>44095</v>
      </c>
      <c r="C3518" s="1" t="n">
        <v>45204</v>
      </c>
      <c r="D3518" t="inlineStr">
        <is>
          <t>VÄSTERBOTTENS LÄN</t>
        </is>
      </c>
      <c r="E3518" t="inlineStr">
        <is>
          <t>DOROTEA</t>
        </is>
      </c>
      <c r="F3518" t="inlineStr">
        <is>
          <t>SCA</t>
        </is>
      </c>
      <c r="G3518" t="n">
        <v>19.6</v>
      </c>
      <c r="H3518" t="n">
        <v>0</v>
      </c>
      <c r="I3518" t="n">
        <v>0</v>
      </c>
      <c r="J3518" t="n">
        <v>0</v>
      </c>
      <c r="K3518" t="n">
        <v>0</v>
      </c>
      <c r="L3518" t="n">
        <v>0</v>
      </c>
      <c r="M3518" t="n">
        <v>0</v>
      </c>
      <c r="N3518" t="n">
        <v>0</v>
      </c>
      <c r="O3518" t="n">
        <v>0</v>
      </c>
      <c r="P3518" t="n">
        <v>0</v>
      </c>
      <c r="Q3518" t="n">
        <v>0</v>
      </c>
      <c r="R3518" s="2" t="inlineStr"/>
    </row>
    <row r="3519" ht="15" customHeight="1">
      <c r="A3519" t="inlineStr">
        <is>
          <t>A 47496-2020</t>
        </is>
      </c>
      <c r="B3519" s="1" t="n">
        <v>44095</v>
      </c>
      <c r="C3519" s="1" t="n">
        <v>45204</v>
      </c>
      <c r="D3519" t="inlineStr">
        <is>
          <t>VÄSTERBOTTENS LÄN</t>
        </is>
      </c>
      <c r="E3519" t="inlineStr">
        <is>
          <t>NORDMALING</t>
        </is>
      </c>
      <c r="F3519" t="inlineStr">
        <is>
          <t>SCA</t>
        </is>
      </c>
      <c r="G3519" t="n">
        <v>3.8</v>
      </c>
      <c r="H3519" t="n">
        <v>0</v>
      </c>
      <c r="I3519" t="n">
        <v>0</v>
      </c>
      <c r="J3519" t="n">
        <v>0</v>
      </c>
      <c r="K3519" t="n">
        <v>0</v>
      </c>
      <c r="L3519" t="n">
        <v>0</v>
      </c>
      <c r="M3519" t="n">
        <v>0</v>
      </c>
      <c r="N3519" t="n">
        <v>0</v>
      </c>
      <c r="O3519" t="n">
        <v>0</v>
      </c>
      <c r="P3519" t="n">
        <v>0</v>
      </c>
      <c r="Q3519" t="n">
        <v>0</v>
      </c>
      <c r="R3519" s="2" t="inlineStr"/>
    </row>
    <row r="3520" ht="15" customHeight="1">
      <c r="A3520" t="inlineStr">
        <is>
          <t>A 46524-2020</t>
        </is>
      </c>
      <c r="B3520" s="1" t="n">
        <v>44095</v>
      </c>
      <c r="C3520" s="1" t="n">
        <v>45204</v>
      </c>
      <c r="D3520" t="inlineStr">
        <is>
          <t>VÄSTERBOTTENS LÄN</t>
        </is>
      </c>
      <c r="E3520" t="inlineStr">
        <is>
          <t>VINDELN</t>
        </is>
      </c>
      <c r="F3520" t="inlineStr">
        <is>
          <t>Holmen skog AB</t>
        </is>
      </c>
      <c r="G3520" t="n">
        <v>25.1</v>
      </c>
      <c r="H3520" t="n">
        <v>0</v>
      </c>
      <c r="I3520" t="n">
        <v>0</v>
      </c>
      <c r="J3520" t="n">
        <v>0</v>
      </c>
      <c r="K3520" t="n">
        <v>0</v>
      </c>
      <c r="L3520" t="n">
        <v>0</v>
      </c>
      <c r="M3520" t="n">
        <v>0</v>
      </c>
      <c r="N3520" t="n">
        <v>0</v>
      </c>
      <c r="O3520" t="n">
        <v>0</v>
      </c>
      <c r="P3520" t="n">
        <v>0</v>
      </c>
      <c r="Q3520" t="n">
        <v>0</v>
      </c>
      <c r="R3520" s="2" t="inlineStr"/>
    </row>
    <row r="3521" ht="15" customHeight="1">
      <c r="A3521" t="inlineStr">
        <is>
          <t>A 46638-2020</t>
        </is>
      </c>
      <c r="B3521" s="1" t="n">
        <v>44095</v>
      </c>
      <c r="C3521" s="1" t="n">
        <v>45204</v>
      </c>
      <c r="D3521" t="inlineStr">
        <is>
          <t>VÄSTERBOTTENS LÄN</t>
        </is>
      </c>
      <c r="E3521" t="inlineStr">
        <is>
          <t>SKELLEFTEÅ</t>
        </is>
      </c>
      <c r="F3521" t="inlineStr">
        <is>
          <t>Holmen skog AB</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46762-2020</t>
        </is>
      </c>
      <c r="B3522" s="1" t="n">
        <v>44095</v>
      </c>
      <c r="C3522" s="1" t="n">
        <v>45204</v>
      </c>
      <c r="D3522" t="inlineStr">
        <is>
          <t>VÄSTERBOTTENS LÄN</t>
        </is>
      </c>
      <c r="E3522" t="inlineStr">
        <is>
          <t>DOROTEA</t>
        </is>
      </c>
      <c r="F3522" t="inlineStr">
        <is>
          <t>SCA</t>
        </is>
      </c>
      <c r="G3522" t="n">
        <v>3</v>
      </c>
      <c r="H3522" t="n">
        <v>0</v>
      </c>
      <c r="I3522" t="n">
        <v>0</v>
      </c>
      <c r="J3522" t="n">
        <v>0</v>
      </c>
      <c r="K3522" t="n">
        <v>0</v>
      </c>
      <c r="L3522" t="n">
        <v>0</v>
      </c>
      <c r="M3522" t="n">
        <v>0</v>
      </c>
      <c r="N3522" t="n">
        <v>0</v>
      </c>
      <c r="O3522" t="n">
        <v>0</v>
      </c>
      <c r="P3522" t="n">
        <v>0</v>
      </c>
      <c r="Q3522" t="n">
        <v>0</v>
      </c>
      <c r="R3522" s="2" t="inlineStr"/>
    </row>
    <row r="3523" ht="15" customHeight="1">
      <c r="A3523" t="inlineStr">
        <is>
          <t>A 47405-2020</t>
        </is>
      </c>
      <c r="B3523" s="1" t="n">
        <v>44095</v>
      </c>
      <c r="C3523" s="1" t="n">
        <v>45204</v>
      </c>
      <c r="D3523" t="inlineStr">
        <is>
          <t>VÄSTERBOTTENS LÄN</t>
        </is>
      </c>
      <c r="E3523" t="inlineStr">
        <is>
          <t>SKELLEFTEÅ</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47641-2020</t>
        </is>
      </c>
      <c r="B3524" s="1" t="n">
        <v>44095</v>
      </c>
      <c r="C3524" s="1" t="n">
        <v>45204</v>
      </c>
      <c r="D3524" t="inlineStr">
        <is>
          <t>VÄSTERBOTTENS LÄN</t>
        </is>
      </c>
      <c r="E3524" t="inlineStr">
        <is>
          <t>UMEÅ</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48870-2020</t>
        </is>
      </c>
      <c r="B3525" s="1" t="n">
        <v>44095</v>
      </c>
      <c r="C3525" s="1" t="n">
        <v>45204</v>
      </c>
      <c r="D3525" t="inlineStr">
        <is>
          <t>VÄSTERBOTTENS LÄN</t>
        </is>
      </c>
      <c r="E3525" t="inlineStr">
        <is>
          <t>VINDELN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46632-2020</t>
        </is>
      </c>
      <c r="B3526" s="1" t="n">
        <v>44095</v>
      </c>
      <c r="C3526" s="1" t="n">
        <v>45204</v>
      </c>
      <c r="D3526" t="inlineStr">
        <is>
          <t>VÄSTERBOTTENS LÄN</t>
        </is>
      </c>
      <c r="E3526" t="inlineStr">
        <is>
          <t>LYCKSELE</t>
        </is>
      </c>
      <c r="F3526" t="inlineStr">
        <is>
          <t>Holmen skog AB</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46670-2020</t>
        </is>
      </c>
      <c r="B3527" s="1" t="n">
        <v>44095</v>
      </c>
      <c r="C3527" s="1" t="n">
        <v>45204</v>
      </c>
      <c r="D3527" t="inlineStr">
        <is>
          <t>VÄSTERBOTTENS LÄN</t>
        </is>
      </c>
      <c r="E3527" t="inlineStr">
        <is>
          <t>ROBERTSFORS</t>
        </is>
      </c>
      <c r="F3527" t="inlineStr">
        <is>
          <t>Holmen skog AB</t>
        </is>
      </c>
      <c r="G3527" t="n">
        <v>10.6</v>
      </c>
      <c r="H3527" t="n">
        <v>0</v>
      </c>
      <c r="I3527" t="n">
        <v>0</v>
      </c>
      <c r="J3527" t="n">
        <v>0</v>
      </c>
      <c r="K3527" t="n">
        <v>0</v>
      </c>
      <c r="L3527" t="n">
        <v>0</v>
      </c>
      <c r="M3527" t="n">
        <v>0</v>
      </c>
      <c r="N3527" t="n">
        <v>0</v>
      </c>
      <c r="O3527" t="n">
        <v>0</v>
      </c>
      <c r="P3527" t="n">
        <v>0</v>
      </c>
      <c r="Q3527" t="n">
        <v>0</v>
      </c>
      <c r="R3527" s="2" t="inlineStr"/>
    </row>
    <row r="3528" ht="15" customHeight="1">
      <c r="A3528" t="inlineStr">
        <is>
          <t>A 46764-2020</t>
        </is>
      </c>
      <c r="B3528" s="1" t="n">
        <v>44095</v>
      </c>
      <c r="C3528" s="1" t="n">
        <v>45204</v>
      </c>
      <c r="D3528" t="inlineStr">
        <is>
          <t>VÄSTERBOTTENS LÄN</t>
        </is>
      </c>
      <c r="E3528" t="inlineStr">
        <is>
          <t>LYCKSELE</t>
        </is>
      </c>
      <c r="F3528" t="inlineStr">
        <is>
          <t>SCA</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46857-2020</t>
        </is>
      </c>
      <c r="B3529" s="1" t="n">
        <v>44096</v>
      </c>
      <c r="C3529" s="1" t="n">
        <v>45204</v>
      </c>
      <c r="D3529" t="inlineStr">
        <is>
          <t>VÄSTERBOTTENS LÄN</t>
        </is>
      </c>
      <c r="E3529" t="inlineStr">
        <is>
          <t>SKELLEFTEÅ</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47103-2020</t>
        </is>
      </c>
      <c r="B3530" s="1" t="n">
        <v>44096</v>
      </c>
      <c r="C3530" s="1" t="n">
        <v>45204</v>
      </c>
      <c r="D3530" t="inlineStr">
        <is>
          <t>VÄSTERBOTTENS LÄN</t>
        </is>
      </c>
      <c r="E3530" t="inlineStr">
        <is>
          <t>ÅSELE</t>
        </is>
      </c>
      <c r="G3530" t="n">
        <v>5.8</v>
      </c>
      <c r="H3530" t="n">
        <v>0</v>
      </c>
      <c r="I3530" t="n">
        <v>0</v>
      </c>
      <c r="J3530" t="n">
        <v>0</v>
      </c>
      <c r="K3530" t="n">
        <v>0</v>
      </c>
      <c r="L3530" t="n">
        <v>0</v>
      </c>
      <c r="M3530" t="n">
        <v>0</v>
      </c>
      <c r="N3530" t="n">
        <v>0</v>
      </c>
      <c r="O3530" t="n">
        <v>0</v>
      </c>
      <c r="P3530" t="n">
        <v>0</v>
      </c>
      <c r="Q3530" t="n">
        <v>0</v>
      </c>
      <c r="R3530" s="2" t="inlineStr"/>
    </row>
    <row r="3531" ht="15" customHeight="1">
      <c r="A3531" t="inlineStr">
        <is>
          <t>A 46819-2020</t>
        </is>
      </c>
      <c r="B3531" s="1" t="n">
        <v>44096</v>
      </c>
      <c r="C3531" s="1" t="n">
        <v>45204</v>
      </c>
      <c r="D3531" t="inlineStr">
        <is>
          <t>VÄSTERBOTTENS LÄN</t>
        </is>
      </c>
      <c r="E3531" t="inlineStr">
        <is>
          <t>SKELLEFTEÅ</t>
        </is>
      </c>
      <c r="F3531" t="inlineStr">
        <is>
          <t>Holmen skog AB</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46842-2020</t>
        </is>
      </c>
      <c r="B3532" s="1" t="n">
        <v>44096</v>
      </c>
      <c r="C3532" s="1" t="n">
        <v>45204</v>
      </c>
      <c r="D3532" t="inlineStr">
        <is>
          <t>VÄSTERBOTTENS LÄN</t>
        </is>
      </c>
      <c r="E3532" t="inlineStr">
        <is>
          <t>SKELLEFTEÅ</t>
        </is>
      </c>
      <c r="F3532" t="inlineStr">
        <is>
          <t>Holmen skog AB</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47409-2020</t>
        </is>
      </c>
      <c r="B3533" s="1" t="n">
        <v>44097</v>
      </c>
      <c r="C3533" s="1" t="n">
        <v>45204</v>
      </c>
      <c r="D3533" t="inlineStr">
        <is>
          <t>VÄSTERBOTTENS LÄN</t>
        </is>
      </c>
      <c r="E3533" t="inlineStr">
        <is>
          <t>VINDELN</t>
        </is>
      </c>
      <c r="F3533" t="inlineStr">
        <is>
          <t>Holmen skog AB</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47214-2020</t>
        </is>
      </c>
      <c r="B3534" s="1" t="n">
        <v>44097</v>
      </c>
      <c r="C3534" s="1" t="n">
        <v>45204</v>
      </c>
      <c r="D3534" t="inlineStr">
        <is>
          <t>VÄSTERBOTTENS LÄN</t>
        </is>
      </c>
      <c r="E3534" t="inlineStr">
        <is>
          <t>NORDMALING</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47193-2020</t>
        </is>
      </c>
      <c r="B3535" s="1" t="n">
        <v>44097</v>
      </c>
      <c r="C3535" s="1" t="n">
        <v>45204</v>
      </c>
      <c r="D3535" t="inlineStr">
        <is>
          <t>VÄSTERBOTTENS LÄN</t>
        </is>
      </c>
      <c r="E3535" t="inlineStr">
        <is>
          <t>VILHELMINA</t>
        </is>
      </c>
      <c r="G3535" t="n">
        <v>6.8</v>
      </c>
      <c r="H3535" t="n">
        <v>0</v>
      </c>
      <c r="I3535" t="n">
        <v>0</v>
      </c>
      <c r="J3535" t="n">
        <v>0</v>
      </c>
      <c r="K3535" t="n">
        <v>0</v>
      </c>
      <c r="L3535" t="n">
        <v>0</v>
      </c>
      <c r="M3535" t="n">
        <v>0</v>
      </c>
      <c r="N3535" t="n">
        <v>0</v>
      </c>
      <c r="O3535" t="n">
        <v>0</v>
      </c>
      <c r="P3535" t="n">
        <v>0</v>
      </c>
      <c r="Q3535" t="n">
        <v>0</v>
      </c>
      <c r="R3535" s="2" t="inlineStr"/>
    </row>
    <row r="3536" ht="15" customHeight="1">
      <c r="A3536" t="inlineStr">
        <is>
          <t>A 47389-2020</t>
        </is>
      </c>
      <c r="B3536" s="1" t="n">
        <v>44097</v>
      </c>
      <c r="C3536" s="1" t="n">
        <v>45204</v>
      </c>
      <c r="D3536" t="inlineStr">
        <is>
          <t>VÄSTERBOTTENS LÄN</t>
        </is>
      </c>
      <c r="E3536" t="inlineStr">
        <is>
          <t>NORSJÖ</t>
        </is>
      </c>
      <c r="F3536" t="inlineStr">
        <is>
          <t>Holmen skog AB</t>
        </is>
      </c>
      <c r="G3536" t="n">
        <v>10.5</v>
      </c>
      <c r="H3536" t="n">
        <v>0</v>
      </c>
      <c r="I3536" t="n">
        <v>0</v>
      </c>
      <c r="J3536" t="n">
        <v>0</v>
      </c>
      <c r="K3536" t="n">
        <v>0</v>
      </c>
      <c r="L3536" t="n">
        <v>0</v>
      </c>
      <c r="M3536" t="n">
        <v>0</v>
      </c>
      <c r="N3536" t="n">
        <v>0</v>
      </c>
      <c r="O3536" t="n">
        <v>0</v>
      </c>
      <c r="P3536" t="n">
        <v>0</v>
      </c>
      <c r="Q3536" t="n">
        <v>0</v>
      </c>
      <c r="R3536" s="2" t="inlineStr"/>
    </row>
    <row r="3537" ht="15" customHeight="1">
      <c r="A3537" t="inlineStr">
        <is>
          <t>A 47487-2020</t>
        </is>
      </c>
      <c r="B3537" s="1" t="n">
        <v>44098</v>
      </c>
      <c r="C3537" s="1" t="n">
        <v>45204</v>
      </c>
      <c r="D3537" t="inlineStr">
        <is>
          <t>VÄSTERBOTTENS LÄN</t>
        </is>
      </c>
      <c r="E3537" t="inlineStr">
        <is>
          <t>LYCKSELE</t>
        </is>
      </c>
      <c r="F3537" t="inlineStr">
        <is>
          <t>Holmen skog AB</t>
        </is>
      </c>
      <c r="G3537" t="n">
        <v>5.2</v>
      </c>
      <c r="H3537" t="n">
        <v>0</v>
      </c>
      <c r="I3537" t="n">
        <v>0</v>
      </c>
      <c r="J3537" t="n">
        <v>0</v>
      </c>
      <c r="K3537" t="n">
        <v>0</v>
      </c>
      <c r="L3537" t="n">
        <v>0</v>
      </c>
      <c r="M3537" t="n">
        <v>0</v>
      </c>
      <c r="N3537" t="n">
        <v>0</v>
      </c>
      <c r="O3537" t="n">
        <v>0</v>
      </c>
      <c r="P3537" t="n">
        <v>0</v>
      </c>
      <c r="Q3537" t="n">
        <v>0</v>
      </c>
      <c r="R3537" s="2" t="inlineStr"/>
    </row>
    <row r="3538" ht="15" customHeight="1">
      <c r="A3538" t="inlineStr">
        <is>
          <t>A 47637-2020</t>
        </is>
      </c>
      <c r="B3538" s="1" t="n">
        <v>44098</v>
      </c>
      <c r="C3538" s="1" t="n">
        <v>45204</v>
      </c>
      <c r="D3538" t="inlineStr">
        <is>
          <t>VÄSTERBOTTENS LÄN</t>
        </is>
      </c>
      <c r="E3538" t="inlineStr">
        <is>
          <t>VINDELN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47848-2020</t>
        </is>
      </c>
      <c r="B3539" s="1" t="n">
        <v>44098</v>
      </c>
      <c r="C3539" s="1" t="n">
        <v>45204</v>
      </c>
      <c r="D3539" t="inlineStr">
        <is>
          <t>VÄSTERBOTTENS LÄN</t>
        </is>
      </c>
      <c r="E3539" t="inlineStr">
        <is>
          <t>SORSELE</t>
        </is>
      </c>
      <c r="F3539" t="inlineStr">
        <is>
          <t>SCA</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47855-2020</t>
        </is>
      </c>
      <c r="B3540" s="1" t="n">
        <v>44098</v>
      </c>
      <c r="C3540" s="1" t="n">
        <v>45204</v>
      </c>
      <c r="D3540" t="inlineStr">
        <is>
          <t>VÄSTERBOTTENS LÄN</t>
        </is>
      </c>
      <c r="E3540" t="inlineStr">
        <is>
          <t>MALÅ</t>
        </is>
      </c>
      <c r="F3540" t="inlineStr">
        <is>
          <t>SCA</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48584-2020</t>
        </is>
      </c>
      <c r="B3541" s="1" t="n">
        <v>44098</v>
      </c>
      <c r="C3541" s="1" t="n">
        <v>45204</v>
      </c>
      <c r="D3541" t="inlineStr">
        <is>
          <t>VÄSTERBOTTENS LÄN</t>
        </is>
      </c>
      <c r="E3541" t="inlineStr">
        <is>
          <t>SKELLEFTEÅ</t>
        </is>
      </c>
      <c r="G3541" t="n">
        <v>2.9</v>
      </c>
      <c r="H3541" t="n">
        <v>0</v>
      </c>
      <c r="I3541" t="n">
        <v>0</v>
      </c>
      <c r="J3541" t="n">
        <v>0</v>
      </c>
      <c r="K3541" t="n">
        <v>0</v>
      </c>
      <c r="L3541" t="n">
        <v>0</v>
      </c>
      <c r="M3541" t="n">
        <v>0</v>
      </c>
      <c r="N3541" t="n">
        <v>0</v>
      </c>
      <c r="O3541" t="n">
        <v>0</v>
      </c>
      <c r="P3541" t="n">
        <v>0</v>
      </c>
      <c r="Q3541" t="n">
        <v>0</v>
      </c>
      <c r="R3541" s="2" t="inlineStr"/>
    </row>
    <row r="3542" ht="15" customHeight="1">
      <c r="A3542" t="inlineStr">
        <is>
          <t>A 47476-2020</t>
        </is>
      </c>
      <c r="B3542" s="1" t="n">
        <v>44098</v>
      </c>
      <c r="C3542" s="1" t="n">
        <v>45204</v>
      </c>
      <c r="D3542" t="inlineStr">
        <is>
          <t>VÄSTERBOTTENS LÄN</t>
        </is>
      </c>
      <c r="E3542" t="inlineStr">
        <is>
          <t>NORDMALING</t>
        </is>
      </c>
      <c r="F3542" t="inlineStr">
        <is>
          <t>Kyrkan</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47562-2020</t>
        </is>
      </c>
      <c r="B3543" s="1" t="n">
        <v>44098</v>
      </c>
      <c r="C3543" s="1" t="n">
        <v>45204</v>
      </c>
      <c r="D3543" t="inlineStr">
        <is>
          <t>VÄSTERBOTTENS LÄN</t>
        </is>
      </c>
      <c r="E3543" t="inlineStr">
        <is>
          <t>VINDELN</t>
        </is>
      </c>
      <c r="F3543" t="inlineStr">
        <is>
          <t>Holmen skog AB</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47831-2020</t>
        </is>
      </c>
      <c r="B3544" s="1" t="n">
        <v>44098</v>
      </c>
      <c r="C3544" s="1" t="n">
        <v>45204</v>
      </c>
      <c r="D3544" t="inlineStr">
        <is>
          <t>VÄSTERBOTTENS LÄN</t>
        </is>
      </c>
      <c r="E3544" t="inlineStr">
        <is>
          <t>VINDELN</t>
        </is>
      </c>
      <c r="F3544" t="inlineStr">
        <is>
          <t>SCA</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47919-2020</t>
        </is>
      </c>
      <c r="B3545" s="1" t="n">
        <v>44099</v>
      </c>
      <c r="C3545" s="1" t="n">
        <v>45204</v>
      </c>
      <c r="D3545" t="inlineStr">
        <is>
          <t>VÄSTERBOTTENS LÄN</t>
        </is>
      </c>
      <c r="E3545" t="inlineStr">
        <is>
          <t>ROBERTSFORS</t>
        </is>
      </c>
      <c r="F3545" t="inlineStr">
        <is>
          <t>Holmen skog AB</t>
        </is>
      </c>
      <c r="G3545" t="n">
        <v>2.1</v>
      </c>
      <c r="H3545" t="n">
        <v>0</v>
      </c>
      <c r="I3545" t="n">
        <v>0</v>
      </c>
      <c r="J3545" t="n">
        <v>0</v>
      </c>
      <c r="K3545" t="n">
        <v>0</v>
      </c>
      <c r="L3545" t="n">
        <v>0</v>
      </c>
      <c r="M3545" t="n">
        <v>0</v>
      </c>
      <c r="N3545" t="n">
        <v>0</v>
      </c>
      <c r="O3545" t="n">
        <v>0</v>
      </c>
      <c r="P3545" t="n">
        <v>0</v>
      </c>
      <c r="Q3545" t="n">
        <v>0</v>
      </c>
      <c r="R3545" s="2" t="inlineStr"/>
    </row>
    <row r="3546" ht="15" customHeight="1">
      <c r="A3546" t="inlineStr">
        <is>
          <t>A 48058-2020</t>
        </is>
      </c>
      <c r="B3546" s="1" t="n">
        <v>44099</v>
      </c>
      <c r="C3546" s="1" t="n">
        <v>45204</v>
      </c>
      <c r="D3546" t="inlineStr">
        <is>
          <t>VÄSTERBOTTENS LÄN</t>
        </is>
      </c>
      <c r="E3546" t="inlineStr">
        <is>
          <t>NORDMALING</t>
        </is>
      </c>
      <c r="F3546" t="inlineStr">
        <is>
          <t>SCA</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48113-2020</t>
        </is>
      </c>
      <c r="B3547" s="1" t="n">
        <v>44101</v>
      </c>
      <c r="C3547" s="1" t="n">
        <v>45204</v>
      </c>
      <c r="D3547" t="inlineStr">
        <is>
          <t>VÄSTERBOTTENS LÄN</t>
        </is>
      </c>
      <c r="E3547" t="inlineStr">
        <is>
          <t>NORDMALING</t>
        </is>
      </c>
      <c r="G3547" t="n">
        <v>24.5</v>
      </c>
      <c r="H3547" t="n">
        <v>0</v>
      </c>
      <c r="I3547" t="n">
        <v>0</v>
      </c>
      <c r="J3547" t="n">
        <v>0</v>
      </c>
      <c r="K3547" t="n">
        <v>0</v>
      </c>
      <c r="L3547" t="n">
        <v>0</v>
      </c>
      <c r="M3547" t="n">
        <v>0</v>
      </c>
      <c r="N3547" t="n">
        <v>0</v>
      </c>
      <c r="O3547" t="n">
        <v>0</v>
      </c>
      <c r="P3547" t="n">
        <v>0</v>
      </c>
      <c r="Q3547" t="n">
        <v>0</v>
      </c>
      <c r="R3547" s="2" t="inlineStr"/>
    </row>
    <row r="3548" ht="15" customHeight="1">
      <c r="A3548" t="inlineStr">
        <is>
          <t>A 48948-2020</t>
        </is>
      </c>
      <c r="B3548" s="1" t="n">
        <v>44102</v>
      </c>
      <c r="C3548" s="1" t="n">
        <v>45204</v>
      </c>
      <c r="D3548" t="inlineStr">
        <is>
          <t>VÄSTERBOTTENS LÄN</t>
        </is>
      </c>
      <c r="E3548" t="inlineStr">
        <is>
          <t>UMEÅ</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48370-2020</t>
        </is>
      </c>
      <c r="B3549" s="1" t="n">
        <v>44102</v>
      </c>
      <c r="C3549" s="1" t="n">
        <v>45204</v>
      </c>
      <c r="D3549" t="inlineStr">
        <is>
          <t>VÄSTERBOTTENS LÄN</t>
        </is>
      </c>
      <c r="E3549" t="inlineStr">
        <is>
          <t>LYCKSELE</t>
        </is>
      </c>
      <c r="F3549" t="inlineStr">
        <is>
          <t>Sveaskog</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48414-2020</t>
        </is>
      </c>
      <c r="B3550" s="1" t="n">
        <v>44102</v>
      </c>
      <c r="C3550" s="1" t="n">
        <v>45204</v>
      </c>
      <c r="D3550" t="inlineStr">
        <is>
          <t>VÄSTERBOTTENS LÄN</t>
        </is>
      </c>
      <c r="E3550" t="inlineStr">
        <is>
          <t>SORSELE</t>
        </is>
      </c>
      <c r="F3550" t="inlineStr">
        <is>
          <t>Sveaskog</t>
        </is>
      </c>
      <c r="G3550" t="n">
        <v>3.4</v>
      </c>
      <c r="H3550" t="n">
        <v>0</v>
      </c>
      <c r="I3550" t="n">
        <v>0</v>
      </c>
      <c r="J3550" t="n">
        <v>0</v>
      </c>
      <c r="K3550" t="n">
        <v>0</v>
      </c>
      <c r="L3550" t="n">
        <v>0</v>
      </c>
      <c r="M3550" t="n">
        <v>0</v>
      </c>
      <c r="N3550" t="n">
        <v>0</v>
      </c>
      <c r="O3550" t="n">
        <v>0</v>
      </c>
      <c r="P3550" t="n">
        <v>0</v>
      </c>
      <c r="Q3550" t="n">
        <v>0</v>
      </c>
      <c r="R3550" s="2" t="inlineStr"/>
    </row>
    <row r="3551" ht="15" customHeight="1">
      <c r="A3551" t="inlineStr">
        <is>
          <t>A 48443-2020</t>
        </is>
      </c>
      <c r="B3551" s="1" t="n">
        <v>44102</v>
      </c>
      <c r="C3551" s="1" t="n">
        <v>45204</v>
      </c>
      <c r="D3551" t="inlineStr">
        <is>
          <t>VÄSTERBOTTENS LÄN</t>
        </is>
      </c>
      <c r="E3551" t="inlineStr">
        <is>
          <t>SORSELE</t>
        </is>
      </c>
      <c r="F3551" t="inlineStr">
        <is>
          <t>Sveaskog</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48481-2020</t>
        </is>
      </c>
      <c r="B3552" s="1" t="n">
        <v>44102</v>
      </c>
      <c r="C3552" s="1" t="n">
        <v>45204</v>
      </c>
      <c r="D3552" t="inlineStr">
        <is>
          <t>VÄSTERBOTTENS LÄN</t>
        </is>
      </c>
      <c r="E3552" t="inlineStr">
        <is>
          <t>BJURHOLM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48946-2020</t>
        </is>
      </c>
      <c r="B3553" s="1" t="n">
        <v>44102</v>
      </c>
      <c r="C3553" s="1" t="n">
        <v>45204</v>
      </c>
      <c r="D3553" t="inlineStr">
        <is>
          <t>VÄSTERBOTTENS LÄN</t>
        </is>
      </c>
      <c r="E3553" t="inlineStr">
        <is>
          <t>UMEÅ</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49241-2020</t>
        </is>
      </c>
      <c r="B3554" s="1" t="n">
        <v>44102</v>
      </c>
      <c r="C3554" s="1" t="n">
        <v>45204</v>
      </c>
      <c r="D3554" t="inlineStr">
        <is>
          <t>VÄSTERBOTTENS LÄN</t>
        </is>
      </c>
      <c r="E3554" t="inlineStr">
        <is>
          <t>SKELLEFTEÅ</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48428-2020</t>
        </is>
      </c>
      <c r="B3555" s="1" t="n">
        <v>44102</v>
      </c>
      <c r="C3555" s="1" t="n">
        <v>45204</v>
      </c>
      <c r="D3555" t="inlineStr">
        <is>
          <t>VÄSTERBOTTENS LÄN</t>
        </is>
      </c>
      <c r="E3555" t="inlineStr">
        <is>
          <t>ROBERTSFORS</t>
        </is>
      </c>
      <c r="F3555" t="inlineStr">
        <is>
          <t>Holmen skog AB</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49326-2020</t>
        </is>
      </c>
      <c r="B3556" s="1" t="n">
        <v>44102</v>
      </c>
      <c r="C3556" s="1" t="n">
        <v>45204</v>
      </c>
      <c r="D3556" t="inlineStr">
        <is>
          <t>VÄSTERBOTTENS LÄN</t>
        </is>
      </c>
      <c r="E3556" t="inlineStr">
        <is>
          <t>NORDMALING</t>
        </is>
      </c>
      <c r="G3556" t="n">
        <v>1.9</v>
      </c>
      <c r="H3556" t="n">
        <v>0</v>
      </c>
      <c r="I3556" t="n">
        <v>0</v>
      </c>
      <c r="J3556" t="n">
        <v>0</v>
      </c>
      <c r="K3556" t="n">
        <v>0</v>
      </c>
      <c r="L3556" t="n">
        <v>0</v>
      </c>
      <c r="M3556" t="n">
        <v>0</v>
      </c>
      <c r="N3556" t="n">
        <v>0</v>
      </c>
      <c r="O3556" t="n">
        <v>0</v>
      </c>
      <c r="P3556" t="n">
        <v>0</v>
      </c>
      <c r="Q3556" t="n">
        <v>0</v>
      </c>
      <c r="R3556" s="2" t="inlineStr"/>
    </row>
    <row r="3557" ht="15" customHeight="1">
      <c r="A3557" t="inlineStr">
        <is>
          <t>A 48440-2020</t>
        </is>
      </c>
      <c r="B3557" s="1" t="n">
        <v>44102</v>
      </c>
      <c r="C3557" s="1" t="n">
        <v>45204</v>
      </c>
      <c r="D3557" t="inlineStr">
        <is>
          <t>VÄSTERBOTTENS LÄN</t>
        </is>
      </c>
      <c r="E3557" t="inlineStr">
        <is>
          <t>SORSELE</t>
        </is>
      </c>
      <c r="F3557" t="inlineStr">
        <is>
          <t>Sveaskog</t>
        </is>
      </c>
      <c r="G3557" t="n">
        <v>16.5</v>
      </c>
      <c r="H3557" t="n">
        <v>0</v>
      </c>
      <c r="I3557" t="n">
        <v>0</v>
      </c>
      <c r="J3557" t="n">
        <v>0</v>
      </c>
      <c r="K3557" t="n">
        <v>0</v>
      </c>
      <c r="L3557" t="n">
        <v>0</v>
      </c>
      <c r="M3557" t="n">
        <v>0</v>
      </c>
      <c r="N3557" t="n">
        <v>0</v>
      </c>
      <c r="O3557" t="n">
        <v>0</v>
      </c>
      <c r="P3557" t="n">
        <v>0</v>
      </c>
      <c r="Q3557" t="n">
        <v>0</v>
      </c>
      <c r="R3557" s="2" t="inlineStr"/>
    </row>
    <row r="3558" ht="15" customHeight="1">
      <c r="A3558" t="inlineStr">
        <is>
          <t>A 48192-2020</t>
        </is>
      </c>
      <c r="B3558" s="1" t="n">
        <v>44102</v>
      </c>
      <c r="C3558" s="1" t="n">
        <v>45204</v>
      </c>
      <c r="D3558" t="inlineStr">
        <is>
          <t>VÄSTERBOTTENS LÄN</t>
        </is>
      </c>
      <c r="E3558" t="inlineStr">
        <is>
          <t>VINDELN</t>
        </is>
      </c>
      <c r="F3558" t="inlineStr">
        <is>
          <t>Sveaskog</t>
        </is>
      </c>
      <c r="G3558" t="n">
        <v>2.5</v>
      </c>
      <c r="H3558" t="n">
        <v>0</v>
      </c>
      <c r="I3558" t="n">
        <v>0</v>
      </c>
      <c r="J3558" t="n">
        <v>0</v>
      </c>
      <c r="K3558" t="n">
        <v>0</v>
      </c>
      <c r="L3558" t="n">
        <v>0</v>
      </c>
      <c r="M3558" t="n">
        <v>0</v>
      </c>
      <c r="N3558" t="n">
        <v>0</v>
      </c>
      <c r="O3558" t="n">
        <v>0</v>
      </c>
      <c r="P3558" t="n">
        <v>0</v>
      </c>
      <c r="Q3558" t="n">
        <v>0</v>
      </c>
      <c r="R3558" s="2" t="inlineStr"/>
    </row>
    <row r="3559" ht="15" customHeight="1">
      <c r="A3559" t="inlineStr">
        <is>
          <t>A 48418-2020</t>
        </is>
      </c>
      <c r="B3559" s="1" t="n">
        <v>44102</v>
      </c>
      <c r="C3559" s="1" t="n">
        <v>45204</v>
      </c>
      <c r="D3559" t="inlineStr">
        <is>
          <t>VÄSTERBOTTENS LÄN</t>
        </is>
      </c>
      <c r="E3559" t="inlineStr">
        <is>
          <t>VINDELN</t>
        </is>
      </c>
      <c r="F3559" t="inlineStr">
        <is>
          <t>Holmen skog AB</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48438-2020</t>
        </is>
      </c>
      <c r="B3560" s="1" t="n">
        <v>44102</v>
      </c>
      <c r="C3560" s="1" t="n">
        <v>45204</v>
      </c>
      <c r="D3560" t="inlineStr">
        <is>
          <t>VÄSTERBOTTENS LÄN</t>
        </is>
      </c>
      <c r="E3560" t="inlineStr">
        <is>
          <t>SORSELE</t>
        </is>
      </c>
      <c r="F3560" t="inlineStr">
        <is>
          <t>Sveaskog</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48609-2020</t>
        </is>
      </c>
      <c r="B3561" s="1" t="n">
        <v>44103</v>
      </c>
      <c r="C3561" s="1" t="n">
        <v>45204</v>
      </c>
      <c r="D3561" t="inlineStr">
        <is>
          <t>VÄSTERBOTTENS LÄN</t>
        </is>
      </c>
      <c r="E3561" t="inlineStr">
        <is>
          <t>SKELLEFTEÅ</t>
        </is>
      </c>
      <c r="F3561" t="inlineStr">
        <is>
          <t>Holmen skog AB</t>
        </is>
      </c>
      <c r="G3561" t="n">
        <v>7.1</v>
      </c>
      <c r="H3561" t="n">
        <v>0</v>
      </c>
      <c r="I3561" t="n">
        <v>0</v>
      </c>
      <c r="J3561" t="n">
        <v>0</v>
      </c>
      <c r="K3561" t="n">
        <v>0</v>
      </c>
      <c r="L3561" t="n">
        <v>0</v>
      </c>
      <c r="M3561" t="n">
        <v>0</v>
      </c>
      <c r="N3561" t="n">
        <v>0</v>
      </c>
      <c r="O3561" t="n">
        <v>0</v>
      </c>
      <c r="P3561" t="n">
        <v>0</v>
      </c>
      <c r="Q3561" t="n">
        <v>0</v>
      </c>
      <c r="R3561" s="2" t="inlineStr"/>
    </row>
    <row r="3562" ht="15" customHeight="1">
      <c r="A3562" t="inlineStr">
        <is>
          <t>A 48782-2020</t>
        </is>
      </c>
      <c r="B3562" s="1" t="n">
        <v>44103</v>
      </c>
      <c r="C3562" s="1" t="n">
        <v>45204</v>
      </c>
      <c r="D3562" t="inlineStr">
        <is>
          <t>VÄSTERBOTTENS LÄN</t>
        </is>
      </c>
      <c r="E3562" t="inlineStr">
        <is>
          <t>LYCKSELE</t>
        </is>
      </c>
      <c r="F3562" t="inlineStr">
        <is>
          <t>Sveaskog</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48990-2020</t>
        </is>
      </c>
      <c r="B3563" s="1" t="n">
        <v>44104</v>
      </c>
      <c r="C3563" s="1" t="n">
        <v>45204</v>
      </c>
      <c r="D3563" t="inlineStr">
        <is>
          <t>VÄSTERBOTTENS LÄN</t>
        </is>
      </c>
      <c r="E3563" t="inlineStr">
        <is>
          <t>NORDMALING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50348-2020</t>
        </is>
      </c>
      <c r="B3564" s="1" t="n">
        <v>44104</v>
      </c>
      <c r="C3564" s="1" t="n">
        <v>45204</v>
      </c>
      <c r="D3564" t="inlineStr">
        <is>
          <t>VÄSTERBOTTENS LÄN</t>
        </is>
      </c>
      <c r="E3564" t="inlineStr">
        <is>
          <t>MALÅ</t>
        </is>
      </c>
      <c r="G3564" t="n">
        <v>7.5</v>
      </c>
      <c r="H3564" t="n">
        <v>0</v>
      </c>
      <c r="I3564" t="n">
        <v>0</v>
      </c>
      <c r="J3564" t="n">
        <v>0</v>
      </c>
      <c r="K3564" t="n">
        <v>0</v>
      </c>
      <c r="L3564" t="n">
        <v>0</v>
      </c>
      <c r="M3564" t="n">
        <v>0</v>
      </c>
      <c r="N3564" t="n">
        <v>0</v>
      </c>
      <c r="O3564" t="n">
        <v>0</v>
      </c>
      <c r="P3564" t="n">
        <v>0</v>
      </c>
      <c r="Q3564" t="n">
        <v>0</v>
      </c>
      <c r="R3564" s="2" t="inlineStr"/>
    </row>
    <row r="3565" ht="15" customHeight="1">
      <c r="A3565" t="inlineStr">
        <is>
          <t>A 48893-2020</t>
        </is>
      </c>
      <c r="B3565" s="1" t="n">
        <v>44104</v>
      </c>
      <c r="C3565" s="1" t="n">
        <v>45204</v>
      </c>
      <c r="D3565" t="inlineStr">
        <is>
          <t>VÄSTERBOTTENS LÄN</t>
        </is>
      </c>
      <c r="E3565" t="inlineStr">
        <is>
          <t>SKELLEFTEÅ</t>
        </is>
      </c>
      <c r="F3565" t="inlineStr">
        <is>
          <t>Sveaskog</t>
        </is>
      </c>
      <c r="G3565" t="n">
        <v>42.8</v>
      </c>
      <c r="H3565" t="n">
        <v>0</v>
      </c>
      <c r="I3565" t="n">
        <v>0</v>
      </c>
      <c r="J3565" t="n">
        <v>0</v>
      </c>
      <c r="K3565" t="n">
        <v>0</v>
      </c>
      <c r="L3565" t="n">
        <v>0</v>
      </c>
      <c r="M3565" t="n">
        <v>0</v>
      </c>
      <c r="N3565" t="n">
        <v>0</v>
      </c>
      <c r="O3565" t="n">
        <v>0</v>
      </c>
      <c r="P3565" t="n">
        <v>0</v>
      </c>
      <c r="Q3565" t="n">
        <v>0</v>
      </c>
      <c r="R3565" s="2" t="inlineStr"/>
    </row>
    <row r="3566" ht="15" customHeight="1">
      <c r="A3566" t="inlineStr">
        <is>
          <t>A 48939-2020</t>
        </is>
      </c>
      <c r="B3566" s="1" t="n">
        <v>44104</v>
      </c>
      <c r="C3566" s="1" t="n">
        <v>45204</v>
      </c>
      <c r="D3566" t="inlineStr">
        <is>
          <t>VÄSTERBOTTENS LÄN</t>
        </is>
      </c>
      <c r="E3566" t="inlineStr">
        <is>
          <t>SKELLEFTEÅ</t>
        </is>
      </c>
      <c r="G3566" t="n">
        <v>3</v>
      </c>
      <c r="H3566" t="n">
        <v>0</v>
      </c>
      <c r="I3566" t="n">
        <v>0</v>
      </c>
      <c r="J3566" t="n">
        <v>0</v>
      </c>
      <c r="K3566" t="n">
        <v>0</v>
      </c>
      <c r="L3566" t="n">
        <v>0</v>
      </c>
      <c r="M3566" t="n">
        <v>0</v>
      </c>
      <c r="N3566" t="n">
        <v>0</v>
      </c>
      <c r="O3566" t="n">
        <v>0</v>
      </c>
      <c r="P3566" t="n">
        <v>0</v>
      </c>
      <c r="Q3566" t="n">
        <v>0</v>
      </c>
      <c r="R3566" s="2" t="inlineStr"/>
    </row>
    <row r="3567" ht="15" customHeight="1">
      <c r="A3567" t="inlineStr">
        <is>
          <t>A 48906-2020</t>
        </is>
      </c>
      <c r="B3567" s="1" t="n">
        <v>44104</v>
      </c>
      <c r="C3567" s="1" t="n">
        <v>45204</v>
      </c>
      <c r="D3567" t="inlineStr">
        <is>
          <t>VÄSTERBOTTENS LÄN</t>
        </is>
      </c>
      <c r="E3567" t="inlineStr">
        <is>
          <t>UMEÅ</t>
        </is>
      </c>
      <c r="F3567" t="inlineStr">
        <is>
          <t>Holmen skog AB</t>
        </is>
      </c>
      <c r="G3567" t="n">
        <v>10.7</v>
      </c>
      <c r="H3567" t="n">
        <v>0</v>
      </c>
      <c r="I3567" t="n">
        <v>0</v>
      </c>
      <c r="J3567" t="n">
        <v>0</v>
      </c>
      <c r="K3567" t="n">
        <v>0</v>
      </c>
      <c r="L3567" t="n">
        <v>0</v>
      </c>
      <c r="M3567" t="n">
        <v>0</v>
      </c>
      <c r="N3567" t="n">
        <v>0</v>
      </c>
      <c r="O3567" t="n">
        <v>0</v>
      </c>
      <c r="P3567" t="n">
        <v>0</v>
      </c>
      <c r="Q3567" t="n">
        <v>0</v>
      </c>
      <c r="R3567" s="2" t="inlineStr"/>
    </row>
    <row r="3568" ht="15" customHeight="1">
      <c r="A3568" t="inlineStr">
        <is>
          <t>A 49150-2020</t>
        </is>
      </c>
      <c r="B3568" s="1" t="n">
        <v>44104</v>
      </c>
      <c r="C3568" s="1" t="n">
        <v>45204</v>
      </c>
      <c r="D3568" t="inlineStr">
        <is>
          <t>VÄSTERBOTTENS LÄN</t>
        </is>
      </c>
      <c r="E3568" t="inlineStr">
        <is>
          <t>DOROTEA</t>
        </is>
      </c>
      <c r="F3568" t="inlineStr">
        <is>
          <t>SCA</t>
        </is>
      </c>
      <c r="G3568" t="n">
        <v>4.5</v>
      </c>
      <c r="H3568" t="n">
        <v>0</v>
      </c>
      <c r="I3568" t="n">
        <v>0</v>
      </c>
      <c r="J3568" t="n">
        <v>0</v>
      </c>
      <c r="K3568" t="n">
        <v>0</v>
      </c>
      <c r="L3568" t="n">
        <v>0</v>
      </c>
      <c r="M3568" t="n">
        <v>0</v>
      </c>
      <c r="N3568" t="n">
        <v>0</v>
      </c>
      <c r="O3568" t="n">
        <v>0</v>
      </c>
      <c r="P3568" t="n">
        <v>0</v>
      </c>
      <c r="Q3568" t="n">
        <v>0</v>
      </c>
      <c r="R3568" s="2" t="inlineStr"/>
    </row>
    <row r="3569" ht="15" customHeight="1">
      <c r="A3569" t="inlineStr">
        <is>
          <t>A 49675-2020</t>
        </is>
      </c>
      <c r="B3569" s="1" t="n">
        <v>44104</v>
      </c>
      <c r="C3569" s="1" t="n">
        <v>45204</v>
      </c>
      <c r="D3569" t="inlineStr">
        <is>
          <t>VÄSTERBOTTENS LÄN</t>
        </is>
      </c>
      <c r="E3569" t="inlineStr">
        <is>
          <t>DOROTEA</t>
        </is>
      </c>
      <c r="F3569" t="inlineStr">
        <is>
          <t>SCA</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50365-2020</t>
        </is>
      </c>
      <c r="B3570" s="1" t="n">
        <v>44104</v>
      </c>
      <c r="C3570" s="1" t="n">
        <v>45204</v>
      </c>
      <c r="D3570" t="inlineStr">
        <is>
          <t>VÄSTERBOTTENS LÄN</t>
        </is>
      </c>
      <c r="E3570" t="inlineStr">
        <is>
          <t>MALÅ</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49986-2020</t>
        </is>
      </c>
      <c r="B3571" s="1" t="n">
        <v>44104</v>
      </c>
      <c r="C3571" s="1" t="n">
        <v>45204</v>
      </c>
      <c r="D3571" t="inlineStr">
        <is>
          <t>VÄSTERBOTTENS LÄN</t>
        </is>
      </c>
      <c r="E3571" t="inlineStr">
        <is>
          <t>SKELLEFTEÅ</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50351-2020</t>
        </is>
      </c>
      <c r="B3572" s="1" t="n">
        <v>44104</v>
      </c>
      <c r="C3572" s="1" t="n">
        <v>45204</v>
      </c>
      <c r="D3572" t="inlineStr">
        <is>
          <t>VÄSTERBOTTENS LÄN</t>
        </is>
      </c>
      <c r="E3572" t="inlineStr">
        <is>
          <t>MALÅ</t>
        </is>
      </c>
      <c r="G3572" t="n">
        <v>4.4</v>
      </c>
      <c r="H3572" t="n">
        <v>0</v>
      </c>
      <c r="I3572" t="n">
        <v>0</v>
      </c>
      <c r="J3572" t="n">
        <v>0</v>
      </c>
      <c r="K3572" t="n">
        <v>0</v>
      </c>
      <c r="L3572" t="n">
        <v>0</v>
      </c>
      <c r="M3572" t="n">
        <v>0</v>
      </c>
      <c r="N3572" t="n">
        <v>0</v>
      </c>
      <c r="O3572" t="n">
        <v>0</v>
      </c>
      <c r="P3572" t="n">
        <v>0</v>
      </c>
      <c r="Q3572" t="n">
        <v>0</v>
      </c>
      <c r="R3572" s="2" t="inlineStr"/>
    </row>
    <row r="3573" ht="15" customHeight="1">
      <c r="A3573" t="inlineStr">
        <is>
          <t>A 52174-2020</t>
        </is>
      </c>
      <c r="B3573" s="1" t="n">
        <v>44105</v>
      </c>
      <c r="C3573" s="1" t="n">
        <v>45204</v>
      </c>
      <c r="D3573" t="inlineStr">
        <is>
          <t>VÄSTERBOTTENS LÄN</t>
        </is>
      </c>
      <c r="E3573" t="inlineStr">
        <is>
          <t>VILHELMINA</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49341-2020</t>
        </is>
      </c>
      <c r="B3574" s="1" t="n">
        <v>44105</v>
      </c>
      <c r="C3574" s="1" t="n">
        <v>45204</v>
      </c>
      <c r="D3574" t="inlineStr">
        <is>
          <t>VÄSTERBOTTENS LÄN</t>
        </is>
      </c>
      <c r="E3574" t="inlineStr">
        <is>
          <t>VINDELN</t>
        </is>
      </c>
      <c r="F3574" t="inlineStr">
        <is>
          <t>Holmen skog AB</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49378-2020</t>
        </is>
      </c>
      <c r="B3575" s="1" t="n">
        <v>44105</v>
      </c>
      <c r="C3575" s="1" t="n">
        <v>45204</v>
      </c>
      <c r="D3575" t="inlineStr">
        <is>
          <t>VÄSTERBOTTENS LÄN</t>
        </is>
      </c>
      <c r="E3575" t="inlineStr">
        <is>
          <t>LYCKSELE</t>
        </is>
      </c>
      <c r="F3575" t="inlineStr">
        <is>
          <t>Sveaskog</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50744-2020</t>
        </is>
      </c>
      <c r="B3576" s="1" t="n">
        <v>44105</v>
      </c>
      <c r="C3576" s="1" t="n">
        <v>45204</v>
      </c>
      <c r="D3576" t="inlineStr">
        <is>
          <t>VÄSTERBOTTENS LÄN</t>
        </is>
      </c>
      <c r="E3576" t="inlineStr">
        <is>
          <t>UMEÅ</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49183-2020</t>
        </is>
      </c>
      <c r="B3577" s="1" t="n">
        <v>44105</v>
      </c>
      <c r="C3577" s="1" t="n">
        <v>45204</v>
      </c>
      <c r="D3577" t="inlineStr">
        <is>
          <t>VÄSTERBOTTENS LÄN</t>
        </is>
      </c>
      <c r="E3577" t="inlineStr">
        <is>
          <t>SKELLEFTEÅ</t>
        </is>
      </c>
      <c r="G3577" t="n">
        <v>8.699999999999999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49356-2020</t>
        </is>
      </c>
      <c r="B3578" s="1" t="n">
        <v>44105</v>
      </c>
      <c r="C3578" s="1" t="n">
        <v>45204</v>
      </c>
      <c r="D3578" t="inlineStr">
        <is>
          <t>VÄSTERBOTTENS LÄN</t>
        </is>
      </c>
      <c r="E3578" t="inlineStr">
        <is>
          <t>UMEÅ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49482-2020</t>
        </is>
      </c>
      <c r="B3579" s="1" t="n">
        <v>44105</v>
      </c>
      <c r="C3579" s="1" t="n">
        <v>45204</v>
      </c>
      <c r="D3579" t="inlineStr">
        <is>
          <t>VÄSTERBOTTENS LÄN</t>
        </is>
      </c>
      <c r="E3579" t="inlineStr">
        <is>
          <t>LYCKSELE</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50723-2020</t>
        </is>
      </c>
      <c r="B3580" s="1" t="n">
        <v>44105</v>
      </c>
      <c r="C3580" s="1" t="n">
        <v>45204</v>
      </c>
      <c r="D3580" t="inlineStr">
        <is>
          <t>VÄSTERBOTTENS LÄN</t>
        </is>
      </c>
      <c r="E3580" t="inlineStr">
        <is>
          <t>UMEÅ</t>
        </is>
      </c>
      <c r="G3580" t="n">
        <v>4.9</v>
      </c>
      <c r="H3580" t="n">
        <v>0</v>
      </c>
      <c r="I3580" t="n">
        <v>0</v>
      </c>
      <c r="J3580" t="n">
        <v>0</v>
      </c>
      <c r="K3580" t="n">
        <v>0</v>
      </c>
      <c r="L3580" t="n">
        <v>0</v>
      </c>
      <c r="M3580" t="n">
        <v>0</v>
      </c>
      <c r="N3580" t="n">
        <v>0</v>
      </c>
      <c r="O3580" t="n">
        <v>0</v>
      </c>
      <c r="P3580" t="n">
        <v>0</v>
      </c>
      <c r="Q3580" t="n">
        <v>0</v>
      </c>
      <c r="R3580" s="2" t="inlineStr"/>
    </row>
    <row r="3581" ht="15" customHeight="1">
      <c r="A3581" t="inlineStr">
        <is>
          <t>A 49236-2020</t>
        </is>
      </c>
      <c r="B3581" s="1" t="n">
        <v>44105</v>
      </c>
      <c r="C3581" s="1" t="n">
        <v>45204</v>
      </c>
      <c r="D3581" t="inlineStr">
        <is>
          <t>VÄSTERBOTTENS LÄN</t>
        </is>
      </c>
      <c r="E3581" t="inlineStr">
        <is>
          <t>SKELLEFTEÅ</t>
        </is>
      </c>
      <c r="F3581" t="inlineStr">
        <is>
          <t>Holmen skog AB</t>
        </is>
      </c>
      <c r="G3581" t="n">
        <v>6.5</v>
      </c>
      <c r="H3581" t="n">
        <v>0</v>
      </c>
      <c r="I3581" t="n">
        <v>0</v>
      </c>
      <c r="J3581" t="n">
        <v>0</v>
      </c>
      <c r="K3581" t="n">
        <v>0</v>
      </c>
      <c r="L3581" t="n">
        <v>0</v>
      </c>
      <c r="M3581" t="n">
        <v>0</v>
      </c>
      <c r="N3581" t="n">
        <v>0</v>
      </c>
      <c r="O3581" t="n">
        <v>0</v>
      </c>
      <c r="P3581" t="n">
        <v>0</v>
      </c>
      <c r="Q3581" t="n">
        <v>0</v>
      </c>
      <c r="R3581" s="2" t="inlineStr"/>
    </row>
    <row r="3582" ht="15" customHeight="1">
      <c r="A3582" t="inlineStr">
        <is>
          <t>A 52165-2020</t>
        </is>
      </c>
      <c r="B3582" s="1" t="n">
        <v>44105</v>
      </c>
      <c r="C3582" s="1" t="n">
        <v>45204</v>
      </c>
      <c r="D3582" t="inlineStr">
        <is>
          <t>VÄSTERBOTTENS LÄN</t>
        </is>
      </c>
      <c r="E3582" t="inlineStr">
        <is>
          <t>VILHELMINA</t>
        </is>
      </c>
      <c r="G3582" t="n">
        <v>16.1</v>
      </c>
      <c r="H3582" t="n">
        <v>0</v>
      </c>
      <c r="I3582" t="n">
        <v>0</v>
      </c>
      <c r="J3582" t="n">
        <v>0</v>
      </c>
      <c r="K3582" t="n">
        <v>0</v>
      </c>
      <c r="L3582" t="n">
        <v>0</v>
      </c>
      <c r="M3582" t="n">
        <v>0</v>
      </c>
      <c r="N3582" t="n">
        <v>0</v>
      </c>
      <c r="O3582" t="n">
        <v>0</v>
      </c>
      <c r="P3582" t="n">
        <v>0</v>
      </c>
      <c r="Q3582" t="n">
        <v>0</v>
      </c>
      <c r="R3582" s="2" t="inlineStr"/>
    </row>
    <row r="3583" ht="15" customHeight="1">
      <c r="A3583" t="inlineStr">
        <is>
          <t>A 49716-2020</t>
        </is>
      </c>
      <c r="B3583" s="1" t="n">
        <v>44106</v>
      </c>
      <c r="C3583" s="1" t="n">
        <v>45204</v>
      </c>
      <c r="D3583" t="inlineStr">
        <is>
          <t>VÄSTERBOTTENS LÄN</t>
        </is>
      </c>
      <c r="E3583" t="inlineStr">
        <is>
          <t>VINDELN</t>
        </is>
      </c>
      <c r="F3583" t="inlineStr">
        <is>
          <t>Holmen skog AB</t>
        </is>
      </c>
      <c r="G3583" t="n">
        <v>7.1</v>
      </c>
      <c r="H3583" t="n">
        <v>0</v>
      </c>
      <c r="I3583" t="n">
        <v>0</v>
      </c>
      <c r="J3583" t="n">
        <v>0</v>
      </c>
      <c r="K3583" t="n">
        <v>0</v>
      </c>
      <c r="L3583" t="n">
        <v>0</v>
      </c>
      <c r="M3583" t="n">
        <v>0</v>
      </c>
      <c r="N3583" t="n">
        <v>0</v>
      </c>
      <c r="O3583" t="n">
        <v>0</v>
      </c>
      <c r="P3583" t="n">
        <v>0</v>
      </c>
      <c r="Q3583" t="n">
        <v>0</v>
      </c>
      <c r="R3583" s="2" t="inlineStr"/>
    </row>
    <row r="3584" ht="15" customHeight="1">
      <c r="A3584" t="inlineStr">
        <is>
          <t>A 49689-2020</t>
        </is>
      </c>
      <c r="B3584" s="1" t="n">
        <v>44106</v>
      </c>
      <c r="C3584" s="1" t="n">
        <v>45204</v>
      </c>
      <c r="D3584" t="inlineStr">
        <is>
          <t>VÄSTERBOTTENS LÄN</t>
        </is>
      </c>
      <c r="E3584" t="inlineStr">
        <is>
          <t>VINDELN</t>
        </is>
      </c>
      <c r="F3584" t="inlineStr">
        <is>
          <t>Holmen skog AB</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49802-2020</t>
        </is>
      </c>
      <c r="B3585" s="1" t="n">
        <v>44106</v>
      </c>
      <c r="C3585" s="1" t="n">
        <v>45204</v>
      </c>
      <c r="D3585" t="inlineStr">
        <is>
          <t>VÄSTERBOTTENS LÄN</t>
        </is>
      </c>
      <c r="E3585" t="inlineStr">
        <is>
          <t>ROBERTSFORS</t>
        </is>
      </c>
      <c r="F3585" t="inlineStr">
        <is>
          <t>Holmen skog AB</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49840-2020</t>
        </is>
      </c>
      <c r="B3586" s="1" t="n">
        <v>44106</v>
      </c>
      <c r="C3586" s="1" t="n">
        <v>45204</v>
      </c>
      <c r="D3586" t="inlineStr">
        <is>
          <t>VÄSTERBOTTENS LÄN</t>
        </is>
      </c>
      <c r="E3586" t="inlineStr">
        <is>
          <t>ÅSELE</t>
        </is>
      </c>
      <c r="F3586" t="inlineStr">
        <is>
          <t>SCA</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49777-2020</t>
        </is>
      </c>
      <c r="B3587" s="1" t="n">
        <v>44106</v>
      </c>
      <c r="C3587" s="1" t="n">
        <v>45204</v>
      </c>
      <c r="D3587" t="inlineStr">
        <is>
          <t>VÄSTERBOTTENS LÄN</t>
        </is>
      </c>
      <c r="E3587" t="inlineStr">
        <is>
          <t>ROBERTSFORS</t>
        </is>
      </c>
      <c r="F3587" t="inlineStr">
        <is>
          <t>Holmen skog AB</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49836-2020</t>
        </is>
      </c>
      <c r="B3588" s="1" t="n">
        <v>44106</v>
      </c>
      <c r="C3588" s="1" t="n">
        <v>45204</v>
      </c>
      <c r="D3588" t="inlineStr">
        <is>
          <t>VÄSTERBOTTENS LÄN</t>
        </is>
      </c>
      <c r="E3588" t="inlineStr">
        <is>
          <t>ÅSELE</t>
        </is>
      </c>
      <c r="F3588" t="inlineStr">
        <is>
          <t>Kommuner</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49841-2020</t>
        </is>
      </c>
      <c r="B3589" s="1" t="n">
        <v>44106</v>
      </c>
      <c r="C3589" s="1" t="n">
        <v>45204</v>
      </c>
      <c r="D3589" t="inlineStr">
        <is>
          <t>VÄSTERBOTTENS LÄN</t>
        </is>
      </c>
      <c r="E3589" t="inlineStr">
        <is>
          <t>ÅSELE</t>
        </is>
      </c>
      <c r="F3589" t="inlineStr">
        <is>
          <t>SCA</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51412-2020</t>
        </is>
      </c>
      <c r="B3590" s="1" t="n">
        <v>44106</v>
      </c>
      <c r="C3590" s="1" t="n">
        <v>45204</v>
      </c>
      <c r="D3590" t="inlineStr">
        <is>
          <t>VÄSTERBOTTENS LÄN</t>
        </is>
      </c>
      <c r="E3590" t="inlineStr">
        <is>
          <t>UMEÅ</t>
        </is>
      </c>
      <c r="G3590" t="n">
        <v>5.9</v>
      </c>
      <c r="H3590" t="n">
        <v>0</v>
      </c>
      <c r="I3590" t="n">
        <v>0</v>
      </c>
      <c r="J3590" t="n">
        <v>0</v>
      </c>
      <c r="K3590" t="n">
        <v>0</v>
      </c>
      <c r="L3590" t="n">
        <v>0</v>
      </c>
      <c r="M3590" t="n">
        <v>0</v>
      </c>
      <c r="N3590" t="n">
        <v>0</v>
      </c>
      <c r="O3590" t="n">
        <v>0</v>
      </c>
      <c r="P3590" t="n">
        <v>0</v>
      </c>
      <c r="Q3590" t="n">
        <v>0</v>
      </c>
      <c r="R3590" s="2" t="inlineStr"/>
    </row>
    <row r="3591" ht="15" customHeight="1">
      <c r="A3591" t="inlineStr">
        <is>
          <t>A 51472-2020</t>
        </is>
      </c>
      <c r="B3591" s="1" t="n">
        <v>44106</v>
      </c>
      <c r="C3591" s="1" t="n">
        <v>45204</v>
      </c>
      <c r="D3591" t="inlineStr">
        <is>
          <t>VÄSTERBOTTENS LÄN</t>
        </is>
      </c>
      <c r="E3591" t="inlineStr">
        <is>
          <t>VÄNNÄS</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49880-2020</t>
        </is>
      </c>
      <c r="B3592" s="1" t="n">
        <v>44108</v>
      </c>
      <c r="C3592" s="1" t="n">
        <v>45204</v>
      </c>
      <c r="D3592" t="inlineStr">
        <is>
          <t>VÄSTERBOTTENS LÄN</t>
        </is>
      </c>
      <c r="E3592" t="inlineStr">
        <is>
          <t>MALÅ</t>
        </is>
      </c>
      <c r="G3592" t="n">
        <v>8.1</v>
      </c>
      <c r="H3592" t="n">
        <v>0</v>
      </c>
      <c r="I3592" t="n">
        <v>0</v>
      </c>
      <c r="J3592" t="n">
        <v>0</v>
      </c>
      <c r="K3592" t="n">
        <v>0</v>
      </c>
      <c r="L3592" t="n">
        <v>0</v>
      </c>
      <c r="M3592" t="n">
        <v>0</v>
      </c>
      <c r="N3592" t="n">
        <v>0</v>
      </c>
      <c r="O3592" t="n">
        <v>0</v>
      </c>
      <c r="P3592" t="n">
        <v>0</v>
      </c>
      <c r="Q3592" t="n">
        <v>0</v>
      </c>
      <c r="R3592" s="2" t="inlineStr"/>
    </row>
    <row r="3593" ht="15" customHeight="1">
      <c r="A3593" t="inlineStr">
        <is>
          <t>A 49974-2020</t>
        </is>
      </c>
      <c r="B3593" s="1" t="n">
        <v>44109</v>
      </c>
      <c r="C3593" s="1" t="n">
        <v>45204</v>
      </c>
      <c r="D3593" t="inlineStr">
        <is>
          <t>VÄSTERBOTTENS LÄN</t>
        </is>
      </c>
      <c r="E3593" t="inlineStr">
        <is>
          <t>SKELLEFTEÅ</t>
        </is>
      </c>
      <c r="F3593" t="inlineStr">
        <is>
          <t>Holmen skog AB</t>
        </is>
      </c>
      <c r="G3593" t="n">
        <v>15.8</v>
      </c>
      <c r="H3593" t="n">
        <v>0</v>
      </c>
      <c r="I3593" t="n">
        <v>0</v>
      </c>
      <c r="J3593" t="n">
        <v>0</v>
      </c>
      <c r="K3593" t="n">
        <v>0</v>
      </c>
      <c r="L3593" t="n">
        <v>0</v>
      </c>
      <c r="M3593" t="n">
        <v>0</v>
      </c>
      <c r="N3593" t="n">
        <v>0</v>
      </c>
      <c r="O3593" t="n">
        <v>0</v>
      </c>
      <c r="P3593" t="n">
        <v>0</v>
      </c>
      <c r="Q3593" t="n">
        <v>0</v>
      </c>
      <c r="R3593" s="2" t="inlineStr"/>
    </row>
    <row r="3594" ht="15" customHeight="1">
      <c r="A3594" t="inlineStr">
        <is>
          <t>A 50012-2020</t>
        </is>
      </c>
      <c r="B3594" s="1" t="n">
        <v>44109</v>
      </c>
      <c r="C3594" s="1" t="n">
        <v>45204</v>
      </c>
      <c r="D3594" t="inlineStr">
        <is>
          <t>VÄSTERBOTTENS LÄN</t>
        </is>
      </c>
      <c r="E3594" t="inlineStr">
        <is>
          <t>LYCKSELE</t>
        </is>
      </c>
      <c r="F3594" t="inlineStr">
        <is>
          <t>Sveaskog</t>
        </is>
      </c>
      <c r="G3594" t="n">
        <v>5.7</v>
      </c>
      <c r="H3594" t="n">
        <v>0</v>
      </c>
      <c r="I3594" t="n">
        <v>0</v>
      </c>
      <c r="J3594" t="n">
        <v>0</v>
      </c>
      <c r="K3594" t="n">
        <v>0</v>
      </c>
      <c r="L3594" t="n">
        <v>0</v>
      </c>
      <c r="M3594" t="n">
        <v>0</v>
      </c>
      <c r="N3594" t="n">
        <v>0</v>
      </c>
      <c r="O3594" t="n">
        <v>0</v>
      </c>
      <c r="P3594" t="n">
        <v>0</v>
      </c>
      <c r="Q3594" t="n">
        <v>0</v>
      </c>
      <c r="R3594" s="2" t="inlineStr"/>
    </row>
    <row r="3595" ht="15" customHeight="1">
      <c r="A3595" t="inlineStr">
        <is>
          <t>A 50086-2020</t>
        </is>
      </c>
      <c r="B3595" s="1" t="n">
        <v>44109</v>
      </c>
      <c r="C3595" s="1" t="n">
        <v>45204</v>
      </c>
      <c r="D3595" t="inlineStr">
        <is>
          <t>VÄSTERBOTTENS LÄN</t>
        </is>
      </c>
      <c r="E3595" t="inlineStr">
        <is>
          <t>VINDELN</t>
        </is>
      </c>
      <c r="F3595" t="inlineStr">
        <is>
          <t>Sveaskog</t>
        </is>
      </c>
      <c r="G3595" t="n">
        <v>5.2</v>
      </c>
      <c r="H3595" t="n">
        <v>0</v>
      </c>
      <c r="I3595" t="n">
        <v>0</v>
      </c>
      <c r="J3595" t="n">
        <v>0</v>
      </c>
      <c r="K3595" t="n">
        <v>0</v>
      </c>
      <c r="L3595" t="n">
        <v>0</v>
      </c>
      <c r="M3595" t="n">
        <v>0</v>
      </c>
      <c r="N3595" t="n">
        <v>0</v>
      </c>
      <c r="O3595" t="n">
        <v>0</v>
      </c>
      <c r="P3595" t="n">
        <v>0</v>
      </c>
      <c r="Q3595" t="n">
        <v>0</v>
      </c>
      <c r="R3595" s="2" t="inlineStr"/>
    </row>
    <row r="3596" ht="15" customHeight="1">
      <c r="A3596" t="inlineStr">
        <is>
          <t>A 50218-2020</t>
        </is>
      </c>
      <c r="B3596" s="1" t="n">
        <v>44109</v>
      </c>
      <c r="C3596" s="1" t="n">
        <v>45204</v>
      </c>
      <c r="D3596" t="inlineStr">
        <is>
          <t>VÄSTERBOTTENS LÄN</t>
        </is>
      </c>
      <c r="E3596" t="inlineStr">
        <is>
          <t>LYCKSELE</t>
        </is>
      </c>
      <c r="F3596" t="inlineStr">
        <is>
          <t>Sveaskog</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51654-2020</t>
        </is>
      </c>
      <c r="B3597" s="1" t="n">
        <v>44109</v>
      </c>
      <c r="C3597" s="1" t="n">
        <v>45204</v>
      </c>
      <c r="D3597" t="inlineStr">
        <is>
          <t>VÄSTERBOTTENS LÄN</t>
        </is>
      </c>
      <c r="E3597" t="inlineStr">
        <is>
          <t>SKELLEFTEÅ</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49948-2020</t>
        </is>
      </c>
      <c r="B3598" s="1" t="n">
        <v>44109</v>
      </c>
      <c r="C3598" s="1" t="n">
        <v>45204</v>
      </c>
      <c r="D3598" t="inlineStr">
        <is>
          <t>VÄSTERBOTTENS LÄN</t>
        </is>
      </c>
      <c r="E3598" t="inlineStr">
        <is>
          <t>STORUMAN</t>
        </is>
      </c>
      <c r="F3598" t="inlineStr">
        <is>
          <t>Sveaskog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50083-2020</t>
        </is>
      </c>
      <c r="B3599" s="1" t="n">
        <v>44109</v>
      </c>
      <c r="C3599" s="1" t="n">
        <v>45204</v>
      </c>
      <c r="D3599" t="inlineStr">
        <is>
          <t>VÄSTERBOTTENS LÄN</t>
        </is>
      </c>
      <c r="E3599" t="inlineStr">
        <is>
          <t>VINDELN</t>
        </is>
      </c>
      <c r="F3599" t="inlineStr">
        <is>
          <t>Sveaskog</t>
        </is>
      </c>
      <c r="G3599" t="n">
        <v>5.2</v>
      </c>
      <c r="H3599" t="n">
        <v>0</v>
      </c>
      <c r="I3599" t="n">
        <v>0</v>
      </c>
      <c r="J3599" t="n">
        <v>0</v>
      </c>
      <c r="K3599" t="n">
        <v>0</v>
      </c>
      <c r="L3599" t="n">
        <v>0</v>
      </c>
      <c r="M3599" t="n">
        <v>0</v>
      </c>
      <c r="N3599" t="n">
        <v>0</v>
      </c>
      <c r="O3599" t="n">
        <v>0</v>
      </c>
      <c r="P3599" t="n">
        <v>0</v>
      </c>
      <c r="Q3599" t="n">
        <v>0</v>
      </c>
      <c r="R3599" s="2" t="inlineStr"/>
    </row>
    <row r="3600" ht="15" customHeight="1">
      <c r="A3600" t="inlineStr">
        <is>
          <t>A 50275-2020</t>
        </is>
      </c>
      <c r="B3600" s="1" t="n">
        <v>44109</v>
      </c>
      <c r="C3600" s="1" t="n">
        <v>45204</v>
      </c>
      <c r="D3600" t="inlineStr">
        <is>
          <t>VÄSTERBOTTENS LÄN</t>
        </is>
      </c>
      <c r="E3600" t="inlineStr">
        <is>
          <t>SKELLEFTEÅ</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51890-2020</t>
        </is>
      </c>
      <c r="B3601" s="1" t="n">
        <v>44109</v>
      </c>
      <c r="C3601" s="1" t="n">
        <v>45204</v>
      </c>
      <c r="D3601" t="inlineStr">
        <is>
          <t>VÄSTERBOTTENS LÄN</t>
        </is>
      </c>
      <c r="E3601" t="inlineStr">
        <is>
          <t>NORDMALING</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49952-2020</t>
        </is>
      </c>
      <c r="B3602" s="1" t="n">
        <v>44109</v>
      </c>
      <c r="C3602" s="1" t="n">
        <v>45204</v>
      </c>
      <c r="D3602" t="inlineStr">
        <is>
          <t>VÄSTERBOTTENS LÄN</t>
        </is>
      </c>
      <c r="E3602" t="inlineStr">
        <is>
          <t>SKELLEFTEÅ</t>
        </is>
      </c>
      <c r="F3602" t="inlineStr">
        <is>
          <t>Holmen skog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50217-2020</t>
        </is>
      </c>
      <c r="B3603" s="1" t="n">
        <v>44109</v>
      </c>
      <c r="C3603" s="1" t="n">
        <v>45204</v>
      </c>
      <c r="D3603" t="inlineStr">
        <is>
          <t>VÄSTERBOTTENS LÄN</t>
        </is>
      </c>
      <c r="E3603" t="inlineStr">
        <is>
          <t>LYCKSELE</t>
        </is>
      </c>
      <c r="F3603" t="inlineStr">
        <is>
          <t>Sveaskog</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49981-2020</t>
        </is>
      </c>
      <c r="B3604" s="1" t="n">
        <v>44109</v>
      </c>
      <c r="C3604" s="1" t="n">
        <v>45204</v>
      </c>
      <c r="D3604" t="inlineStr">
        <is>
          <t>VÄSTERBOTTENS LÄN</t>
        </is>
      </c>
      <c r="E3604" t="inlineStr">
        <is>
          <t>STORUMAN</t>
        </is>
      </c>
      <c r="F3604" t="inlineStr">
        <is>
          <t>Sveaskog</t>
        </is>
      </c>
      <c r="G3604" t="n">
        <v>3.3</v>
      </c>
      <c r="H3604" t="n">
        <v>0</v>
      </c>
      <c r="I3604" t="n">
        <v>0</v>
      </c>
      <c r="J3604" t="n">
        <v>0</v>
      </c>
      <c r="K3604" t="n">
        <v>0</v>
      </c>
      <c r="L3604" t="n">
        <v>0</v>
      </c>
      <c r="M3604" t="n">
        <v>0</v>
      </c>
      <c r="N3604" t="n">
        <v>0</v>
      </c>
      <c r="O3604" t="n">
        <v>0</v>
      </c>
      <c r="P3604" t="n">
        <v>0</v>
      </c>
      <c r="Q3604" t="n">
        <v>0</v>
      </c>
      <c r="R3604" s="2" t="inlineStr"/>
    </row>
    <row r="3605" ht="15" customHeight="1">
      <c r="A3605" t="inlineStr">
        <is>
          <t>A 50005-2020</t>
        </is>
      </c>
      <c r="B3605" s="1" t="n">
        <v>44109</v>
      </c>
      <c r="C3605" s="1" t="n">
        <v>45204</v>
      </c>
      <c r="D3605" t="inlineStr">
        <is>
          <t>VÄSTERBOTTENS LÄN</t>
        </is>
      </c>
      <c r="E3605" t="inlineStr">
        <is>
          <t>STORUMAN</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50014-2020</t>
        </is>
      </c>
      <c r="B3606" s="1" t="n">
        <v>44109</v>
      </c>
      <c r="C3606" s="1" t="n">
        <v>45204</v>
      </c>
      <c r="D3606" t="inlineStr">
        <is>
          <t>VÄSTERBOTTENS LÄN</t>
        </is>
      </c>
      <c r="E3606" t="inlineStr">
        <is>
          <t>STORUMAN</t>
        </is>
      </c>
      <c r="F3606" t="inlineStr">
        <is>
          <t>Sveaskog</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50097-2020</t>
        </is>
      </c>
      <c r="B3607" s="1" t="n">
        <v>44109</v>
      </c>
      <c r="C3607" s="1" t="n">
        <v>45204</v>
      </c>
      <c r="D3607" t="inlineStr">
        <is>
          <t>VÄSTERBOTTENS LÄN</t>
        </is>
      </c>
      <c r="E3607" t="inlineStr">
        <is>
          <t>UMEÅ</t>
        </is>
      </c>
      <c r="F3607" t="inlineStr">
        <is>
          <t>Holmen skog AB</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52119-2020</t>
        </is>
      </c>
      <c r="B3608" s="1" t="n">
        <v>44110</v>
      </c>
      <c r="C3608" s="1" t="n">
        <v>45204</v>
      </c>
      <c r="D3608" t="inlineStr">
        <is>
          <t>VÄSTERBOTTENS LÄN</t>
        </is>
      </c>
      <c r="E3608" t="inlineStr">
        <is>
          <t>SKELLEFTEÅ</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50431-2020</t>
        </is>
      </c>
      <c r="B3609" s="1" t="n">
        <v>44110</v>
      </c>
      <c r="C3609" s="1" t="n">
        <v>45204</v>
      </c>
      <c r="D3609" t="inlineStr">
        <is>
          <t>VÄSTERBOTTENS LÄN</t>
        </is>
      </c>
      <c r="E3609" t="inlineStr">
        <is>
          <t>SKELLEFTEÅ</t>
        </is>
      </c>
      <c r="F3609" t="inlineStr">
        <is>
          <t>Holmen skog AB</t>
        </is>
      </c>
      <c r="G3609" t="n">
        <v>9.4</v>
      </c>
      <c r="H3609" t="n">
        <v>0</v>
      </c>
      <c r="I3609" t="n">
        <v>0</v>
      </c>
      <c r="J3609" t="n">
        <v>0</v>
      </c>
      <c r="K3609" t="n">
        <v>0</v>
      </c>
      <c r="L3609" t="n">
        <v>0</v>
      </c>
      <c r="M3609" t="n">
        <v>0</v>
      </c>
      <c r="N3609" t="n">
        <v>0</v>
      </c>
      <c r="O3609" t="n">
        <v>0</v>
      </c>
      <c r="P3609" t="n">
        <v>0</v>
      </c>
      <c r="Q3609" t="n">
        <v>0</v>
      </c>
      <c r="R3609" s="2" t="inlineStr"/>
    </row>
    <row r="3610" ht="15" customHeight="1">
      <c r="A3610" t="inlineStr">
        <is>
          <t>A 50303-2020</t>
        </is>
      </c>
      <c r="B3610" s="1" t="n">
        <v>44110</v>
      </c>
      <c r="C3610" s="1" t="n">
        <v>45204</v>
      </c>
      <c r="D3610" t="inlineStr">
        <is>
          <t>VÄSTERBOTTENS LÄN</t>
        </is>
      </c>
      <c r="E3610" t="inlineStr">
        <is>
          <t>ROBERTSFORS</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50323-2020</t>
        </is>
      </c>
      <c r="B3611" s="1" t="n">
        <v>44110</v>
      </c>
      <c r="C3611" s="1" t="n">
        <v>45204</v>
      </c>
      <c r="D3611" t="inlineStr">
        <is>
          <t>VÄSTERBOTTENS LÄN</t>
        </is>
      </c>
      <c r="E3611" t="inlineStr">
        <is>
          <t>UMEÅ</t>
        </is>
      </c>
      <c r="F3611" t="inlineStr">
        <is>
          <t>Holmen skog AB</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50468-2020</t>
        </is>
      </c>
      <c r="B3612" s="1" t="n">
        <v>44110</v>
      </c>
      <c r="C3612" s="1" t="n">
        <v>45204</v>
      </c>
      <c r="D3612" t="inlineStr">
        <is>
          <t>VÄSTERBOTTENS LÄN</t>
        </is>
      </c>
      <c r="E3612" t="inlineStr">
        <is>
          <t>LYCKSELE</t>
        </is>
      </c>
      <c r="F3612" t="inlineStr">
        <is>
          <t>Sveaskog</t>
        </is>
      </c>
      <c r="G3612" t="n">
        <v>5.6</v>
      </c>
      <c r="H3612" t="n">
        <v>0</v>
      </c>
      <c r="I3612" t="n">
        <v>0</v>
      </c>
      <c r="J3612" t="n">
        <v>0</v>
      </c>
      <c r="K3612" t="n">
        <v>0</v>
      </c>
      <c r="L3612" t="n">
        <v>0</v>
      </c>
      <c r="M3612" t="n">
        <v>0</v>
      </c>
      <c r="N3612" t="n">
        <v>0</v>
      </c>
      <c r="O3612" t="n">
        <v>0</v>
      </c>
      <c r="P3612" t="n">
        <v>0</v>
      </c>
      <c r="Q3612" t="n">
        <v>0</v>
      </c>
      <c r="R3612" s="2" t="inlineStr"/>
    </row>
    <row r="3613" ht="15" customHeight="1">
      <c r="A3613" t="inlineStr">
        <is>
          <t>A 50986-2020</t>
        </is>
      </c>
      <c r="B3613" s="1" t="n">
        <v>44111</v>
      </c>
      <c r="C3613" s="1" t="n">
        <v>45204</v>
      </c>
      <c r="D3613" t="inlineStr">
        <is>
          <t>VÄSTERBOTTENS LÄN</t>
        </is>
      </c>
      <c r="E3613" t="inlineStr">
        <is>
          <t>NORSJÖ</t>
        </is>
      </c>
      <c r="F3613" t="inlineStr">
        <is>
          <t>SCA</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51001-2020</t>
        </is>
      </c>
      <c r="B3614" s="1" t="n">
        <v>44111</v>
      </c>
      <c r="C3614" s="1" t="n">
        <v>45204</v>
      </c>
      <c r="D3614" t="inlineStr">
        <is>
          <t>VÄSTERBOTTENS LÄN</t>
        </is>
      </c>
      <c r="E3614" t="inlineStr">
        <is>
          <t>STORUMAN</t>
        </is>
      </c>
      <c r="F3614" t="inlineStr">
        <is>
          <t>SCA</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50701-2020</t>
        </is>
      </c>
      <c r="B3615" s="1" t="n">
        <v>44111</v>
      </c>
      <c r="C3615" s="1" t="n">
        <v>45204</v>
      </c>
      <c r="D3615" t="inlineStr">
        <is>
          <t>VÄSTERBOTTENS LÄN</t>
        </is>
      </c>
      <c r="E3615" t="inlineStr">
        <is>
          <t>SKELLEFTEÅ</t>
        </is>
      </c>
      <c r="F3615" t="inlineStr">
        <is>
          <t>Holmen skog AB</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50998-2020</t>
        </is>
      </c>
      <c r="B3616" s="1" t="n">
        <v>44111</v>
      </c>
      <c r="C3616" s="1" t="n">
        <v>45204</v>
      </c>
      <c r="D3616" t="inlineStr">
        <is>
          <t>VÄSTERBOTTENS LÄN</t>
        </is>
      </c>
      <c r="E3616" t="inlineStr">
        <is>
          <t>VINDELN</t>
        </is>
      </c>
      <c r="F3616" t="inlineStr">
        <is>
          <t>SCA</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51283-2020</t>
        </is>
      </c>
      <c r="B3617" s="1" t="n">
        <v>44112</v>
      </c>
      <c r="C3617" s="1" t="n">
        <v>45204</v>
      </c>
      <c r="D3617" t="inlineStr">
        <is>
          <t>VÄSTERBOTTENS LÄN</t>
        </is>
      </c>
      <c r="E3617" t="inlineStr">
        <is>
          <t>SKELLEFTEÅ</t>
        </is>
      </c>
      <c r="F3617" t="inlineStr">
        <is>
          <t>Sveaskog</t>
        </is>
      </c>
      <c r="G3617" t="n">
        <v>14.1</v>
      </c>
      <c r="H3617" t="n">
        <v>0</v>
      </c>
      <c r="I3617" t="n">
        <v>0</v>
      </c>
      <c r="J3617" t="n">
        <v>0</v>
      </c>
      <c r="K3617" t="n">
        <v>0</v>
      </c>
      <c r="L3617" t="n">
        <v>0</v>
      </c>
      <c r="M3617" t="n">
        <v>0</v>
      </c>
      <c r="N3617" t="n">
        <v>0</v>
      </c>
      <c r="O3617" t="n">
        <v>0</v>
      </c>
      <c r="P3617" t="n">
        <v>0</v>
      </c>
      <c r="Q3617" t="n">
        <v>0</v>
      </c>
      <c r="R3617" s="2" t="inlineStr"/>
    </row>
    <row r="3618" ht="15" customHeight="1">
      <c r="A3618" t="inlineStr">
        <is>
          <t>A 51374-2020</t>
        </is>
      </c>
      <c r="B3618" s="1" t="n">
        <v>44112</v>
      </c>
      <c r="C3618" s="1" t="n">
        <v>45204</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51371-2020</t>
        </is>
      </c>
      <c r="B3619" s="1" t="n">
        <v>44112</v>
      </c>
      <c r="C3619" s="1" t="n">
        <v>45204</v>
      </c>
      <c r="D3619" t="inlineStr">
        <is>
          <t>VÄSTERBOTTENS LÄN</t>
        </is>
      </c>
      <c r="E3619" t="inlineStr">
        <is>
          <t>ROBERTSFORS</t>
        </is>
      </c>
      <c r="G3619" t="n">
        <v>2.5</v>
      </c>
      <c r="H3619" t="n">
        <v>0</v>
      </c>
      <c r="I3619" t="n">
        <v>0</v>
      </c>
      <c r="J3619" t="n">
        <v>0</v>
      </c>
      <c r="K3619" t="n">
        <v>0</v>
      </c>
      <c r="L3619" t="n">
        <v>0</v>
      </c>
      <c r="M3619" t="n">
        <v>0</v>
      </c>
      <c r="N3619" t="n">
        <v>0</v>
      </c>
      <c r="O3619" t="n">
        <v>0</v>
      </c>
      <c r="P3619" t="n">
        <v>0</v>
      </c>
      <c r="Q3619" t="n">
        <v>0</v>
      </c>
      <c r="R3619" s="2" t="inlineStr"/>
    </row>
    <row r="3620" ht="15" customHeight="1">
      <c r="A3620" t="inlineStr">
        <is>
          <t>A 51536-2020</t>
        </is>
      </c>
      <c r="B3620" s="1" t="n">
        <v>44113</v>
      </c>
      <c r="C3620" s="1" t="n">
        <v>45204</v>
      </c>
      <c r="D3620" t="inlineStr">
        <is>
          <t>VÄSTERBOTTENS LÄN</t>
        </is>
      </c>
      <c r="E3620" t="inlineStr">
        <is>
          <t>SKELLEFTEÅ</t>
        </is>
      </c>
      <c r="F3620" t="inlineStr">
        <is>
          <t>Holmen skog AB</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51565-2020</t>
        </is>
      </c>
      <c r="B3621" s="1" t="n">
        <v>44113</v>
      </c>
      <c r="C3621" s="1" t="n">
        <v>45204</v>
      </c>
      <c r="D3621" t="inlineStr">
        <is>
          <t>VÄSTERBOTTENS LÄN</t>
        </is>
      </c>
      <c r="E3621" t="inlineStr">
        <is>
          <t>SKELLEFTEÅ</t>
        </is>
      </c>
      <c r="F3621" t="inlineStr">
        <is>
          <t>Holmen skog AB</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52451-2020</t>
        </is>
      </c>
      <c r="B3622" s="1" t="n">
        <v>44113</v>
      </c>
      <c r="C3622" s="1" t="n">
        <v>45204</v>
      </c>
      <c r="D3622" t="inlineStr">
        <is>
          <t>VÄSTERBOTTENS LÄN</t>
        </is>
      </c>
      <c r="E3622" t="inlineStr">
        <is>
          <t>UMEÅ</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51530-2020</t>
        </is>
      </c>
      <c r="B3623" s="1" t="n">
        <v>44113</v>
      </c>
      <c r="C3623" s="1" t="n">
        <v>45204</v>
      </c>
      <c r="D3623" t="inlineStr">
        <is>
          <t>VÄSTERBOTTENS LÄN</t>
        </is>
      </c>
      <c r="E3623" t="inlineStr">
        <is>
          <t>SKELLEFTEÅ</t>
        </is>
      </c>
      <c r="F3623" t="inlineStr">
        <is>
          <t>Holmen skog AB</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52500-2020</t>
        </is>
      </c>
      <c r="B3624" s="1" t="n">
        <v>44113</v>
      </c>
      <c r="C3624" s="1" t="n">
        <v>45204</v>
      </c>
      <c r="D3624" t="inlineStr">
        <is>
          <t>VÄSTERBOTTENS LÄN</t>
        </is>
      </c>
      <c r="E3624" t="inlineStr">
        <is>
          <t>SORSELE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51547-2020</t>
        </is>
      </c>
      <c r="B3625" s="1" t="n">
        <v>44113</v>
      </c>
      <c r="C3625" s="1" t="n">
        <v>45204</v>
      </c>
      <c r="D3625" t="inlineStr">
        <is>
          <t>VÄSTERBOTTENS LÄN</t>
        </is>
      </c>
      <c r="E3625" t="inlineStr">
        <is>
          <t>SKELLEFTEÅ</t>
        </is>
      </c>
      <c r="F3625" t="inlineStr">
        <is>
          <t>Holmen skog AB</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51907-2020</t>
        </is>
      </c>
      <c r="B3626" s="1" t="n">
        <v>44116</v>
      </c>
      <c r="C3626" s="1" t="n">
        <v>45204</v>
      </c>
      <c r="D3626" t="inlineStr">
        <is>
          <t>VÄSTERBOTTENS LÄN</t>
        </is>
      </c>
      <c r="E3626" t="inlineStr">
        <is>
          <t>SKELLEFTEÅ</t>
        </is>
      </c>
      <c r="F3626" t="inlineStr">
        <is>
          <t>Kommuner</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51958-2020</t>
        </is>
      </c>
      <c r="B3627" s="1" t="n">
        <v>44116</v>
      </c>
      <c r="C3627" s="1" t="n">
        <v>45204</v>
      </c>
      <c r="D3627" t="inlineStr">
        <is>
          <t>VÄSTERBOTTENS LÄN</t>
        </is>
      </c>
      <c r="E3627" t="inlineStr">
        <is>
          <t>ÅSELE</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52537-2020</t>
        </is>
      </c>
      <c r="B3628" s="1" t="n">
        <v>44116</v>
      </c>
      <c r="C3628" s="1" t="n">
        <v>45204</v>
      </c>
      <c r="D3628" t="inlineStr">
        <is>
          <t>VÄSTERBOTTENS LÄN</t>
        </is>
      </c>
      <c r="E3628" t="inlineStr">
        <is>
          <t>SKELLEFTEÅ</t>
        </is>
      </c>
      <c r="G3628" t="n">
        <v>3</v>
      </c>
      <c r="H3628" t="n">
        <v>0</v>
      </c>
      <c r="I3628" t="n">
        <v>0</v>
      </c>
      <c r="J3628" t="n">
        <v>0</v>
      </c>
      <c r="K3628" t="n">
        <v>0</v>
      </c>
      <c r="L3628" t="n">
        <v>0</v>
      </c>
      <c r="M3628" t="n">
        <v>0</v>
      </c>
      <c r="N3628" t="n">
        <v>0</v>
      </c>
      <c r="O3628" t="n">
        <v>0</v>
      </c>
      <c r="P3628" t="n">
        <v>0</v>
      </c>
      <c r="Q3628" t="n">
        <v>0</v>
      </c>
      <c r="R3628" s="2" t="inlineStr"/>
    </row>
    <row r="3629" ht="15" customHeight="1">
      <c r="A3629" t="inlineStr">
        <is>
          <t>A 52579-2020</t>
        </is>
      </c>
      <c r="B3629" s="1" t="n">
        <v>44116</v>
      </c>
      <c r="C3629" s="1" t="n">
        <v>45204</v>
      </c>
      <c r="D3629" t="inlineStr">
        <is>
          <t>VÄSTERBOTTENS LÄN</t>
        </is>
      </c>
      <c r="E3629" t="inlineStr">
        <is>
          <t>ROBERTSFORS</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51783-2020</t>
        </is>
      </c>
      <c r="B3630" s="1" t="n">
        <v>44116</v>
      </c>
      <c r="C3630" s="1" t="n">
        <v>45204</v>
      </c>
      <c r="D3630" t="inlineStr">
        <is>
          <t>VÄSTERBOTTENS LÄN</t>
        </is>
      </c>
      <c r="E3630" t="inlineStr">
        <is>
          <t>ROBERTSFORS</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52578-2020</t>
        </is>
      </c>
      <c r="B3631" s="1" t="n">
        <v>44116</v>
      </c>
      <c r="C3631" s="1" t="n">
        <v>45204</v>
      </c>
      <c r="D3631" t="inlineStr">
        <is>
          <t>VÄSTERBOTTENS LÄN</t>
        </is>
      </c>
      <c r="E3631" t="inlineStr">
        <is>
          <t>LYCKSELE</t>
        </is>
      </c>
      <c r="G3631" t="n">
        <v>6</v>
      </c>
      <c r="H3631" t="n">
        <v>0</v>
      </c>
      <c r="I3631" t="n">
        <v>0</v>
      </c>
      <c r="J3631" t="n">
        <v>0</v>
      </c>
      <c r="K3631" t="n">
        <v>0</v>
      </c>
      <c r="L3631" t="n">
        <v>0</v>
      </c>
      <c r="M3631" t="n">
        <v>0</v>
      </c>
      <c r="N3631" t="n">
        <v>0</v>
      </c>
      <c r="O3631" t="n">
        <v>0</v>
      </c>
      <c r="P3631" t="n">
        <v>0</v>
      </c>
      <c r="Q3631" t="n">
        <v>0</v>
      </c>
      <c r="R3631" s="2" t="inlineStr"/>
    </row>
    <row r="3632" ht="15" customHeight="1">
      <c r="A3632" t="inlineStr">
        <is>
          <t>A 52340-2020</t>
        </is>
      </c>
      <c r="B3632" s="1" t="n">
        <v>44117</v>
      </c>
      <c r="C3632" s="1" t="n">
        <v>45204</v>
      </c>
      <c r="D3632" t="inlineStr">
        <is>
          <t>VÄSTERBOTTENS LÄN</t>
        </is>
      </c>
      <c r="E3632" t="inlineStr">
        <is>
          <t>NORSJÖ</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52171-2020</t>
        </is>
      </c>
      <c r="B3633" s="1" t="n">
        <v>44117</v>
      </c>
      <c r="C3633" s="1" t="n">
        <v>45204</v>
      </c>
      <c r="D3633" t="inlineStr">
        <is>
          <t>VÄSTERBOTTENS LÄN</t>
        </is>
      </c>
      <c r="E3633" t="inlineStr">
        <is>
          <t>ÅSELE</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52292-2020</t>
        </is>
      </c>
      <c r="B3634" s="1" t="n">
        <v>44117</v>
      </c>
      <c r="C3634" s="1" t="n">
        <v>45204</v>
      </c>
      <c r="D3634" t="inlineStr">
        <is>
          <t>VÄSTERBOTTENS LÄN</t>
        </is>
      </c>
      <c r="E3634" t="inlineStr">
        <is>
          <t>SKELLEFTEÅ</t>
        </is>
      </c>
      <c r="F3634" t="inlineStr">
        <is>
          <t>Holmen skog AB</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52517-2020</t>
        </is>
      </c>
      <c r="B3635" s="1" t="n">
        <v>44118</v>
      </c>
      <c r="C3635" s="1" t="n">
        <v>45204</v>
      </c>
      <c r="D3635" t="inlineStr">
        <is>
          <t>VÄSTERBOTTENS LÄN</t>
        </is>
      </c>
      <c r="E3635" t="inlineStr">
        <is>
          <t>VINDELN</t>
        </is>
      </c>
      <c r="F3635" t="inlineStr">
        <is>
          <t>Sveaskog</t>
        </is>
      </c>
      <c r="G3635" t="n">
        <v>10.6</v>
      </c>
      <c r="H3635" t="n">
        <v>0</v>
      </c>
      <c r="I3635" t="n">
        <v>0</v>
      </c>
      <c r="J3635" t="n">
        <v>0</v>
      </c>
      <c r="K3635" t="n">
        <v>0</v>
      </c>
      <c r="L3635" t="n">
        <v>0</v>
      </c>
      <c r="M3635" t="n">
        <v>0</v>
      </c>
      <c r="N3635" t="n">
        <v>0</v>
      </c>
      <c r="O3635" t="n">
        <v>0</v>
      </c>
      <c r="P3635" t="n">
        <v>0</v>
      </c>
      <c r="Q3635" t="n">
        <v>0</v>
      </c>
      <c r="R3635" s="2" t="inlineStr"/>
    </row>
    <row r="3636" ht="15" customHeight="1">
      <c r="A3636" t="inlineStr">
        <is>
          <t>A 52575-2020</t>
        </is>
      </c>
      <c r="B3636" s="1" t="n">
        <v>44118</v>
      </c>
      <c r="C3636" s="1" t="n">
        <v>45204</v>
      </c>
      <c r="D3636" t="inlineStr">
        <is>
          <t>VÄSTERBOTTENS LÄN</t>
        </is>
      </c>
      <c r="E3636" t="inlineStr">
        <is>
          <t>DOROTEA</t>
        </is>
      </c>
      <c r="G3636" t="n">
        <v>12.5</v>
      </c>
      <c r="H3636" t="n">
        <v>0</v>
      </c>
      <c r="I3636" t="n">
        <v>0</v>
      </c>
      <c r="J3636" t="n">
        <v>0</v>
      </c>
      <c r="K3636" t="n">
        <v>0</v>
      </c>
      <c r="L3636" t="n">
        <v>0</v>
      </c>
      <c r="M3636" t="n">
        <v>0</v>
      </c>
      <c r="N3636" t="n">
        <v>0</v>
      </c>
      <c r="O3636" t="n">
        <v>0</v>
      </c>
      <c r="P3636" t="n">
        <v>0</v>
      </c>
      <c r="Q3636" t="n">
        <v>0</v>
      </c>
      <c r="R3636" s="2" t="inlineStr"/>
    </row>
    <row r="3637" ht="15" customHeight="1">
      <c r="A3637" t="inlineStr">
        <is>
          <t>A 55069-2020</t>
        </is>
      </c>
      <c r="B3637" s="1" t="n">
        <v>44118</v>
      </c>
      <c r="C3637" s="1" t="n">
        <v>45204</v>
      </c>
      <c r="D3637" t="inlineStr">
        <is>
          <t>VÄSTERBOTTENS LÄN</t>
        </is>
      </c>
      <c r="E3637" t="inlineStr">
        <is>
          <t>VINDELN</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52509-2020</t>
        </is>
      </c>
      <c r="B3638" s="1" t="n">
        <v>44118</v>
      </c>
      <c r="C3638" s="1" t="n">
        <v>45204</v>
      </c>
      <c r="D3638" t="inlineStr">
        <is>
          <t>VÄSTERBOTTENS LÄN</t>
        </is>
      </c>
      <c r="E3638" t="inlineStr">
        <is>
          <t>VINDELN</t>
        </is>
      </c>
      <c r="F3638" t="inlineStr">
        <is>
          <t>Sveaskog</t>
        </is>
      </c>
      <c r="G3638" t="n">
        <v>12.6</v>
      </c>
      <c r="H3638" t="n">
        <v>0</v>
      </c>
      <c r="I3638" t="n">
        <v>0</v>
      </c>
      <c r="J3638" t="n">
        <v>0</v>
      </c>
      <c r="K3638" t="n">
        <v>0</v>
      </c>
      <c r="L3638" t="n">
        <v>0</v>
      </c>
      <c r="M3638" t="n">
        <v>0</v>
      </c>
      <c r="N3638" t="n">
        <v>0</v>
      </c>
      <c r="O3638" t="n">
        <v>0</v>
      </c>
      <c r="P3638" t="n">
        <v>0</v>
      </c>
      <c r="Q3638" t="n">
        <v>0</v>
      </c>
      <c r="R3638" s="2" t="inlineStr"/>
    </row>
    <row r="3639" ht="15" customHeight="1">
      <c r="A3639" t="inlineStr">
        <is>
          <t>A 52525-2020</t>
        </is>
      </c>
      <c r="B3639" s="1" t="n">
        <v>44118</v>
      </c>
      <c r="C3639" s="1" t="n">
        <v>45204</v>
      </c>
      <c r="D3639" t="inlineStr">
        <is>
          <t>VÄSTERBOTTENS LÄN</t>
        </is>
      </c>
      <c r="E3639" t="inlineStr">
        <is>
          <t>NORDMALING</t>
        </is>
      </c>
      <c r="G3639" t="n">
        <v>16.3</v>
      </c>
      <c r="H3639" t="n">
        <v>0</v>
      </c>
      <c r="I3639" t="n">
        <v>0</v>
      </c>
      <c r="J3639" t="n">
        <v>0</v>
      </c>
      <c r="K3639" t="n">
        <v>0</v>
      </c>
      <c r="L3639" t="n">
        <v>0</v>
      </c>
      <c r="M3639" t="n">
        <v>0</v>
      </c>
      <c r="N3639" t="n">
        <v>0</v>
      </c>
      <c r="O3639" t="n">
        <v>0</v>
      </c>
      <c r="P3639" t="n">
        <v>0</v>
      </c>
      <c r="Q3639" t="n">
        <v>0</v>
      </c>
      <c r="R3639" s="2" t="inlineStr"/>
    </row>
    <row r="3640" ht="15" customHeight="1">
      <c r="A3640" t="inlineStr">
        <is>
          <t>A 52669-2020</t>
        </is>
      </c>
      <c r="B3640" s="1" t="n">
        <v>44118</v>
      </c>
      <c r="C3640" s="1" t="n">
        <v>45204</v>
      </c>
      <c r="D3640" t="inlineStr">
        <is>
          <t>VÄSTERBOTTENS LÄN</t>
        </is>
      </c>
      <c r="E3640" t="inlineStr">
        <is>
          <t>VILHELMINA</t>
        </is>
      </c>
      <c r="F3640" t="inlineStr">
        <is>
          <t>Allmännings- och besparingsskogar</t>
        </is>
      </c>
      <c r="G3640" t="n">
        <v>22.6</v>
      </c>
      <c r="H3640" t="n">
        <v>0</v>
      </c>
      <c r="I3640" t="n">
        <v>0</v>
      </c>
      <c r="J3640" t="n">
        <v>0</v>
      </c>
      <c r="K3640" t="n">
        <v>0</v>
      </c>
      <c r="L3640" t="n">
        <v>0</v>
      </c>
      <c r="M3640" t="n">
        <v>0</v>
      </c>
      <c r="N3640" t="n">
        <v>0</v>
      </c>
      <c r="O3640" t="n">
        <v>0</v>
      </c>
      <c r="P3640" t="n">
        <v>0</v>
      </c>
      <c r="Q3640" t="n">
        <v>0</v>
      </c>
      <c r="R3640" s="2" t="inlineStr"/>
    </row>
    <row r="3641" ht="15" customHeight="1">
      <c r="A3641" t="inlineStr">
        <is>
          <t>A 52640-2020</t>
        </is>
      </c>
      <c r="B3641" s="1" t="n">
        <v>44118</v>
      </c>
      <c r="C3641" s="1" t="n">
        <v>45204</v>
      </c>
      <c r="D3641" t="inlineStr">
        <is>
          <t>VÄSTERBOTTENS LÄN</t>
        </is>
      </c>
      <c r="E3641" t="inlineStr">
        <is>
          <t>SKELLEFTEÅ</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52864-2020</t>
        </is>
      </c>
      <c r="B3642" s="1" t="n">
        <v>44119</v>
      </c>
      <c r="C3642" s="1" t="n">
        <v>45204</v>
      </c>
      <c r="D3642" t="inlineStr">
        <is>
          <t>VÄSTERBOTTENS LÄN</t>
        </is>
      </c>
      <c r="E3642" t="inlineStr">
        <is>
          <t>MALÅ</t>
        </is>
      </c>
      <c r="F3642" t="inlineStr">
        <is>
          <t>Sveaskog</t>
        </is>
      </c>
      <c r="G3642" t="n">
        <v>26.4</v>
      </c>
      <c r="H3642" t="n">
        <v>0</v>
      </c>
      <c r="I3642" t="n">
        <v>0</v>
      </c>
      <c r="J3642" t="n">
        <v>0</v>
      </c>
      <c r="K3642" t="n">
        <v>0</v>
      </c>
      <c r="L3642" t="n">
        <v>0</v>
      </c>
      <c r="M3642" t="n">
        <v>0</v>
      </c>
      <c r="N3642" t="n">
        <v>0</v>
      </c>
      <c r="O3642" t="n">
        <v>0</v>
      </c>
      <c r="P3642" t="n">
        <v>0</v>
      </c>
      <c r="Q3642" t="n">
        <v>0</v>
      </c>
      <c r="R3642" s="2" t="inlineStr"/>
    </row>
    <row r="3643" ht="15" customHeight="1">
      <c r="A3643" t="inlineStr">
        <is>
          <t>A 52939-2020</t>
        </is>
      </c>
      <c r="B3643" s="1" t="n">
        <v>44119</v>
      </c>
      <c r="C3643" s="1" t="n">
        <v>45204</v>
      </c>
      <c r="D3643" t="inlineStr">
        <is>
          <t>VÄSTERBOTTENS LÄN</t>
        </is>
      </c>
      <c r="E3643" t="inlineStr">
        <is>
          <t>NORSJÖ</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52930-2020</t>
        </is>
      </c>
      <c r="B3644" s="1" t="n">
        <v>44119</v>
      </c>
      <c r="C3644" s="1" t="n">
        <v>45204</v>
      </c>
      <c r="D3644" t="inlineStr">
        <is>
          <t>VÄSTERBOTTENS LÄN</t>
        </is>
      </c>
      <c r="E3644" t="inlineStr">
        <is>
          <t>NORDMALING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52714-2020</t>
        </is>
      </c>
      <c r="B3645" s="1" t="n">
        <v>44119</v>
      </c>
      <c r="C3645" s="1" t="n">
        <v>45204</v>
      </c>
      <c r="D3645" t="inlineStr">
        <is>
          <t>VÄSTERBOTTENS LÄN</t>
        </is>
      </c>
      <c r="E3645" t="inlineStr">
        <is>
          <t>SKELLEFTEÅ</t>
        </is>
      </c>
      <c r="F3645" t="inlineStr">
        <is>
          <t>Holmen skog AB</t>
        </is>
      </c>
      <c r="G3645" t="n">
        <v>4.6</v>
      </c>
      <c r="H3645" t="n">
        <v>0</v>
      </c>
      <c r="I3645" t="n">
        <v>0</v>
      </c>
      <c r="J3645" t="n">
        <v>0</v>
      </c>
      <c r="K3645" t="n">
        <v>0</v>
      </c>
      <c r="L3645" t="n">
        <v>0</v>
      </c>
      <c r="M3645" t="n">
        <v>0</v>
      </c>
      <c r="N3645" t="n">
        <v>0</v>
      </c>
      <c r="O3645" t="n">
        <v>0</v>
      </c>
      <c r="P3645" t="n">
        <v>0</v>
      </c>
      <c r="Q3645" t="n">
        <v>0</v>
      </c>
      <c r="R3645" s="2" t="inlineStr"/>
    </row>
    <row r="3646" ht="15" customHeight="1">
      <c r="A3646" t="inlineStr">
        <is>
          <t>A 52833-2020</t>
        </is>
      </c>
      <c r="B3646" s="1" t="n">
        <v>44119</v>
      </c>
      <c r="C3646" s="1" t="n">
        <v>45204</v>
      </c>
      <c r="D3646" t="inlineStr">
        <is>
          <t>VÄSTERBOTTENS LÄN</t>
        </is>
      </c>
      <c r="E3646" t="inlineStr">
        <is>
          <t>ROBERTSFORS</t>
        </is>
      </c>
      <c r="F3646" t="inlineStr">
        <is>
          <t>Holmen skog AB</t>
        </is>
      </c>
      <c r="G3646" t="n">
        <v>11.6</v>
      </c>
      <c r="H3646" t="n">
        <v>0</v>
      </c>
      <c r="I3646" t="n">
        <v>0</v>
      </c>
      <c r="J3646" t="n">
        <v>0</v>
      </c>
      <c r="K3646" t="n">
        <v>0</v>
      </c>
      <c r="L3646" t="n">
        <v>0</v>
      </c>
      <c r="M3646" t="n">
        <v>0</v>
      </c>
      <c r="N3646" t="n">
        <v>0</v>
      </c>
      <c r="O3646" t="n">
        <v>0</v>
      </c>
      <c r="P3646" t="n">
        <v>0</v>
      </c>
      <c r="Q3646" t="n">
        <v>0</v>
      </c>
      <c r="R3646" s="2" t="inlineStr"/>
    </row>
    <row r="3647" ht="15" customHeight="1">
      <c r="A3647" t="inlineStr">
        <is>
          <t>A 53181-2020</t>
        </is>
      </c>
      <c r="B3647" s="1" t="n">
        <v>44120</v>
      </c>
      <c r="C3647" s="1" t="n">
        <v>45204</v>
      </c>
      <c r="D3647" t="inlineStr">
        <is>
          <t>VÄSTERBOTTENS LÄN</t>
        </is>
      </c>
      <c r="E3647" t="inlineStr">
        <is>
          <t>VINDELN</t>
        </is>
      </c>
      <c r="F3647" t="inlineStr">
        <is>
          <t>SCA</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53053-2020</t>
        </is>
      </c>
      <c r="B3648" s="1" t="n">
        <v>44120</v>
      </c>
      <c r="C3648" s="1" t="n">
        <v>45204</v>
      </c>
      <c r="D3648" t="inlineStr">
        <is>
          <t>VÄSTERBOTTENS LÄN</t>
        </is>
      </c>
      <c r="E3648" t="inlineStr">
        <is>
          <t>LYCKSELE</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53146-2020</t>
        </is>
      </c>
      <c r="B3649" s="1" t="n">
        <v>44120</v>
      </c>
      <c r="C3649" s="1" t="n">
        <v>45204</v>
      </c>
      <c r="D3649" t="inlineStr">
        <is>
          <t>VÄSTERBOTTENS LÄN</t>
        </is>
      </c>
      <c r="E3649" t="inlineStr">
        <is>
          <t>LYCKSELE</t>
        </is>
      </c>
      <c r="F3649" t="inlineStr">
        <is>
          <t>Sveaskog</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53074-2020</t>
        </is>
      </c>
      <c r="B3650" s="1" t="n">
        <v>44120</v>
      </c>
      <c r="C3650" s="1" t="n">
        <v>45204</v>
      </c>
      <c r="D3650" t="inlineStr">
        <is>
          <t>VÄSTERBOTTENS LÄN</t>
        </is>
      </c>
      <c r="E3650" t="inlineStr">
        <is>
          <t>LYCKSELE</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53114-2020</t>
        </is>
      </c>
      <c r="B3651" s="1" t="n">
        <v>44120</v>
      </c>
      <c r="C3651" s="1" t="n">
        <v>45204</v>
      </c>
      <c r="D3651" t="inlineStr">
        <is>
          <t>VÄSTERBOTTENS LÄN</t>
        </is>
      </c>
      <c r="E3651" t="inlineStr">
        <is>
          <t>SKELLEFTEÅ</t>
        </is>
      </c>
      <c r="G3651" t="n">
        <v>6.1</v>
      </c>
      <c r="H3651" t="n">
        <v>0</v>
      </c>
      <c r="I3651" t="n">
        <v>0</v>
      </c>
      <c r="J3651" t="n">
        <v>0</v>
      </c>
      <c r="K3651" t="n">
        <v>0</v>
      </c>
      <c r="L3651" t="n">
        <v>0</v>
      </c>
      <c r="M3651" t="n">
        <v>0</v>
      </c>
      <c r="N3651" t="n">
        <v>0</v>
      </c>
      <c r="O3651" t="n">
        <v>0</v>
      </c>
      <c r="P3651" t="n">
        <v>0</v>
      </c>
      <c r="Q3651" t="n">
        <v>0</v>
      </c>
      <c r="R3651" s="2" t="inlineStr"/>
    </row>
    <row r="3652" ht="15" customHeight="1">
      <c r="A3652" t="inlineStr">
        <is>
          <t>A 53180-2020</t>
        </is>
      </c>
      <c r="B3652" s="1" t="n">
        <v>44120</v>
      </c>
      <c r="C3652" s="1" t="n">
        <v>45204</v>
      </c>
      <c r="D3652" t="inlineStr">
        <is>
          <t>VÄSTERBOTTENS LÄN</t>
        </is>
      </c>
      <c r="E3652" t="inlineStr">
        <is>
          <t>LYCKSELE</t>
        </is>
      </c>
      <c r="F3652" t="inlineStr">
        <is>
          <t>SCA</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52969-2020</t>
        </is>
      </c>
      <c r="B3653" s="1" t="n">
        <v>44120</v>
      </c>
      <c r="C3653" s="1" t="n">
        <v>45204</v>
      </c>
      <c r="D3653" t="inlineStr">
        <is>
          <t>VÄSTERBOTTENS LÄN</t>
        </is>
      </c>
      <c r="E3653" t="inlineStr">
        <is>
          <t>DOROTEA</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53433-2020</t>
        </is>
      </c>
      <c r="B3654" s="1" t="n">
        <v>44122</v>
      </c>
      <c r="C3654" s="1" t="n">
        <v>45204</v>
      </c>
      <c r="D3654" t="inlineStr">
        <is>
          <t>VÄSTERBOTTENS LÄN</t>
        </is>
      </c>
      <c r="E3654" t="inlineStr">
        <is>
          <t>ROBERTSFORS</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53425-2020</t>
        </is>
      </c>
      <c r="B3655" s="1" t="n">
        <v>44122</v>
      </c>
      <c r="C3655" s="1" t="n">
        <v>45204</v>
      </c>
      <c r="D3655" t="inlineStr">
        <is>
          <t>VÄSTERBOTTENS LÄN</t>
        </is>
      </c>
      <c r="E3655" t="inlineStr">
        <is>
          <t>ROBERTSFORS</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53408-2020</t>
        </is>
      </c>
      <c r="B3656" s="1" t="n">
        <v>44123</v>
      </c>
      <c r="C3656" s="1" t="n">
        <v>45204</v>
      </c>
      <c r="D3656" t="inlineStr">
        <is>
          <t>VÄSTERBOTTENS LÄN</t>
        </is>
      </c>
      <c r="E3656" t="inlineStr">
        <is>
          <t>LYCKSELE</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53469-2020</t>
        </is>
      </c>
      <c r="B3657" s="1" t="n">
        <v>44123</v>
      </c>
      <c r="C3657" s="1" t="n">
        <v>45204</v>
      </c>
      <c r="D3657" t="inlineStr">
        <is>
          <t>VÄSTERBOTTENS LÄN</t>
        </is>
      </c>
      <c r="E3657" t="inlineStr">
        <is>
          <t>LYCKSELE</t>
        </is>
      </c>
      <c r="F3657" t="inlineStr">
        <is>
          <t>Holmen skog AB</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53965-2020</t>
        </is>
      </c>
      <c r="B3658" s="1" t="n">
        <v>44123</v>
      </c>
      <c r="C3658" s="1" t="n">
        <v>45204</v>
      </c>
      <c r="D3658" t="inlineStr">
        <is>
          <t>VÄSTERBOTTENS LÄN</t>
        </is>
      </c>
      <c r="E3658" t="inlineStr">
        <is>
          <t>VINDELN</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54045-2020</t>
        </is>
      </c>
      <c r="B3659" s="1" t="n">
        <v>44123</v>
      </c>
      <c r="C3659" s="1" t="n">
        <v>45204</v>
      </c>
      <c r="D3659" t="inlineStr">
        <is>
          <t>VÄSTERBOTTENS LÄN</t>
        </is>
      </c>
      <c r="E3659" t="inlineStr">
        <is>
          <t>BJURHOLM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53758-2020</t>
        </is>
      </c>
      <c r="B3660" s="1" t="n">
        <v>44123</v>
      </c>
      <c r="C3660" s="1" t="n">
        <v>45204</v>
      </c>
      <c r="D3660" t="inlineStr">
        <is>
          <t>VÄSTERBOTTENS LÄN</t>
        </is>
      </c>
      <c r="E3660" t="inlineStr">
        <is>
          <t>VÄNNÄS</t>
        </is>
      </c>
      <c r="G3660" t="n">
        <v>2.7</v>
      </c>
      <c r="H3660" t="n">
        <v>0</v>
      </c>
      <c r="I3660" t="n">
        <v>0</v>
      </c>
      <c r="J3660" t="n">
        <v>0</v>
      </c>
      <c r="K3660" t="n">
        <v>0</v>
      </c>
      <c r="L3660" t="n">
        <v>0</v>
      </c>
      <c r="M3660" t="n">
        <v>0</v>
      </c>
      <c r="N3660" t="n">
        <v>0</v>
      </c>
      <c r="O3660" t="n">
        <v>0</v>
      </c>
      <c r="P3660" t="n">
        <v>0</v>
      </c>
      <c r="Q3660" t="n">
        <v>0</v>
      </c>
      <c r="R3660" s="2" t="inlineStr"/>
    </row>
    <row r="3661" ht="15" customHeight="1">
      <c r="A3661" t="inlineStr">
        <is>
          <t>A 54038-2020</t>
        </is>
      </c>
      <c r="B3661" s="1" t="n">
        <v>44123</v>
      </c>
      <c r="C3661" s="1" t="n">
        <v>45204</v>
      </c>
      <c r="D3661" t="inlineStr">
        <is>
          <t>VÄSTERBOTTENS LÄN</t>
        </is>
      </c>
      <c r="E3661" t="inlineStr">
        <is>
          <t>VINDELN</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54144-2020</t>
        </is>
      </c>
      <c r="B3662" s="1" t="n">
        <v>44123</v>
      </c>
      <c r="C3662" s="1" t="n">
        <v>45204</v>
      </c>
      <c r="D3662" t="inlineStr">
        <is>
          <t>VÄSTERBOTTENS LÄN</t>
        </is>
      </c>
      <c r="E3662" t="inlineStr">
        <is>
          <t>ROBERTSFORS</t>
        </is>
      </c>
      <c r="G3662" t="n">
        <v>5.2</v>
      </c>
      <c r="H3662" t="n">
        <v>0</v>
      </c>
      <c r="I3662" t="n">
        <v>0</v>
      </c>
      <c r="J3662" t="n">
        <v>0</v>
      </c>
      <c r="K3662" t="n">
        <v>0</v>
      </c>
      <c r="L3662" t="n">
        <v>0</v>
      </c>
      <c r="M3662" t="n">
        <v>0</v>
      </c>
      <c r="N3662" t="n">
        <v>0</v>
      </c>
      <c r="O3662" t="n">
        <v>0</v>
      </c>
      <c r="P3662" t="n">
        <v>0</v>
      </c>
      <c r="Q3662" t="n">
        <v>0</v>
      </c>
      <c r="R3662" s="2" t="inlineStr"/>
    </row>
    <row r="3663" ht="15" customHeight="1">
      <c r="A3663" t="inlineStr">
        <is>
          <t>A 53373-2020</t>
        </is>
      </c>
      <c r="B3663" s="1" t="n">
        <v>44123</v>
      </c>
      <c r="C3663" s="1" t="n">
        <v>45204</v>
      </c>
      <c r="D3663" t="inlineStr">
        <is>
          <t>VÄSTERBOTTENS LÄN</t>
        </is>
      </c>
      <c r="E3663" t="inlineStr">
        <is>
          <t>SKELLEFTEÅ</t>
        </is>
      </c>
      <c r="F3663" t="inlineStr">
        <is>
          <t>Holmen skog AB</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53448-2020</t>
        </is>
      </c>
      <c r="B3664" s="1" t="n">
        <v>44123</v>
      </c>
      <c r="C3664" s="1" t="n">
        <v>45204</v>
      </c>
      <c r="D3664" t="inlineStr">
        <is>
          <t>VÄSTERBOTTENS LÄN</t>
        </is>
      </c>
      <c r="E3664" t="inlineStr">
        <is>
          <t>UMEÅ</t>
        </is>
      </c>
      <c r="F3664" t="inlineStr">
        <is>
          <t>Holmen skog AB</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54708-2020</t>
        </is>
      </c>
      <c r="B3665" s="1" t="n">
        <v>44123</v>
      </c>
      <c r="C3665" s="1" t="n">
        <v>45204</v>
      </c>
      <c r="D3665" t="inlineStr">
        <is>
          <t>VÄSTERBOTTENS LÄN</t>
        </is>
      </c>
      <c r="E3665" t="inlineStr">
        <is>
          <t>VINDELN</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53294-2020</t>
        </is>
      </c>
      <c r="B3666" s="1" t="n">
        <v>44123</v>
      </c>
      <c r="C3666" s="1" t="n">
        <v>45204</v>
      </c>
      <c r="D3666" t="inlineStr">
        <is>
          <t>VÄSTERBOTTENS LÄN</t>
        </is>
      </c>
      <c r="E3666" t="inlineStr">
        <is>
          <t>UMEÅ</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53446-2020</t>
        </is>
      </c>
      <c r="B3667" s="1" t="n">
        <v>44123</v>
      </c>
      <c r="C3667" s="1" t="n">
        <v>45204</v>
      </c>
      <c r="D3667" t="inlineStr">
        <is>
          <t>VÄSTERBOTTENS LÄN</t>
        </is>
      </c>
      <c r="E3667" t="inlineStr">
        <is>
          <t>LYCKSELE</t>
        </is>
      </c>
      <c r="F3667" t="inlineStr">
        <is>
          <t>Holmen skog AB</t>
        </is>
      </c>
      <c r="G3667" t="n">
        <v>0.2</v>
      </c>
      <c r="H3667" t="n">
        <v>0</v>
      </c>
      <c r="I3667" t="n">
        <v>0</v>
      </c>
      <c r="J3667" t="n">
        <v>0</v>
      </c>
      <c r="K3667" t="n">
        <v>0</v>
      </c>
      <c r="L3667" t="n">
        <v>0</v>
      </c>
      <c r="M3667" t="n">
        <v>0</v>
      </c>
      <c r="N3667" t="n">
        <v>0</v>
      </c>
      <c r="O3667" t="n">
        <v>0</v>
      </c>
      <c r="P3667" t="n">
        <v>0</v>
      </c>
      <c r="Q3667" t="n">
        <v>0</v>
      </c>
      <c r="R3667" s="2" t="inlineStr"/>
    </row>
    <row r="3668" ht="15" customHeight="1">
      <c r="A3668" t="inlineStr">
        <is>
          <t>A 53782-2020</t>
        </is>
      </c>
      <c r="B3668" s="1" t="n">
        <v>44123</v>
      </c>
      <c r="C3668" s="1" t="n">
        <v>45204</v>
      </c>
      <c r="D3668" t="inlineStr">
        <is>
          <t>VÄSTERBOTTENS LÄN</t>
        </is>
      </c>
      <c r="E3668" t="inlineStr">
        <is>
          <t>UMEÅ</t>
        </is>
      </c>
      <c r="G3668" t="n">
        <v>9.199999999999999</v>
      </c>
      <c r="H3668" t="n">
        <v>0</v>
      </c>
      <c r="I3668" t="n">
        <v>0</v>
      </c>
      <c r="J3668" t="n">
        <v>0</v>
      </c>
      <c r="K3668" t="n">
        <v>0</v>
      </c>
      <c r="L3668" t="n">
        <v>0</v>
      </c>
      <c r="M3668" t="n">
        <v>0</v>
      </c>
      <c r="N3668" t="n">
        <v>0</v>
      </c>
      <c r="O3668" t="n">
        <v>0</v>
      </c>
      <c r="P3668" t="n">
        <v>0</v>
      </c>
      <c r="Q3668" t="n">
        <v>0</v>
      </c>
      <c r="R3668" s="2" t="inlineStr"/>
    </row>
    <row r="3669" ht="15" customHeight="1">
      <c r="A3669" t="inlineStr">
        <is>
          <t>A 53836-2020</t>
        </is>
      </c>
      <c r="B3669" s="1" t="n">
        <v>44124</v>
      </c>
      <c r="C3669" s="1" t="n">
        <v>45204</v>
      </c>
      <c r="D3669" t="inlineStr">
        <is>
          <t>VÄSTERBOTTENS LÄN</t>
        </is>
      </c>
      <c r="E3669" t="inlineStr">
        <is>
          <t>UMEÅ</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53585-2020</t>
        </is>
      </c>
      <c r="B3670" s="1" t="n">
        <v>44124</v>
      </c>
      <c r="C3670" s="1" t="n">
        <v>45204</v>
      </c>
      <c r="D3670" t="inlineStr">
        <is>
          <t>VÄSTERBOTTENS LÄN</t>
        </is>
      </c>
      <c r="E3670" t="inlineStr">
        <is>
          <t>VINDELN</t>
        </is>
      </c>
      <c r="F3670" t="inlineStr">
        <is>
          <t>Sveaskog</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54265-2020</t>
        </is>
      </c>
      <c r="B3671" s="1" t="n">
        <v>44124</v>
      </c>
      <c r="C3671" s="1" t="n">
        <v>45204</v>
      </c>
      <c r="D3671" t="inlineStr">
        <is>
          <t>VÄSTERBOTTENS LÄN</t>
        </is>
      </c>
      <c r="E3671" t="inlineStr">
        <is>
          <t>VINDELN</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54436-2020</t>
        </is>
      </c>
      <c r="B3672" s="1" t="n">
        <v>44124</v>
      </c>
      <c r="C3672" s="1" t="n">
        <v>45204</v>
      </c>
      <c r="D3672" t="inlineStr">
        <is>
          <t>VÄSTERBOTTENS LÄN</t>
        </is>
      </c>
      <c r="E3672" t="inlineStr">
        <is>
          <t>UMEÅ</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53531-2020</t>
        </is>
      </c>
      <c r="B3673" s="1" t="n">
        <v>44124</v>
      </c>
      <c r="C3673" s="1" t="n">
        <v>45204</v>
      </c>
      <c r="D3673" t="inlineStr">
        <is>
          <t>VÄSTERBOTTENS LÄN</t>
        </is>
      </c>
      <c r="E3673" t="inlineStr">
        <is>
          <t>VINDELN</t>
        </is>
      </c>
      <c r="F3673" t="inlineStr">
        <is>
          <t>Sveaskog</t>
        </is>
      </c>
      <c r="G3673" t="n">
        <v>5.1</v>
      </c>
      <c r="H3673" t="n">
        <v>0</v>
      </c>
      <c r="I3673" t="n">
        <v>0</v>
      </c>
      <c r="J3673" t="n">
        <v>0</v>
      </c>
      <c r="K3673" t="n">
        <v>0</v>
      </c>
      <c r="L3673" t="n">
        <v>0</v>
      </c>
      <c r="M3673" t="n">
        <v>0</v>
      </c>
      <c r="N3673" t="n">
        <v>0</v>
      </c>
      <c r="O3673" t="n">
        <v>0</v>
      </c>
      <c r="P3673" t="n">
        <v>0</v>
      </c>
      <c r="Q3673" t="n">
        <v>0</v>
      </c>
      <c r="R3673" s="2" t="inlineStr"/>
    </row>
    <row r="3674" ht="15" customHeight="1">
      <c r="A3674" t="inlineStr">
        <is>
          <t>A 53559-2020</t>
        </is>
      </c>
      <c r="B3674" s="1" t="n">
        <v>44124</v>
      </c>
      <c r="C3674" s="1" t="n">
        <v>45204</v>
      </c>
      <c r="D3674" t="inlineStr">
        <is>
          <t>VÄSTERBOTTENS LÄN</t>
        </is>
      </c>
      <c r="E3674" t="inlineStr">
        <is>
          <t>ROBERTSFORS</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54356-2020</t>
        </is>
      </c>
      <c r="B3675" s="1" t="n">
        <v>44125</v>
      </c>
      <c r="C3675" s="1" t="n">
        <v>45204</v>
      </c>
      <c r="D3675" t="inlineStr">
        <is>
          <t>VÄSTERBOTTENS LÄN</t>
        </is>
      </c>
      <c r="E3675" t="inlineStr">
        <is>
          <t>SKELLEFTEÅ</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54032-2020</t>
        </is>
      </c>
      <c r="B3676" s="1" t="n">
        <v>44125</v>
      </c>
      <c r="C3676" s="1" t="n">
        <v>45204</v>
      </c>
      <c r="D3676" t="inlineStr">
        <is>
          <t>VÄSTERBOTTENS LÄN</t>
        </is>
      </c>
      <c r="E3676" t="inlineStr">
        <is>
          <t>VINDELN</t>
        </is>
      </c>
      <c r="F3676" t="inlineStr">
        <is>
          <t>Sveaskog</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54459-2020</t>
        </is>
      </c>
      <c r="B3677" s="1" t="n">
        <v>44125</v>
      </c>
      <c r="C3677" s="1" t="n">
        <v>45204</v>
      </c>
      <c r="D3677" t="inlineStr">
        <is>
          <t>VÄSTERBOTTENS LÄN</t>
        </is>
      </c>
      <c r="E3677" t="inlineStr">
        <is>
          <t>NORDMALING</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54653-2020</t>
        </is>
      </c>
      <c r="B3678" s="1" t="n">
        <v>44125</v>
      </c>
      <c r="C3678" s="1" t="n">
        <v>45204</v>
      </c>
      <c r="D3678" t="inlineStr">
        <is>
          <t>VÄSTERBOTTENS LÄN</t>
        </is>
      </c>
      <c r="E3678" t="inlineStr">
        <is>
          <t>ÅSELE</t>
        </is>
      </c>
      <c r="G3678" t="n">
        <v>13.5</v>
      </c>
      <c r="H3678" t="n">
        <v>0</v>
      </c>
      <c r="I3678" t="n">
        <v>0</v>
      </c>
      <c r="J3678" t="n">
        <v>0</v>
      </c>
      <c r="K3678" t="n">
        <v>0</v>
      </c>
      <c r="L3678" t="n">
        <v>0</v>
      </c>
      <c r="M3678" t="n">
        <v>0</v>
      </c>
      <c r="N3678" t="n">
        <v>0</v>
      </c>
      <c r="O3678" t="n">
        <v>0</v>
      </c>
      <c r="P3678" t="n">
        <v>0</v>
      </c>
      <c r="Q3678" t="n">
        <v>0</v>
      </c>
      <c r="R3678" s="2" t="inlineStr"/>
    </row>
    <row r="3679" ht="15" customHeight="1">
      <c r="A3679" t="inlineStr">
        <is>
          <t>A 53937-2020</t>
        </is>
      </c>
      <c r="B3679" s="1" t="n">
        <v>44125</v>
      </c>
      <c r="C3679" s="1" t="n">
        <v>45204</v>
      </c>
      <c r="D3679" t="inlineStr">
        <is>
          <t>VÄSTERBOTTENS LÄN</t>
        </is>
      </c>
      <c r="E3679" t="inlineStr">
        <is>
          <t>VINDELN</t>
        </is>
      </c>
      <c r="F3679" t="inlineStr">
        <is>
          <t>Holmen skog AB</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54030-2020</t>
        </is>
      </c>
      <c r="B3680" s="1" t="n">
        <v>44125</v>
      </c>
      <c r="C3680" s="1" t="n">
        <v>45204</v>
      </c>
      <c r="D3680" t="inlineStr">
        <is>
          <t>VÄSTERBOTTENS LÄN</t>
        </is>
      </c>
      <c r="E3680" t="inlineStr">
        <is>
          <t>VINDELN</t>
        </is>
      </c>
      <c r="F3680" t="inlineStr">
        <is>
          <t>Sveaskog</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54519-2020</t>
        </is>
      </c>
      <c r="B3681" s="1" t="n">
        <v>44126</v>
      </c>
      <c r="C3681" s="1" t="n">
        <v>45204</v>
      </c>
      <c r="D3681" t="inlineStr">
        <is>
          <t>VÄSTERBOTTENS LÄN</t>
        </is>
      </c>
      <c r="E3681" t="inlineStr">
        <is>
          <t>MALÅ</t>
        </is>
      </c>
      <c r="F3681" t="inlineStr">
        <is>
          <t>Sveaskog</t>
        </is>
      </c>
      <c r="G3681" t="n">
        <v>9.300000000000001</v>
      </c>
      <c r="H3681" t="n">
        <v>0</v>
      </c>
      <c r="I3681" t="n">
        <v>0</v>
      </c>
      <c r="J3681" t="n">
        <v>0</v>
      </c>
      <c r="K3681" t="n">
        <v>0</v>
      </c>
      <c r="L3681" t="n">
        <v>0</v>
      </c>
      <c r="M3681" t="n">
        <v>0</v>
      </c>
      <c r="N3681" t="n">
        <v>0</v>
      </c>
      <c r="O3681" t="n">
        <v>0</v>
      </c>
      <c r="P3681" t="n">
        <v>0</v>
      </c>
      <c r="Q3681" t="n">
        <v>0</v>
      </c>
      <c r="R3681" s="2" t="inlineStr"/>
    </row>
    <row r="3682" ht="15" customHeight="1">
      <c r="A3682" t="inlineStr">
        <is>
          <t>A 54510-2020</t>
        </is>
      </c>
      <c r="B3682" s="1" t="n">
        <v>44126</v>
      </c>
      <c r="C3682" s="1" t="n">
        <v>45204</v>
      </c>
      <c r="D3682" t="inlineStr">
        <is>
          <t>VÄSTERBOTTENS LÄN</t>
        </is>
      </c>
      <c r="E3682" t="inlineStr">
        <is>
          <t>MALÅ</t>
        </is>
      </c>
      <c r="F3682" t="inlineStr">
        <is>
          <t>Sveaskog</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54554-2020</t>
        </is>
      </c>
      <c r="B3683" s="1" t="n">
        <v>44126</v>
      </c>
      <c r="C3683" s="1" t="n">
        <v>45204</v>
      </c>
      <c r="D3683" t="inlineStr">
        <is>
          <t>VÄSTERBOTTENS LÄN</t>
        </is>
      </c>
      <c r="E3683" t="inlineStr">
        <is>
          <t>LYCKSELE</t>
        </is>
      </c>
      <c r="F3683" t="inlineStr">
        <is>
          <t>Holmen skog AB</t>
        </is>
      </c>
      <c r="G3683" t="n">
        <v>8.9</v>
      </c>
      <c r="H3683" t="n">
        <v>0</v>
      </c>
      <c r="I3683" t="n">
        <v>0</v>
      </c>
      <c r="J3683" t="n">
        <v>0</v>
      </c>
      <c r="K3683" t="n">
        <v>0</v>
      </c>
      <c r="L3683" t="n">
        <v>0</v>
      </c>
      <c r="M3683" t="n">
        <v>0</v>
      </c>
      <c r="N3683" t="n">
        <v>0</v>
      </c>
      <c r="O3683" t="n">
        <v>0</v>
      </c>
      <c r="P3683" t="n">
        <v>0</v>
      </c>
      <c r="Q3683" t="n">
        <v>0</v>
      </c>
      <c r="R3683" s="2" t="inlineStr"/>
    </row>
    <row r="3684" ht="15" customHeight="1">
      <c r="A3684" t="inlineStr">
        <is>
          <t>A 54872-2020</t>
        </is>
      </c>
      <c r="B3684" s="1" t="n">
        <v>44126</v>
      </c>
      <c r="C3684" s="1" t="n">
        <v>45204</v>
      </c>
      <c r="D3684" t="inlineStr">
        <is>
          <t>VÄSTERBOTTENS LÄN</t>
        </is>
      </c>
      <c r="E3684" t="inlineStr">
        <is>
          <t>SKELLEFTEÅ</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54438-2020</t>
        </is>
      </c>
      <c r="B3685" s="1" t="n">
        <v>44126</v>
      </c>
      <c r="C3685" s="1" t="n">
        <v>45204</v>
      </c>
      <c r="D3685" t="inlineStr">
        <is>
          <t>VÄSTERBOTTENS LÄN</t>
        </is>
      </c>
      <c r="E3685" t="inlineStr">
        <is>
          <t>ROBERTSFORS</t>
        </is>
      </c>
      <c r="F3685" t="inlineStr">
        <is>
          <t>Holmen skog AB</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54850-2020</t>
        </is>
      </c>
      <c r="B3686" s="1" t="n">
        <v>44126</v>
      </c>
      <c r="C3686" s="1" t="n">
        <v>45204</v>
      </c>
      <c r="D3686" t="inlineStr">
        <is>
          <t>VÄSTERBOTTENS LÄN</t>
        </is>
      </c>
      <c r="E3686" t="inlineStr">
        <is>
          <t>SKELLEFTEÅ</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54879-2020</t>
        </is>
      </c>
      <c r="B3687" s="1" t="n">
        <v>44126</v>
      </c>
      <c r="C3687" s="1" t="n">
        <v>45204</v>
      </c>
      <c r="D3687" t="inlineStr">
        <is>
          <t>VÄSTERBOTTENS LÄN</t>
        </is>
      </c>
      <c r="E3687" t="inlineStr">
        <is>
          <t>VINDELN</t>
        </is>
      </c>
      <c r="G3687" t="n">
        <v>4.5</v>
      </c>
      <c r="H3687" t="n">
        <v>0</v>
      </c>
      <c r="I3687" t="n">
        <v>0</v>
      </c>
      <c r="J3687" t="n">
        <v>0</v>
      </c>
      <c r="K3687" t="n">
        <v>0</v>
      </c>
      <c r="L3687" t="n">
        <v>0</v>
      </c>
      <c r="M3687" t="n">
        <v>0</v>
      </c>
      <c r="N3687" t="n">
        <v>0</v>
      </c>
      <c r="O3687" t="n">
        <v>0</v>
      </c>
      <c r="P3687" t="n">
        <v>0</v>
      </c>
      <c r="Q3687" t="n">
        <v>0</v>
      </c>
      <c r="R3687" s="2" t="inlineStr"/>
    </row>
    <row r="3688" ht="15" customHeight="1">
      <c r="A3688" t="inlineStr">
        <is>
          <t>A 54896-2020</t>
        </is>
      </c>
      <c r="B3688" s="1" t="n">
        <v>44126</v>
      </c>
      <c r="C3688" s="1" t="n">
        <v>45204</v>
      </c>
      <c r="D3688" t="inlineStr">
        <is>
          <t>VÄSTERBOTTENS LÄN</t>
        </is>
      </c>
      <c r="E3688" t="inlineStr">
        <is>
          <t>MALÅ</t>
        </is>
      </c>
      <c r="G3688" t="n">
        <v>18.3</v>
      </c>
      <c r="H3688" t="n">
        <v>0</v>
      </c>
      <c r="I3688" t="n">
        <v>0</v>
      </c>
      <c r="J3688" t="n">
        <v>0</v>
      </c>
      <c r="K3688" t="n">
        <v>0</v>
      </c>
      <c r="L3688" t="n">
        <v>0</v>
      </c>
      <c r="M3688" t="n">
        <v>0</v>
      </c>
      <c r="N3688" t="n">
        <v>0</v>
      </c>
      <c r="O3688" t="n">
        <v>0</v>
      </c>
      <c r="P3688" t="n">
        <v>0</v>
      </c>
      <c r="Q3688" t="n">
        <v>0</v>
      </c>
      <c r="R3688" s="2" t="inlineStr"/>
    </row>
    <row r="3689" ht="15" customHeight="1">
      <c r="A3689" t="inlineStr">
        <is>
          <t>A 54662-2020</t>
        </is>
      </c>
      <c r="B3689" s="1" t="n">
        <v>44127</v>
      </c>
      <c r="C3689" s="1" t="n">
        <v>45204</v>
      </c>
      <c r="D3689" t="inlineStr">
        <is>
          <t>VÄSTERBOTTENS LÄN</t>
        </is>
      </c>
      <c r="E3689" t="inlineStr">
        <is>
          <t>SKELLEFTEÅ</t>
        </is>
      </c>
      <c r="F3689" t="inlineStr">
        <is>
          <t>Holmen skog AB</t>
        </is>
      </c>
      <c r="G3689" t="n">
        <v>13.4</v>
      </c>
      <c r="H3689" t="n">
        <v>0</v>
      </c>
      <c r="I3689" t="n">
        <v>0</v>
      </c>
      <c r="J3689" t="n">
        <v>0</v>
      </c>
      <c r="K3689" t="n">
        <v>0</v>
      </c>
      <c r="L3689" t="n">
        <v>0</v>
      </c>
      <c r="M3689" t="n">
        <v>0</v>
      </c>
      <c r="N3689" t="n">
        <v>0</v>
      </c>
      <c r="O3689" t="n">
        <v>0</v>
      </c>
      <c r="P3689" t="n">
        <v>0</v>
      </c>
      <c r="Q3689" t="n">
        <v>0</v>
      </c>
      <c r="R3689" s="2" t="inlineStr"/>
    </row>
    <row r="3690" ht="15" customHeight="1">
      <c r="A3690" t="inlineStr">
        <is>
          <t>A 54734-2020</t>
        </is>
      </c>
      <c r="B3690" s="1" t="n">
        <v>44127</v>
      </c>
      <c r="C3690" s="1" t="n">
        <v>45204</v>
      </c>
      <c r="D3690" t="inlineStr">
        <is>
          <t>VÄSTERBOTTENS LÄN</t>
        </is>
      </c>
      <c r="E3690" t="inlineStr">
        <is>
          <t>VÄNNÄS</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54913-2020</t>
        </is>
      </c>
      <c r="B3691" s="1" t="n">
        <v>44127</v>
      </c>
      <c r="C3691" s="1" t="n">
        <v>45204</v>
      </c>
      <c r="D3691" t="inlineStr">
        <is>
          <t>VÄSTERBOTTENS LÄN</t>
        </is>
      </c>
      <c r="E3691" t="inlineStr">
        <is>
          <t>SKELLEFTEÅ</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54603-2020</t>
        </is>
      </c>
      <c r="B3692" s="1" t="n">
        <v>44127</v>
      </c>
      <c r="C3692" s="1" t="n">
        <v>45204</v>
      </c>
      <c r="D3692" t="inlineStr">
        <is>
          <t>VÄSTERBOTTENS LÄN</t>
        </is>
      </c>
      <c r="E3692" t="inlineStr">
        <is>
          <t>ROBERTSFORS</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54805-2020</t>
        </is>
      </c>
      <c r="B3693" s="1" t="n">
        <v>44127</v>
      </c>
      <c r="C3693" s="1" t="n">
        <v>45204</v>
      </c>
      <c r="D3693" t="inlineStr">
        <is>
          <t>VÄSTERBOTTENS LÄN</t>
        </is>
      </c>
      <c r="E3693" t="inlineStr">
        <is>
          <t>LYCKSELE</t>
        </is>
      </c>
      <c r="F3693" t="inlineStr">
        <is>
          <t>Sveaskog</t>
        </is>
      </c>
      <c r="G3693" t="n">
        <v>13.2</v>
      </c>
      <c r="H3693" t="n">
        <v>0</v>
      </c>
      <c r="I3693" t="n">
        <v>0</v>
      </c>
      <c r="J3693" t="n">
        <v>0</v>
      </c>
      <c r="K3693" t="n">
        <v>0</v>
      </c>
      <c r="L3693" t="n">
        <v>0</v>
      </c>
      <c r="M3693" t="n">
        <v>0</v>
      </c>
      <c r="N3693" t="n">
        <v>0</v>
      </c>
      <c r="O3693" t="n">
        <v>0</v>
      </c>
      <c r="P3693" t="n">
        <v>0</v>
      </c>
      <c r="Q3693" t="n">
        <v>0</v>
      </c>
      <c r="R3693" s="2" t="inlineStr"/>
    </row>
    <row r="3694" ht="15" customHeight="1">
      <c r="A3694" t="inlineStr">
        <is>
          <t>A 54921-2020</t>
        </is>
      </c>
      <c r="B3694" s="1" t="n">
        <v>44127</v>
      </c>
      <c r="C3694" s="1" t="n">
        <v>45204</v>
      </c>
      <c r="D3694" t="inlineStr">
        <is>
          <t>VÄSTERBOTTENS LÄN</t>
        </is>
      </c>
      <c r="E3694" t="inlineStr">
        <is>
          <t>SKELLEFTEÅ</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54942-2020</t>
        </is>
      </c>
      <c r="B3695" s="1" t="n">
        <v>44129</v>
      </c>
      <c r="C3695" s="1" t="n">
        <v>45204</v>
      </c>
      <c r="D3695" t="inlineStr">
        <is>
          <t>VÄSTERBOTTENS LÄN</t>
        </is>
      </c>
      <c r="E3695" t="inlineStr">
        <is>
          <t>SKELLEFTEÅ</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54947-2020</t>
        </is>
      </c>
      <c r="B3696" s="1" t="n">
        <v>44129</v>
      </c>
      <c r="C3696" s="1" t="n">
        <v>45204</v>
      </c>
      <c r="D3696" t="inlineStr">
        <is>
          <t>VÄSTERBOTTENS LÄN</t>
        </is>
      </c>
      <c r="E3696" t="inlineStr">
        <is>
          <t>VILHELMINA</t>
        </is>
      </c>
      <c r="G3696" t="n">
        <v>6.1</v>
      </c>
      <c r="H3696" t="n">
        <v>0</v>
      </c>
      <c r="I3696" t="n">
        <v>0</v>
      </c>
      <c r="J3696" t="n">
        <v>0</v>
      </c>
      <c r="K3696" t="n">
        <v>0</v>
      </c>
      <c r="L3696" t="n">
        <v>0</v>
      </c>
      <c r="M3696" t="n">
        <v>0</v>
      </c>
      <c r="N3696" t="n">
        <v>0</v>
      </c>
      <c r="O3696" t="n">
        <v>0</v>
      </c>
      <c r="P3696" t="n">
        <v>0</v>
      </c>
      <c r="Q3696" t="n">
        <v>0</v>
      </c>
      <c r="R3696" s="2" t="inlineStr"/>
    </row>
    <row r="3697" ht="15" customHeight="1">
      <c r="A3697" t="inlineStr">
        <is>
          <t>A 55289-2020</t>
        </is>
      </c>
      <c r="B3697" s="1" t="n">
        <v>44130</v>
      </c>
      <c r="C3697" s="1" t="n">
        <v>45204</v>
      </c>
      <c r="D3697" t="inlineStr">
        <is>
          <t>VÄSTERBOTTENS LÄN</t>
        </is>
      </c>
      <c r="E3697" t="inlineStr">
        <is>
          <t>VINDELN</t>
        </is>
      </c>
      <c r="G3697" t="n">
        <v>4.8</v>
      </c>
      <c r="H3697" t="n">
        <v>0</v>
      </c>
      <c r="I3697" t="n">
        <v>0</v>
      </c>
      <c r="J3697" t="n">
        <v>0</v>
      </c>
      <c r="K3697" t="n">
        <v>0</v>
      </c>
      <c r="L3697" t="n">
        <v>0</v>
      </c>
      <c r="M3697" t="n">
        <v>0</v>
      </c>
      <c r="N3697" t="n">
        <v>0</v>
      </c>
      <c r="O3697" t="n">
        <v>0</v>
      </c>
      <c r="P3697" t="n">
        <v>0</v>
      </c>
      <c r="Q3697" t="n">
        <v>0</v>
      </c>
      <c r="R3697" s="2" t="inlineStr"/>
    </row>
    <row r="3698" ht="15" customHeight="1">
      <c r="A3698" t="inlineStr">
        <is>
          <t>A 55628-2020</t>
        </is>
      </c>
      <c r="B3698" s="1" t="n">
        <v>44131</v>
      </c>
      <c r="C3698" s="1" t="n">
        <v>45204</v>
      </c>
      <c r="D3698" t="inlineStr">
        <is>
          <t>VÄSTERBOTTENS LÄN</t>
        </is>
      </c>
      <c r="E3698" t="inlineStr">
        <is>
          <t>SKELLEFTEÅ</t>
        </is>
      </c>
      <c r="F3698" t="inlineStr">
        <is>
          <t>Sveaskog</t>
        </is>
      </c>
      <c r="G3698" t="n">
        <v>25.9</v>
      </c>
      <c r="H3698" t="n">
        <v>0</v>
      </c>
      <c r="I3698" t="n">
        <v>0</v>
      </c>
      <c r="J3698" t="n">
        <v>0</v>
      </c>
      <c r="K3698" t="n">
        <v>0</v>
      </c>
      <c r="L3698" t="n">
        <v>0</v>
      </c>
      <c r="M3698" t="n">
        <v>0</v>
      </c>
      <c r="N3698" t="n">
        <v>0</v>
      </c>
      <c r="O3698" t="n">
        <v>0</v>
      </c>
      <c r="P3698" t="n">
        <v>0</v>
      </c>
      <c r="Q3698" t="n">
        <v>0</v>
      </c>
      <c r="R3698" s="2" t="inlineStr"/>
    </row>
    <row r="3699" ht="15" customHeight="1">
      <c r="A3699" t="inlineStr">
        <is>
          <t>A 55668-2020</t>
        </is>
      </c>
      <c r="B3699" s="1" t="n">
        <v>44131</v>
      </c>
      <c r="C3699" s="1" t="n">
        <v>45204</v>
      </c>
      <c r="D3699" t="inlineStr">
        <is>
          <t>VÄSTERBOTTENS LÄN</t>
        </is>
      </c>
      <c r="E3699" t="inlineStr">
        <is>
          <t>NORDMALING</t>
        </is>
      </c>
      <c r="F3699" t="inlineStr">
        <is>
          <t>SCA</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55440-2020</t>
        </is>
      </c>
      <c r="B3700" s="1" t="n">
        <v>44131</v>
      </c>
      <c r="C3700" s="1" t="n">
        <v>45204</v>
      </c>
      <c r="D3700" t="inlineStr">
        <is>
          <t>VÄSTERBOTTENS LÄN</t>
        </is>
      </c>
      <c r="E3700" t="inlineStr">
        <is>
          <t>VILHELMINA</t>
        </is>
      </c>
      <c r="G3700" t="n">
        <v>18.3</v>
      </c>
      <c r="H3700" t="n">
        <v>0</v>
      </c>
      <c r="I3700" t="n">
        <v>0</v>
      </c>
      <c r="J3700" t="n">
        <v>0</v>
      </c>
      <c r="K3700" t="n">
        <v>0</v>
      </c>
      <c r="L3700" t="n">
        <v>0</v>
      </c>
      <c r="M3700" t="n">
        <v>0</v>
      </c>
      <c r="N3700" t="n">
        <v>0</v>
      </c>
      <c r="O3700" t="n">
        <v>0</v>
      </c>
      <c r="P3700" t="n">
        <v>0</v>
      </c>
      <c r="Q3700" t="n">
        <v>0</v>
      </c>
      <c r="R3700" s="2" t="inlineStr"/>
    </row>
    <row r="3701" ht="15" customHeight="1">
      <c r="A3701" t="inlineStr">
        <is>
          <t>A 55572-2020</t>
        </is>
      </c>
      <c r="B3701" s="1" t="n">
        <v>44131</v>
      </c>
      <c r="C3701" s="1" t="n">
        <v>45204</v>
      </c>
      <c r="D3701" t="inlineStr">
        <is>
          <t>VÄSTERBOTTENS LÄN</t>
        </is>
      </c>
      <c r="E3701" t="inlineStr">
        <is>
          <t>SKELLEFTEÅ</t>
        </is>
      </c>
      <c r="F3701" t="inlineStr">
        <is>
          <t>Sveaskog</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55626-2020</t>
        </is>
      </c>
      <c r="B3702" s="1" t="n">
        <v>44131</v>
      </c>
      <c r="C3702" s="1" t="n">
        <v>45204</v>
      </c>
      <c r="D3702" t="inlineStr">
        <is>
          <t>VÄSTERBOTTENS LÄN</t>
        </is>
      </c>
      <c r="E3702" t="inlineStr">
        <is>
          <t>SKELLEFTEÅ</t>
        </is>
      </c>
      <c r="F3702" t="inlineStr">
        <is>
          <t>Sveaskog</t>
        </is>
      </c>
      <c r="G3702" t="n">
        <v>14.2</v>
      </c>
      <c r="H3702" t="n">
        <v>0</v>
      </c>
      <c r="I3702" t="n">
        <v>0</v>
      </c>
      <c r="J3702" t="n">
        <v>0</v>
      </c>
      <c r="K3702" t="n">
        <v>0</v>
      </c>
      <c r="L3702" t="n">
        <v>0</v>
      </c>
      <c r="M3702" t="n">
        <v>0</v>
      </c>
      <c r="N3702" t="n">
        <v>0</v>
      </c>
      <c r="O3702" t="n">
        <v>0</v>
      </c>
      <c r="P3702" t="n">
        <v>0</v>
      </c>
      <c r="Q3702" t="n">
        <v>0</v>
      </c>
      <c r="R3702" s="2" t="inlineStr"/>
    </row>
    <row r="3703" ht="15" customHeight="1">
      <c r="A3703" t="inlineStr">
        <is>
          <t>A 55667-2020</t>
        </is>
      </c>
      <c r="B3703" s="1" t="n">
        <v>44131</v>
      </c>
      <c r="C3703" s="1" t="n">
        <v>45204</v>
      </c>
      <c r="D3703" t="inlineStr">
        <is>
          <t>VÄSTERBOTTENS LÄN</t>
        </is>
      </c>
      <c r="E3703" t="inlineStr">
        <is>
          <t>VINDELN</t>
        </is>
      </c>
      <c r="F3703" t="inlineStr">
        <is>
          <t>SCA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55411-2020</t>
        </is>
      </c>
      <c r="B3704" s="1" t="n">
        <v>44131</v>
      </c>
      <c r="C3704" s="1" t="n">
        <v>45204</v>
      </c>
      <c r="D3704" t="inlineStr">
        <is>
          <t>VÄSTERBOTTENS LÄN</t>
        </is>
      </c>
      <c r="E3704" t="inlineStr">
        <is>
          <t>UMEÅ</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55586-2020</t>
        </is>
      </c>
      <c r="B3705" s="1" t="n">
        <v>44131</v>
      </c>
      <c r="C3705" s="1" t="n">
        <v>45204</v>
      </c>
      <c r="D3705" t="inlineStr">
        <is>
          <t>VÄSTERBOTTENS LÄN</t>
        </is>
      </c>
      <c r="E3705" t="inlineStr">
        <is>
          <t>SKELLEFTEÅ</t>
        </is>
      </c>
      <c r="F3705" t="inlineStr">
        <is>
          <t>Sveaskog</t>
        </is>
      </c>
      <c r="G3705" t="n">
        <v>10.3</v>
      </c>
      <c r="H3705" t="n">
        <v>0</v>
      </c>
      <c r="I3705" t="n">
        <v>0</v>
      </c>
      <c r="J3705" t="n">
        <v>0</v>
      </c>
      <c r="K3705" t="n">
        <v>0</v>
      </c>
      <c r="L3705" t="n">
        <v>0</v>
      </c>
      <c r="M3705" t="n">
        <v>0</v>
      </c>
      <c r="N3705" t="n">
        <v>0</v>
      </c>
      <c r="O3705" t="n">
        <v>0</v>
      </c>
      <c r="P3705" t="n">
        <v>0</v>
      </c>
      <c r="Q3705" t="n">
        <v>0</v>
      </c>
      <c r="R3705" s="2" t="inlineStr"/>
    </row>
    <row r="3706" ht="15" customHeight="1">
      <c r="A3706" t="inlineStr">
        <is>
          <t>A 55602-2020</t>
        </is>
      </c>
      <c r="B3706" s="1" t="n">
        <v>44131</v>
      </c>
      <c r="C3706" s="1" t="n">
        <v>45204</v>
      </c>
      <c r="D3706" t="inlineStr">
        <is>
          <t>VÄSTERBOTTENS LÄN</t>
        </is>
      </c>
      <c r="E3706" t="inlineStr">
        <is>
          <t>ROBERTSFORS</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55633-2020</t>
        </is>
      </c>
      <c r="B3707" s="1" t="n">
        <v>44131</v>
      </c>
      <c r="C3707" s="1" t="n">
        <v>45204</v>
      </c>
      <c r="D3707" t="inlineStr">
        <is>
          <t>VÄSTERBOTTENS LÄN</t>
        </is>
      </c>
      <c r="E3707" t="inlineStr">
        <is>
          <t>SKELLEFTEÅ</t>
        </is>
      </c>
      <c r="F3707" t="inlineStr">
        <is>
          <t>Sveaskog</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55671-2020</t>
        </is>
      </c>
      <c r="B3708" s="1" t="n">
        <v>44131</v>
      </c>
      <c r="C3708" s="1" t="n">
        <v>45204</v>
      </c>
      <c r="D3708" t="inlineStr">
        <is>
          <t>VÄSTERBOTTENS LÄN</t>
        </is>
      </c>
      <c r="E3708" t="inlineStr">
        <is>
          <t>VINDELN</t>
        </is>
      </c>
      <c r="F3708" t="inlineStr">
        <is>
          <t>SCA</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55927-2020</t>
        </is>
      </c>
      <c r="B3709" s="1" t="n">
        <v>44132</v>
      </c>
      <c r="C3709" s="1" t="n">
        <v>45204</v>
      </c>
      <c r="D3709" t="inlineStr">
        <is>
          <t>VÄSTERBOTTENS LÄN</t>
        </is>
      </c>
      <c r="E3709" t="inlineStr">
        <is>
          <t>ÅSELE</t>
        </is>
      </c>
      <c r="F3709" t="inlineStr">
        <is>
          <t>SCA</t>
        </is>
      </c>
      <c r="G3709" t="n">
        <v>7.7</v>
      </c>
      <c r="H3709" t="n">
        <v>0</v>
      </c>
      <c r="I3709" t="n">
        <v>0</v>
      </c>
      <c r="J3709" t="n">
        <v>0</v>
      </c>
      <c r="K3709" t="n">
        <v>0</v>
      </c>
      <c r="L3709" t="n">
        <v>0</v>
      </c>
      <c r="M3709" t="n">
        <v>0</v>
      </c>
      <c r="N3709" t="n">
        <v>0</v>
      </c>
      <c r="O3709" t="n">
        <v>0</v>
      </c>
      <c r="P3709" t="n">
        <v>0</v>
      </c>
      <c r="Q3709" t="n">
        <v>0</v>
      </c>
      <c r="R3709" s="2" t="inlineStr"/>
    </row>
    <row r="3710" ht="15" customHeight="1">
      <c r="A3710" t="inlineStr">
        <is>
          <t>A 55697-2020</t>
        </is>
      </c>
      <c r="B3710" s="1" t="n">
        <v>44132</v>
      </c>
      <c r="C3710" s="1" t="n">
        <v>45204</v>
      </c>
      <c r="D3710" t="inlineStr">
        <is>
          <t>VÄSTERBOTTENS LÄN</t>
        </is>
      </c>
      <c r="E3710" t="inlineStr">
        <is>
          <t>ROBERTSFORS</t>
        </is>
      </c>
      <c r="F3710" t="inlineStr">
        <is>
          <t>Holmen skog AB</t>
        </is>
      </c>
      <c r="G3710" t="n">
        <v>22.3</v>
      </c>
      <c r="H3710" t="n">
        <v>0</v>
      </c>
      <c r="I3710" t="n">
        <v>0</v>
      </c>
      <c r="J3710" t="n">
        <v>0</v>
      </c>
      <c r="K3710" t="n">
        <v>0</v>
      </c>
      <c r="L3710" t="n">
        <v>0</v>
      </c>
      <c r="M3710" t="n">
        <v>0</v>
      </c>
      <c r="N3710" t="n">
        <v>0</v>
      </c>
      <c r="O3710" t="n">
        <v>0</v>
      </c>
      <c r="P3710" t="n">
        <v>0</v>
      </c>
      <c r="Q3710" t="n">
        <v>0</v>
      </c>
      <c r="R3710" s="2" t="inlineStr"/>
    </row>
    <row r="3711" ht="15" customHeight="1">
      <c r="A3711" t="inlineStr">
        <is>
          <t>A 55787-2020</t>
        </is>
      </c>
      <c r="B3711" s="1" t="n">
        <v>44132</v>
      </c>
      <c r="C3711" s="1" t="n">
        <v>45204</v>
      </c>
      <c r="D3711" t="inlineStr">
        <is>
          <t>VÄSTERBOTTENS LÄN</t>
        </is>
      </c>
      <c r="E3711" t="inlineStr">
        <is>
          <t>SKELLEFTEÅ</t>
        </is>
      </c>
      <c r="F3711" t="inlineStr">
        <is>
          <t>Sveaskog</t>
        </is>
      </c>
      <c r="G3711" t="n">
        <v>12.4</v>
      </c>
      <c r="H3711" t="n">
        <v>0</v>
      </c>
      <c r="I3711" t="n">
        <v>0</v>
      </c>
      <c r="J3711" t="n">
        <v>0</v>
      </c>
      <c r="K3711" t="n">
        <v>0</v>
      </c>
      <c r="L3711" t="n">
        <v>0</v>
      </c>
      <c r="M3711" t="n">
        <v>0</v>
      </c>
      <c r="N3711" t="n">
        <v>0</v>
      </c>
      <c r="O3711" t="n">
        <v>0</v>
      </c>
      <c r="P3711" t="n">
        <v>0</v>
      </c>
      <c r="Q3711" t="n">
        <v>0</v>
      </c>
      <c r="R3711" s="2" t="inlineStr"/>
    </row>
    <row r="3712" ht="15" customHeight="1">
      <c r="A3712" t="inlineStr">
        <is>
          <t>A 55843-2020</t>
        </is>
      </c>
      <c r="B3712" s="1" t="n">
        <v>44132</v>
      </c>
      <c r="C3712" s="1" t="n">
        <v>45204</v>
      </c>
      <c r="D3712" t="inlineStr">
        <is>
          <t>VÄSTERBOTTENS LÄN</t>
        </is>
      </c>
      <c r="E3712" t="inlineStr">
        <is>
          <t>ROBERTSFORS</t>
        </is>
      </c>
      <c r="F3712" t="inlineStr">
        <is>
          <t>Holmen skog AB</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55930-2020</t>
        </is>
      </c>
      <c r="B3713" s="1" t="n">
        <v>44132</v>
      </c>
      <c r="C3713" s="1" t="n">
        <v>45204</v>
      </c>
      <c r="D3713" t="inlineStr">
        <is>
          <t>VÄSTERBOTTENS LÄN</t>
        </is>
      </c>
      <c r="E3713" t="inlineStr">
        <is>
          <t>DOROTEA</t>
        </is>
      </c>
      <c r="F3713" t="inlineStr">
        <is>
          <t>SCA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55782-2020</t>
        </is>
      </c>
      <c r="B3714" s="1" t="n">
        <v>44132</v>
      </c>
      <c r="C3714" s="1" t="n">
        <v>45204</v>
      </c>
      <c r="D3714" t="inlineStr">
        <is>
          <t>VÄSTERBOTTENS LÄN</t>
        </is>
      </c>
      <c r="E3714" t="inlineStr">
        <is>
          <t>LYCKSELE</t>
        </is>
      </c>
      <c r="F3714" t="inlineStr">
        <is>
          <t>Sveaskog</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55882-2020</t>
        </is>
      </c>
      <c r="B3715" s="1" t="n">
        <v>44132</v>
      </c>
      <c r="C3715" s="1" t="n">
        <v>45204</v>
      </c>
      <c r="D3715" t="inlineStr">
        <is>
          <t>VÄSTERBOTTENS LÄN</t>
        </is>
      </c>
      <c r="E3715" t="inlineStr">
        <is>
          <t>ÅSELE</t>
        </is>
      </c>
      <c r="G3715" t="n">
        <v>3.9</v>
      </c>
      <c r="H3715" t="n">
        <v>0</v>
      </c>
      <c r="I3715" t="n">
        <v>0</v>
      </c>
      <c r="J3715" t="n">
        <v>0</v>
      </c>
      <c r="K3715" t="n">
        <v>0</v>
      </c>
      <c r="L3715" t="n">
        <v>0</v>
      </c>
      <c r="M3715" t="n">
        <v>0</v>
      </c>
      <c r="N3715" t="n">
        <v>0</v>
      </c>
      <c r="O3715" t="n">
        <v>0</v>
      </c>
      <c r="P3715" t="n">
        <v>0</v>
      </c>
      <c r="Q3715" t="n">
        <v>0</v>
      </c>
      <c r="R3715" s="2" t="inlineStr"/>
    </row>
    <row r="3716" ht="15" customHeight="1">
      <c r="A3716" t="inlineStr">
        <is>
          <t>A 55929-2020</t>
        </is>
      </c>
      <c r="B3716" s="1" t="n">
        <v>44132</v>
      </c>
      <c r="C3716" s="1" t="n">
        <v>45204</v>
      </c>
      <c r="D3716" t="inlineStr">
        <is>
          <t>VÄSTERBOTTENS LÄN</t>
        </is>
      </c>
      <c r="E3716" t="inlineStr">
        <is>
          <t>ÅSELE</t>
        </is>
      </c>
      <c r="F3716" t="inlineStr">
        <is>
          <t>SCA</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55773-2020</t>
        </is>
      </c>
      <c r="B3717" s="1" t="n">
        <v>44132</v>
      </c>
      <c r="C3717" s="1" t="n">
        <v>45204</v>
      </c>
      <c r="D3717" t="inlineStr">
        <is>
          <t>VÄSTERBOTTENS LÄN</t>
        </is>
      </c>
      <c r="E3717" t="inlineStr">
        <is>
          <t>UMEÅ</t>
        </is>
      </c>
      <c r="F3717" t="inlineStr">
        <is>
          <t>Holmen skog AB</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56209-2020</t>
        </is>
      </c>
      <c r="B3718" s="1" t="n">
        <v>44133</v>
      </c>
      <c r="C3718" s="1" t="n">
        <v>45204</v>
      </c>
      <c r="D3718" t="inlineStr">
        <is>
          <t>VÄSTERBOTTENS LÄN</t>
        </is>
      </c>
      <c r="E3718" t="inlineStr">
        <is>
          <t>VINDELN</t>
        </is>
      </c>
      <c r="F3718" t="inlineStr">
        <is>
          <t>SCA</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56208-2020</t>
        </is>
      </c>
      <c r="B3719" s="1" t="n">
        <v>44133</v>
      </c>
      <c r="C3719" s="1" t="n">
        <v>45204</v>
      </c>
      <c r="D3719" t="inlineStr">
        <is>
          <t>VÄSTERBOTTENS LÄN</t>
        </is>
      </c>
      <c r="E3719" t="inlineStr">
        <is>
          <t>UMEÅ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56560-2020</t>
        </is>
      </c>
      <c r="B3720" s="1" t="n">
        <v>44133</v>
      </c>
      <c r="C3720" s="1" t="n">
        <v>45204</v>
      </c>
      <c r="D3720" t="inlineStr">
        <is>
          <t>VÄSTERBOTTENS LÄN</t>
        </is>
      </c>
      <c r="E3720" t="inlineStr">
        <is>
          <t>DOROTEA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56683-2020</t>
        </is>
      </c>
      <c r="B3721" s="1" t="n">
        <v>44133</v>
      </c>
      <c r="C3721" s="1" t="n">
        <v>45204</v>
      </c>
      <c r="D3721" t="inlineStr">
        <is>
          <t>VÄSTERBOTTENS LÄN</t>
        </is>
      </c>
      <c r="E3721" t="inlineStr">
        <is>
          <t>SKELLEFTEÅ</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56029-2020</t>
        </is>
      </c>
      <c r="B3722" s="1" t="n">
        <v>44133</v>
      </c>
      <c r="C3722" s="1" t="n">
        <v>45204</v>
      </c>
      <c r="D3722" t="inlineStr">
        <is>
          <t>VÄSTERBOTTENS LÄN</t>
        </is>
      </c>
      <c r="E3722" t="inlineStr">
        <is>
          <t>SKELLEFTEÅ</t>
        </is>
      </c>
      <c r="F3722" t="inlineStr">
        <is>
          <t>Holmen skog AB</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56145-2020</t>
        </is>
      </c>
      <c r="B3723" s="1" t="n">
        <v>44133</v>
      </c>
      <c r="C3723" s="1" t="n">
        <v>45204</v>
      </c>
      <c r="D3723" t="inlineStr">
        <is>
          <t>VÄSTERBOTTENS LÄN</t>
        </is>
      </c>
      <c r="E3723" t="inlineStr">
        <is>
          <t>ÅSELE</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56887-2020</t>
        </is>
      </c>
      <c r="B3724" s="1" t="n">
        <v>44134</v>
      </c>
      <c r="C3724" s="1" t="n">
        <v>45204</v>
      </c>
      <c r="D3724" t="inlineStr">
        <is>
          <t>VÄSTERBOTTENS LÄN</t>
        </is>
      </c>
      <c r="E3724" t="inlineStr">
        <is>
          <t>NORDMALING</t>
        </is>
      </c>
      <c r="G3724" t="n">
        <v>4.4</v>
      </c>
      <c r="H3724" t="n">
        <v>0</v>
      </c>
      <c r="I3724" t="n">
        <v>0</v>
      </c>
      <c r="J3724" t="n">
        <v>0</v>
      </c>
      <c r="K3724" t="n">
        <v>0</v>
      </c>
      <c r="L3724" t="n">
        <v>0</v>
      </c>
      <c r="M3724" t="n">
        <v>0</v>
      </c>
      <c r="N3724" t="n">
        <v>0</v>
      </c>
      <c r="O3724" t="n">
        <v>0</v>
      </c>
      <c r="P3724" t="n">
        <v>0</v>
      </c>
      <c r="Q3724" t="n">
        <v>0</v>
      </c>
      <c r="R3724" s="2" t="inlineStr"/>
    </row>
    <row r="3725" ht="15" customHeight="1">
      <c r="A3725" t="inlineStr">
        <is>
          <t>A 56827-2020</t>
        </is>
      </c>
      <c r="B3725" s="1" t="n">
        <v>44134</v>
      </c>
      <c r="C3725" s="1" t="n">
        <v>45204</v>
      </c>
      <c r="D3725" t="inlineStr">
        <is>
          <t>VÄSTERBOTTENS LÄN</t>
        </is>
      </c>
      <c r="E3725" t="inlineStr">
        <is>
          <t>ÅSELE</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56879-2020</t>
        </is>
      </c>
      <c r="B3726" s="1" t="n">
        <v>44134</v>
      </c>
      <c r="C3726" s="1" t="n">
        <v>45204</v>
      </c>
      <c r="D3726" t="inlineStr">
        <is>
          <t>VÄSTERBOTTENS LÄN</t>
        </is>
      </c>
      <c r="E3726" t="inlineStr">
        <is>
          <t>SKELLEFTEÅ</t>
        </is>
      </c>
      <c r="G3726" t="n">
        <v>8.5</v>
      </c>
      <c r="H3726" t="n">
        <v>0</v>
      </c>
      <c r="I3726" t="n">
        <v>0</v>
      </c>
      <c r="J3726" t="n">
        <v>0</v>
      </c>
      <c r="K3726" t="n">
        <v>0</v>
      </c>
      <c r="L3726" t="n">
        <v>0</v>
      </c>
      <c r="M3726" t="n">
        <v>0</v>
      </c>
      <c r="N3726" t="n">
        <v>0</v>
      </c>
      <c r="O3726" t="n">
        <v>0</v>
      </c>
      <c r="P3726" t="n">
        <v>0</v>
      </c>
      <c r="Q3726" t="n">
        <v>0</v>
      </c>
      <c r="R3726" s="2" t="inlineStr"/>
    </row>
    <row r="3727" ht="15" customHeight="1">
      <c r="A3727" t="inlineStr">
        <is>
          <t>A 56883-2020</t>
        </is>
      </c>
      <c r="B3727" s="1" t="n">
        <v>44134</v>
      </c>
      <c r="C3727" s="1" t="n">
        <v>45204</v>
      </c>
      <c r="D3727" t="inlineStr">
        <is>
          <t>VÄSTERBOTTENS LÄN</t>
        </is>
      </c>
      <c r="E3727" t="inlineStr">
        <is>
          <t>NORDMALING</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56375-2020</t>
        </is>
      </c>
      <c r="B3728" s="1" t="n">
        <v>44136</v>
      </c>
      <c r="C3728" s="1" t="n">
        <v>45204</v>
      </c>
      <c r="D3728" t="inlineStr">
        <is>
          <t>VÄSTERBOTTENS LÄN</t>
        </is>
      </c>
      <c r="E3728" t="inlineStr">
        <is>
          <t>SORSELE</t>
        </is>
      </c>
      <c r="G3728" t="n">
        <v>0.4</v>
      </c>
      <c r="H3728" t="n">
        <v>0</v>
      </c>
      <c r="I3728" t="n">
        <v>0</v>
      </c>
      <c r="J3728" t="n">
        <v>0</v>
      </c>
      <c r="K3728" t="n">
        <v>0</v>
      </c>
      <c r="L3728" t="n">
        <v>0</v>
      </c>
      <c r="M3728" t="n">
        <v>0</v>
      </c>
      <c r="N3728" t="n">
        <v>0</v>
      </c>
      <c r="O3728" t="n">
        <v>0</v>
      </c>
      <c r="P3728" t="n">
        <v>0</v>
      </c>
      <c r="Q3728" t="n">
        <v>0</v>
      </c>
      <c r="R3728" s="2" t="inlineStr"/>
    </row>
    <row r="3729" ht="15" customHeight="1">
      <c r="A3729" t="inlineStr">
        <is>
          <t>A 56692-2020</t>
        </is>
      </c>
      <c r="B3729" s="1" t="n">
        <v>44137</v>
      </c>
      <c r="C3729" s="1" t="n">
        <v>45204</v>
      </c>
      <c r="D3729" t="inlineStr">
        <is>
          <t>VÄSTERBOTTENS LÄN</t>
        </is>
      </c>
      <c r="E3729" t="inlineStr">
        <is>
          <t>SKELLEFTEÅ</t>
        </is>
      </c>
      <c r="F3729" t="inlineStr">
        <is>
          <t>Sveaskog</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56604-2020</t>
        </is>
      </c>
      <c r="B3730" s="1" t="n">
        <v>44137</v>
      </c>
      <c r="C3730" s="1" t="n">
        <v>45204</v>
      </c>
      <c r="D3730" t="inlineStr">
        <is>
          <t>VÄSTERBOTTENS LÄN</t>
        </is>
      </c>
      <c r="E3730" t="inlineStr">
        <is>
          <t>SKELLEFTEÅ</t>
        </is>
      </c>
      <c r="F3730" t="inlineStr">
        <is>
          <t>Holmen skog AB</t>
        </is>
      </c>
      <c r="G3730" t="n">
        <v>2.4</v>
      </c>
      <c r="H3730" t="n">
        <v>0</v>
      </c>
      <c r="I3730" t="n">
        <v>0</v>
      </c>
      <c r="J3730" t="n">
        <v>0</v>
      </c>
      <c r="K3730" t="n">
        <v>0</v>
      </c>
      <c r="L3730" t="n">
        <v>0</v>
      </c>
      <c r="M3730" t="n">
        <v>0</v>
      </c>
      <c r="N3730" t="n">
        <v>0</v>
      </c>
      <c r="O3730" t="n">
        <v>0</v>
      </c>
      <c r="P3730" t="n">
        <v>0</v>
      </c>
      <c r="Q3730" t="n">
        <v>0</v>
      </c>
      <c r="R3730" s="2" t="inlineStr"/>
    </row>
    <row r="3731" ht="15" customHeight="1">
      <c r="A3731" t="inlineStr">
        <is>
          <t>A 56718-2020</t>
        </is>
      </c>
      <c r="B3731" s="1" t="n">
        <v>44137</v>
      </c>
      <c r="C3731" s="1" t="n">
        <v>45204</v>
      </c>
      <c r="D3731" t="inlineStr">
        <is>
          <t>VÄSTERBOTTENS LÄN</t>
        </is>
      </c>
      <c r="E3731" t="inlineStr">
        <is>
          <t>SKELLEFTEÅ</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56764-2020</t>
        </is>
      </c>
      <c r="B3732" s="1" t="n">
        <v>44137</v>
      </c>
      <c r="C3732" s="1" t="n">
        <v>45204</v>
      </c>
      <c r="D3732" t="inlineStr">
        <is>
          <t>VÄSTERBOTTENS LÄN</t>
        </is>
      </c>
      <c r="E3732" t="inlineStr">
        <is>
          <t>VINDELN</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56950-2020</t>
        </is>
      </c>
      <c r="B3733" s="1" t="n">
        <v>44137</v>
      </c>
      <c r="C3733" s="1" t="n">
        <v>45204</v>
      </c>
      <c r="D3733" t="inlineStr">
        <is>
          <t>VÄSTERBOTTENS LÄN</t>
        </is>
      </c>
      <c r="E3733" t="inlineStr">
        <is>
          <t>ROBERTSFORS</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57033-2020</t>
        </is>
      </c>
      <c r="B3734" s="1" t="n">
        <v>44137</v>
      </c>
      <c r="C3734" s="1" t="n">
        <v>45204</v>
      </c>
      <c r="D3734" t="inlineStr">
        <is>
          <t>VÄSTERBOTTENS LÄN</t>
        </is>
      </c>
      <c r="E3734" t="inlineStr">
        <is>
          <t>NORDMALING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56720-2020</t>
        </is>
      </c>
      <c r="B3735" s="1" t="n">
        <v>44137</v>
      </c>
      <c r="C3735" s="1" t="n">
        <v>45204</v>
      </c>
      <c r="D3735" t="inlineStr">
        <is>
          <t>VÄSTERBOTTENS LÄN</t>
        </is>
      </c>
      <c r="E3735" t="inlineStr">
        <is>
          <t>SKELLEFTEÅ</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56951-2020</t>
        </is>
      </c>
      <c r="B3736" s="1" t="n">
        <v>44137</v>
      </c>
      <c r="C3736" s="1" t="n">
        <v>45204</v>
      </c>
      <c r="D3736" t="inlineStr">
        <is>
          <t>VÄSTERBOTTENS LÄN</t>
        </is>
      </c>
      <c r="E3736" t="inlineStr">
        <is>
          <t>ROBERTSFORS</t>
        </is>
      </c>
      <c r="G3736" t="n">
        <v>5.8</v>
      </c>
      <c r="H3736" t="n">
        <v>0</v>
      </c>
      <c r="I3736" t="n">
        <v>0</v>
      </c>
      <c r="J3736" t="n">
        <v>0</v>
      </c>
      <c r="K3736" t="n">
        <v>0</v>
      </c>
      <c r="L3736" t="n">
        <v>0</v>
      </c>
      <c r="M3736" t="n">
        <v>0</v>
      </c>
      <c r="N3736" t="n">
        <v>0</v>
      </c>
      <c r="O3736" t="n">
        <v>0</v>
      </c>
      <c r="P3736" t="n">
        <v>0</v>
      </c>
      <c r="Q3736" t="n">
        <v>0</v>
      </c>
      <c r="R3736" s="2" t="inlineStr"/>
    </row>
    <row r="3737" ht="15" customHeight="1">
      <c r="A3737" t="inlineStr">
        <is>
          <t>A 57236-2020</t>
        </is>
      </c>
      <c r="B3737" s="1" t="n">
        <v>44138</v>
      </c>
      <c r="C3737" s="1" t="n">
        <v>45204</v>
      </c>
      <c r="D3737" t="inlineStr">
        <is>
          <t>VÄSTERBOTTENS LÄN</t>
        </is>
      </c>
      <c r="E3737" t="inlineStr">
        <is>
          <t>VINDELN</t>
        </is>
      </c>
      <c r="G3737" t="n">
        <v>6.9</v>
      </c>
      <c r="H3737" t="n">
        <v>0</v>
      </c>
      <c r="I3737" t="n">
        <v>0</v>
      </c>
      <c r="J3737" t="n">
        <v>0</v>
      </c>
      <c r="K3737" t="n">
        <v>0</v>
      </c>
      <c r="L3737" t="n">
        <v>0</v>
      </c>
      <c r="M3737" t="n">
        <v>0</v>
      </c>
      <c r="N3737" t="n">
        <v>0</v>
      </c>
      <c r="O3737" t="n">
        <v>0</v>
      </c>
      <c r="P3737" t="n">
        <v>0</v>
      </c>
      <c r="Q3737" t="n">
        <v>0</v>
      </c>
      <c r="R3737" s="2" t="inlineStr"/>
    </row>
    <row r="3738" ht="15" customHeight="1">
      <c r="A3738" t="inlineStr">
        <is>
          <t>A 57085-2020</t>
        </is>
      </c>
      <c r="B3738" s="1" t="n">
        <v>44138</v>
      </c>
      <c r="C3738" s="1" t="n">
        <v>45204</v>
      </c>
      <c r="D3738" t="inlineStr">
        <is>
          <t>VÄSTERBOTTENS LÄN</t>
        </is>
      </c>
      <c r="E3738" t="inlineStr">
        <is>
          <t>LYCKSELE</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57186-2020</t>
        </is>
      </c>
      <c r="B3739" s="1" t="n">
        <v>44138</v>
      </c>
      <c r="C3739" s="1" t="n">
        <v>45204</v>
      </c>
      <c r="D3739" t="inlineStr">
        <is>
          <t>VÄSTERBOTTENS LÄN</t>
        </is>
      </c>
      <c r="E3739" t="inlineStr">
        <is>
          <t>NORDMALING</t>
        </is>
      </c>
      <c r="F3739" t="inlineStr">
        <is>
          <t>Kommuner</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57159-2020</t>
        </is>
      </c>
      <c r="B3740" s="1" t="n">
        <v>44138</v>
      </c>
      <c r="C3740" s="1" t="n">
        <v>45204</v>
      </c>
      <c r="D3740" t="inlineStr">
        <is>
          <t>VÄSTERBOTTENS LÄN</t>
        </is>
      </c>
      <c r="E3740" t="inlineStr">
        <is>
          <t>NORDMALING</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56945-2020</t>
        </is>
      </c>
      <c r="B3741" s="1" t="n">
        <v>44138</v>
      </c>
      <c r="C3741" s="1" t="n">
        <v>45204</v>
      </c>
      <c r="D3741" t="inlineStr">
        <is>
          <t>VÄSTERBOTTENS LÄN</t>
        </is>
      </c>
      <c r="E3741" t="inlineStr">
        <is>
          <t>SKELLEFTEÅ</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57498-2020</t>
        </is>
      </c>
      <c r="B3742" s="1" t="n">
        <v>44139</v>
      </c>
      <c r="C3742" s="1" t="n">
        <v>45204</v>
      </c>
      <c r="D3742" t="inlineStr">
        <is>
          <t>VÄSTERBOTTENS LÄN</t>
        </is>
      </c>
      <c r="E3742" t="inlineStr">
        <is>
          <t>MALÅ</t>
        </is>
      </c>
      <c r="G3742" t="n">
        <v>8</v>
      </c>
      <c r="H3742" t="n">
        <v>0</v>
      </c>
      <c r="I3742" t="n">
        <v>0</v>
      </c>
      <c r="J3742" t="n">
        <v>0</v>
      </c>
      <c r="K3742" t="n">
        <v>0</v>
      </c>
      <c r="L3742" t="n">
        <v>0</v>
      </c>
      <c r="M3742" t="n">
        <v>0</v>
      </c>
      <c r="N3742" t="n">
        <v>0</v>
      </c>
      <c r="O3742" t="n">
        <v>0</v>
      </c>
      <c r="P3742" t="n">
        <v>0</v>
      </c>
      <c r="Q3742" t="n">
        <v>0</v>
      </c>
      <c r="R3742" s="2" t="inlineStr"/>
    </row>
    <row r="3743" ht="15" customHeight="1">
      <c r="A3743" t="inlineStr">
        <is>
          <t>A 57410-2020</t>
        </is>
      </c>
      <c r="B3743" s="1" t="n">
        <v>44139</v>
      </c>
      <c r="C3743" s="1" t="n">
        <v>45204</v>
      </c>
      <c r="D3743" t="inlineStr">
        <is>
          <t>VÄSTERBOTTENS LÄN</t>
        </is>
      </c>
      <c r="E3743" t="inlineStr">
        <is>
          <t>NORDMALING</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57620-2020</t>
        </is>
      </c>
      <c r="B3744" s="1" t="n">
        <v>44140</v>
      </c>
      <c r="C3744" s="1" t="n">
        <v>45204</v>
      </c>
      <c r="D3744" t="inlineStr">
        <is>
          <t>VÄSTERBOTTENS LÄN</t>
        </is>
      </c>
      <c r="E3744" t="inlineStr">
        <is>
          <t>SKELLEFTEÅ</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58213-2020</t>
        </is>
      </c>
      <c r="B3745" s="1" t="n">
        <v>44140</v>
      </c>
      <c r="C3745" s="1" t="n">
        <v>45204</v>
      </c>
      <c r="D3745" t="inlineStr">
        <is>
          <t>VÄSTERBOTTENS LÄN</t>
        </is>
      </c>
      <c r="E3745" t="inlineStr">
        <is>
          <t>UMEÅ</t>
        </is>
      </c>
      <c r="G3745" t="n">
        <v>5.3</v>
      </c>
      <c r="H3745" t="n">
        <v>0</v>
      </c>
      <c r="I3745" t="n">
        <v>0</v>
      </c>
      <c r="J3745" t="n">
        <v>0</v>
      </c>
      <c r="K3745" t="n">
        <v>0</v>
      </c>
      <c r="L3745" t="n">
        <v>0</v>
      </c>
      <c r="M3745" t="n">
        <v>0</v>
      </c>
      <c r="N3745" t="n">
        <v>0</v>
      </c>
      <c r="O3745" t="n">
        <v>0</v>
      </c>
      <c r="P3745" t="n">
        <v>0</v>
      </c>
      <c r="Q3745" t="n">
        <v>0</v>
      </c>
      <c r="R3745" s="2" t="inlineStr"/>
    </row>
    <row r="3746" ht="15" customHeight="1">
      <c r="A3746" t="inlineStr">
        <is>
          <t>A 57564-2020</t>
        </is>
      </c>
      <c r="B3746" s="1" t="n">
        <v>44140</v>
      </c>
      <c r="C3746" s="1" t="n">
        <v>45204</v>
      </c>
      <c r="D3746" t="inlineStr">
        <is>
          <t>VÄSTERBOTTENS LÄN</t>
        </is>
      </c>
      <c r="E3746" t="inlineStr">
        <is>
          <t>ROBERTSFORS</t>
        </is>
      </c>
      <c r="F3746" t="inlineStr">
        <is>
          <t>Holmen skog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57774-2020</t>
        </is>
      </c>
      <c r="B3747" s="1" t="n">
        <v>44141</v>
      </c>
      <c r="C3747" s="1" t="n">
        <v>45204</v>
      </c>
      <c r="D3747" t="inlineStr">
        <is>
          <t>VÄSTERBOTTENS LÄN</t>
        </is>
      </c>
      <c r="E3747" t="inlineStr">
        <is>
          <t>SORSELE</t>
        </is>
      </c>
      <c r="G3747" t="n">
        <v>20</v>
      </c>
      <c r="H3747" t="n">
        <v>0</v>
      </c>
      <c r="I3747" t="n">
        <v>0</v>
      </c>
      <c r="J3747" t="n">
        <v>0</v>
      </c>
      <c r="K3747" t="n">
        <v>0</v>
      </c>
      <c r="L3747" t="n">
        <v>0</v>
      </c>
      <c r="M3747" t="n">
        <v>0</v>
      </c>
      <c r="N3747" t="n">
        <v>0</v>
      </c>
      <c r="O3747" t="n">
        <v>0</v>
      </c>
      <c r="P3747" t="n">
        <v>0</v>
      </c>
      <c r="Q3747" t="n">
        <v>0</v>
      </c>
      <c r="R3747" s="2" t="inlineStr"/>
    </row>
    <row r="3748" ht="15" customHeight="1">
      <c r="A3748" t="inlineStr">
        <is>
          <t>A 57865-2020</t>
        </is>
      </c>
      <c r="B3748" s="1" t="n">
        <v>44141</v>
      </c>
      <c r="C3748" s="1" t="n">
        <v>45204</v>
      </c>
      <c r="D3748" t="inlineStr">
        <is>
          <t>VÄSTERBOTTENS LÄN</t>
        </is>
      </c>
      <c r="E3748" t="inlineStr">
        <is>
          <t>ÅSELE</t>
        </is>
      </c>
      <c r="F3748" t="inlineStr">
        <is>
          <t>Sveaskog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58427-2020</t>
        </is>
      </c>
      <c r="B3749" s="1" t="n">
        <v>44141</v>
      </c>
      <c r="C3749" s="1" t="n">
        <v>45204</v>
      </c>
      <c r="D3749" t="inlineStr">
        <is>
          <t>VÄSTERBOTTENS LÄN</t>
        </is>
      </c>
      <c r="E3749" t="inlineStr">
        <is>
          <t>SKELLEFTEÅ</t>
        </is>
      </c>
      <c r="G3749" t="n">
        <v>5.5</v>
      </c>
      <c r="H3749" t="n">
        <v>0</v>
      </c>
      <c r="I3749" t="n">
        <v>0</v>
      </c>
      <c r="J3749" t="n">
        <v>0</v>
      </c>
      <c r="K3749" t="n">
        <v>0</v>
      </c>
      <c r="L3749" t="n">
        <v>0</v>
      </c>
      <c r="M3749" t="n">
        <v>0</v>
      </c>
      <c r="N3749" t="n">
        <v>0</v>
      </c>
      <c r="O3749" t="n">
        <v>0</v>
      </c>
      <c r="P3749" t="n">
        <v>0</v>
      </c>
      <c r="Q3749" t="n">
        <v>0</v>
      </c>
      <c r="R3749" s="2" t="inlineStr"/>
    </row>
    <row r="3750" ht="15" customHeight="1">
      <c r="A3750" t="inlineStr">
        <is>
          <t>A 57786-2020</t>
        </is>
      </c>
      <c r="B3750" s="1" t="n">
        <v>44141</v>
      </c>
      <c r="C3750" s="1" t="n">
        <v>45204</v>
      </c>
      <c r="D3750" t="inlineStr">
        <is>
          <t>VÄSTERBOTTENS LÄN</t>
        </is>
      </c>
      <c r="E3750" t="inlineStr">
        <is>
          <t>UMEÅ</t>
        </is>
      </c>
      <c r="F3750" t="inlineStr">
        <is>
          <t>Holmen skog AB</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57958-2020</t>
        </is>
      </c>
      <c r="B3751" s="1" t="n">
        <v>44143</v>
      </c>
      <c r="C3751" s="1" t="n">
        <v>45204</v>
      </c>
      <c r="D3751" t="inlineStr">
        <is>
          <t>VÄSTERBOTTENS LÄN</t>
        </is>
      </c>
      <c r="E3751" t="inlineStr">
        <is>
          <t>UMEÅ</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58584-2020</t>
        </is>
      </c>
      <c r="B3752" s="1" t="n">
        <v>44144</v>
      </c>
      <c r="C3752" s="1" t="n">
        <v>45204</v>
      </c>
      <c r="D3752" t="inlineStr">
        <is>
          <t>VÄSTERBOTTENS LÄN</t>
        </is>
      </c>
      <c r="E3752" t="inlineStr">
        <is>
          <t>VILHELMINA</t>
        </is>
      </c>
      <c r="F3752" t="inlineStr">
        <is>
          <t>Övriga statliga verk och myndigheter</t>
        </is>
      </c>
      <c r="G3752" t="n">
        <v>20.8</v>
      </c>
      <c r="H3752" t="n">
        <v>0</v>
      </c>
      <c r="I3752" t="n">
        <v>0</v>
      </c>
      <c r="J3752" t="n">
        <v>0</v>
      </c>
      <c r="K3752" t="n">
        <v>0</v>
      </c>
      <c r="L3752" t="n">
        <v>0</v>
      </c>
      <c r="M3752" t="n">
        <v>0</v>
      </c>
      <c r="N3752" t="n">
        <v>0</v>
      </c>
      <c r="O3752" t="n">
        <v>0</v>
      </c>
      <c r="P3752" t="n">
        <v>0</v>
      </c>
      <c r="Q3752" t="n">
        <v>0</v>
      </c>
      <c r="R3752" s="2" t="inlineStr"/>
    </row>
    <row r="3753" ht="15" customHeight="1">
      <c r="A3753" t="inlineStr">
        <is>
          <t>A 58441-2020</t>
        </is>
      </c>
      <c r="B3753" s="1" t="n">
        <v>44144</v>
      </c>
      <c r="C3753" s="1" t="n">
        <v>45204</v>
      </c>
      <c r="D3753" t="inlineStr">
        <is>
          <t>VÄSTERBOTTENS LÄN</t>
        </is>
      </c>
      <c r="E3753" t="inlineStr">
        <is>
          <t>NORDMALING</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58232-2020</t>
        </is>
      </c>
      <c r="B3754" s="1" t="n">
        <v>44144</v>
      </c>
      <c r="C3754" s="1" t="n">
        <v>45204</v>
      </c>
      <c r="D3754" t="inlineStr">
        <is>
          <t>VÄSTERBOTTENS LÄN</t>
        </is>
      </c>
      <c r="E3754" t="inlineStr">
        <is>
          <t>SORSELE</t>
        </is>
      </c>
      <c r="F3754" t="inlineStr">
        <is>
          <t>Sveaskog</t>
        </is>
      </c>
      <c r="G3754" t="n">
        <v>7.2</v>
      </c>
      <c r="H3754" t="n">
        <v>0</v>
      </c>
      <c r="I3754" t="n">
        <v>0</v>
      </c>
      <c r="J3754" t="n">
        <v>0</v>
      </c>
      <c r="K3754" t="n">
        <v>0</v>
      </c>
      <c r="L3754" t="n">
        <v>0</v>
      </c>
      <c r="M3754" t="n">
        <v>0</v>
      </c>
      <c r="N3754" t="n">
        <v>0</v>
      </c>
      <c r="O3754" t="n">
        <v>0</v>
      </c>
      <c r="P3754" t="n">
        <v>0</v>
      </c>
      <c r="Q3754" t="n">
        <v>0</v>
      </c>
      <c r="R3754" s="2" t="inlineStr"/>
    </row>
    <row r="3755" ht="15" customHeight="1">
      <c r="A3755" t="inlineStr">
        <is>
          <t>A 58263-2020</t>
        </is>
      </c>
      <c r="B3755" s="1" t="n">
        <v>44144</v>
      </c>
      <c r="C3755" s="1" t="n">
        <v>45204</v>
      </c>
      <c r="D3755" t="inlineStr">
        <is>
          <t>VÄSTERBOTTENS LÄN</t>
        </is>
      </c>
      <c r="E3755" t="inlineStr">
        <is>
          <t>UMEÅ</t>
        </is>
      </c>
      <c r="G3755" t="n">
        <v>7.1</v>
      </c>
      <c r="H3755" t="n">
        <v>0</v>
      </c>
      <c r="I3755" t="n">
        <v>0</v>
      </c>
      <c r="J3755" t="n">
        <v>0</v>
      </c>
      <c r="K3755" t="n">
        <v>0</v>
      </c>
      <c r="L3755" t="n">
        <v>0</v>
      </c>
      <c r="M3755" t="n">
        <v>0</v>
      </c>
      <c r="N3755" t="n">
        <v>0</v>
      </c>
      <c r="O3755" t="n">
        <v>0</v>
      </c>
      <c r="P3755" t="n">
        <v>0</v>
      </c>
      <c r="Q3755" t="n">
        <v>0</v>
      </c>
      <c r="R3755" s="2" t="inlineStr"/>
    </row>
    <row r="3756" ht="15" customHeight="1">
      <c r="A3756" t="inlineStr">
        <is>
          <t>A 58520-2020</t>
        </is>
      </c>
      <c r="B3756" s="1" t="n">
        <v>44144</v>
      </c>
      <c r="C3756" s="1" t="n">
        <v>45204</v>
      </c>
      <c r="D3756" t="inlineStr">
        <is>
          <t>VÄSTERBOTTENS LÄN</t>
        </is>
      </c>
      <c r="E3756" t="inlineStr">
        <is>
          <t>SKELLEFTEÅ</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58597-2020</t>
        </is>
      </c>
      <c r="B3757" s="1" t="n">
        <v>44145</v>
      </c>
      <c r="C3757" s="1" t="n">
        <v>45204</v>
      </c>
      <c r="D3757" t="inlineStr">
        <is>
          <t>VÄSTERBOTTENS LÄN</t>
        </is>
      </c>
      <c r="E3757" t="inlineStr">
        <is>
          <t>SORSELE</t>
        </is>
      </c>
      <c r="G3757" t="n">
        <v>30.2</v>
      </c>
      <c r="H3757" t="n">
        <v>0</v>
      </c>
      <c r="I3757" t="n">
        <v>0</v>
      </c>
      <c r="J3757" t="n">
        <v>0</v>
      </c>
      <c r="K3757" t="n">
        <v>0</v>
      </c>
      <c r="L3757" t="n">
        <v>0</v>
      </c>
      <c r="M3757" t="n">
        <v>0</v>
      </c>
      <c r="N3757" t="n">
        <v>0</v>
      </c>
      <c r="O3757" t="n">
        <v>0</v>
      </c>
      <c r="P3757" t="n">
        <v>0</v>
      </c>
      <c r="Q3757" t="n">
        <v>0</v>
      </c>
      <c r="R3757" s="2" t="inlineStr"/>
    </row>
    <row r="3758" ht="15" customHeight="1">
      <c r="A3758" t="inlineStr">
        <is>
          <t>A 58614-2020</t>
        </is>
      </c>
      <c r="B3758" s="1" t="n">
        <v>44145</v>
      </c>
      <c r="C3758" s="1" t="n">
        <v>45204</v>
      </c>
      <c r="D3758" t="inlineStr">
        <is>
          <t>VÄSTERBOTTENS LÄN</t>
        </is>
      </c>
      <c r="E3758" t="inlineStr">
        <is>
          <t>VÄNNÄS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58769-2020</t>
        </is>
      </c>
      <c r="B3759" s="1" t="n">
        <v>44145</v>
      </c>
      <c r="C3759" s="1" t="n">
        <v>45204</v>
      </c>
      <c r="D3759" t="inlineStr">
        <is>
          <t>VÄSTERBOTTENS LÄN</t>
        </is>
      </c>
      <c r="E3759" t="inlineStr">
        <is>
          <t>SKELLEFTEÅ</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58607-2020</t>
        </is>
      </c>
      <c r="B3760" s="1" t="n">
        <v>44145</v>
      </c>
      <c r="C3760" s="1" t="n">
        <v>45204</v>
      </c>
      <c r="D3760" t="inlineStr">
        <is>
          <t>VÄSTERBOTTENS LÄN</t>
        </is>
      </c>
      <c r="E3760" t="inlineStr">
        <is>
          <t>SORSELE</t>
        </is>
      </c>
      <c r="G3760" t="n">
        <v>48.4</v>
      </c>
      <c r="H3760" t="n">
        <v>0</v>
      </c>
      <c r="I3760" t="n">
        <v>0</v>
      </c>
      <c r="J3760" t="n">
        <v>0</v>
      </c>
      <c r="K3760" t="n">
        <v>0</v>
      </c>
      <c r="L3760" t="n">
        <v>0</v>
      </c>
      <c r="M3760" t="n">
        <v>0</v>
      </c>
      <c r="N3760" t="n">
        <v>0</v>
      </c>
      <c r="O3760" t="n">
        <v>0</v>
      </c>
      <c r="P3760" t="n">
        <v>0</v>
      </c>
      <c r="Q3760" t="n">
        <v>0</v>
      </c>
      <c r="R3760" s="2" t="inlineStr"/>
    </row>
    <row r="3761" ht="15" customHeight="1">
      <c r="A3761" t="inlineStr">
        <is>
          <t>A 58544-2020</t>
        </is>
      </c>
      <c r="B3761" s="1" t="n">
        <v>44145</v>
      </c>
      <c r="C3761" s="1" t="n">
        <v>45204</v>
      </c>
      <c r="D3761" t="inlineStr">
        <is>
          <t>VÄSTERBOTTENS LÄN</t>
        </is>
      </c>
      <c r="E3761" t="inlineStr">
        <is>
          <t>SKELLEFTEÅ</t>
        </is>
      </c>
      <c r="F3761" t="inlineStr">
        <is>
          <t>Holmen skog AB</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58611-2020</t>
        </is>
      </c>
      <c r="B3762" s="1" t="n">
        <v>44145</v>
      </c>
      <c r="C3762" s="1" t="n">
        <v>45204</v>
      </c>
      <c r="D3762" t="inlineStr">
        <is>
          <t>VÄSTERBOTTENS LÄN</t>
        </is>
      </c>
      <c r="E3762" t="inlineStr">
        <is>
          <t>SORSELE</t>
        </is>
      </c>
      <c r="G3762" t="n">
        <v>47.9</v>
      </c>
      <c r="H3762" t="n">
        <v>0</v>
      </c>
      <c r="I3762" t="n">
        <v>0</v>
      </c>
      <c r="J3762" t="n">
        <v>0</v>
      </c>
      <c r="K3762" t="n">
        <v>0</v>
      </c>
      <c r="L3762" t="n">
        <v>0</v>
      </c>
      <c r="M3762" t="n">
        <v>0</v>
      </c>
      <c r="N3762" t="n">
        <v>0</v>
      </c>
      <c r="O3762" t="n">
        <v>0</v>
      </c>
      <c r="P3762" t="n">
        <v>0</v>
      </c>
      <c r="Q3762" t="n">
        <v>0</v>
      </c>
      <c r="R3762" s="2" t="inlineStr"/>
    </row>
    <row r="3763" ht="15" customHeight="1">
      <c r="A3763" t="inlineStr">
        <is>
          <t>A 58787-2020</t>
        </is>
      </c>
      <c r="B3763" s="1" t="n">
        <v>44146</v>
      </c>
      <c r="C3763" s="1" t="n">
        <v>45204</v>
      </c>
      <c r="D3763" t="inlineStr">
        <is>
          <t>VÄSTERBOTTENS LÄN</t>
        </is>
      </c>
      <c r="E3763" t="inlineStr">
        <is>
          <t>MALÅ</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58797-2020</t>
        </is>
      </c>
      <c r="B3764" s="1" t="n">
        <v>44146</v>
      </c>
      <c r="C3764" s="1" t="n">
        <v>45204</v>
      </c>
      <c r="D3764" t="inlineStr">
        <is>
          <t>VÄSTERBOTTENS LÄN</t>
        </is>
      </c>
      <c r="E3764" t="inlineStr">
        <is>
          <t>MALÅ</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58869-2020</t>
        </is>
      </c>
      <c r="B3765" s="1" t="n">
        <v>44146</v>
      </c>
      <c r="C3765" s="1" t="n">
        <v>45204</v>
      </c>
      <c r="D3765" t="inlineStr">
        <is>
          <t>VÄSTERBOTTENS LÄN</t>
        </is>
      </c>
      <c r="E3765" t="inlineStr">
        <is>
          <t>VINDELN</t>
        </is>
      </c>
      <c r="F3765" t="inlineStr">
        <is>
          <t>Holmen skog AB</t>
        </is>
      </c>
      <c r="G3765" t="n">
        <v>6.1</v>
      </c>
      <c r="H3765" t="n">
        <v>0</v>
      </c>
      <c r="I3765" t="n">
        <v>0</v>
      </c>
      <c r="J3765" t="n">
        <v>0</v>
      </c>
      <c r="K3765" t="n">
        <v>0</v>
      </c>
      <c r="L3765" t="n">
        <v>0</v>
      </c>
      <c r="M3765" t="n">
        <v>0</v>
      </c>
      <c r="N3765" t="n">
        <v>0</v>
      </c>
      <c r="O3765" t="n">
        <v>0</v>
      </c>
      <c r="P3765" t="n">
        <v>0</v>
      </c>
      <c r="Q3765" t="n">
        <v>0</v>
      </c>
      <c r="R3765" s="2" t="inlineStr"/>
    </row>
    <row r="3766" ht="15" customHeight="1">
      <c r="A3766" t="inlineStr">
        <is>
          <t>A 58913-2020</t>
        </is>
      </c>
      <c r="B3766" s="1" t="n">
        <v>44146</v>
      </c>
      <c r="C3766" s="1" t="n">
        <v>45204</v>
      </c>
      <c r="D3766" t="inlineStr">
        <is>
          <t>VÄSTERBOTTENS LÄN</t>
        </is>
      </c>
      <c r="E3766" t="inlineStr">
        <is>
          <t>UMEÅ</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58794-2020</t>
        </is>
      </c>
      <c r="B3767" s="1" t="n">
        <v>44146</v>
      </c>
      <c r="C3767" s="1" t="n">
        <v>45204</v>
      </c>
      <c r="D3767" t="inlineStr">
        <is>
          <t>VÄSTERBOTTENS LÄN</t>
        </is>
      </c>
      <c r="E3767" t="inlineStr">
        <is>
          <t>MALÅ</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58799-2020</t>
        </is>
      </c>
      <c r="B3768" s="1" t="n">
        <v>44146</v>
      </c>
      <c r="C3768" s="1" t="n">
        <v>45204</v>
      </c>
      <c r="D3768" t="inlineStr">
        <is>
          <t>VÄSTERBOTTENS LÄN</t>
        </is>
      </c>
      <c r="E3768" t="inlineStr">
        <is>
          <t>MALÅ</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58710-2020</t>
        </is>
      </c>
      <c r="B3769" s="1" t="n">
        <v>44146</v>
      </c>
      <c r="C3769" s="1" t="n">
        <v>45204</v>
      </c>
      <c r="D3769" t="inlineStr">
        <is>
          <t>VÄSTERBOTTENS LÄN</t>
        </is>
      </c>
      <c r="E3769" t="inlineStr">
        <is>
          <t>UMEÅ</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58796-2020</t>
        </is>
      </c>
      <c r="B3770" s="1" t="n">
        <v>44146</v>
      </c>
      <c r="C3770" s="1" t="n">
        <v>45204</v>
      </c>
      <c r="D3770" t="inlineStr">
        <is>
          <t>VÄSTERBOTTENS LÄN</t>
        </is>
      </c>
      <c r="E3770" t="inlineStr">
        <is>
          <t>MALÅ</t>
        </is>
      </c>
      <c r="G3770" t="n">
        <v>2.8</v>
      </c>
      <c r="H3770" t="n">
        <v>0</v>
      </c>
      <c r="I3770" t="n">
        <v>0</v>
      </c>
      <c r="J3770" t="n">
        <v>0</v>
      </c>
      <c r="K3770" t="n">
        <v>0</v>
      </c>
      <c r="L3770" t="n">
        <v>0</v>
      </c>
      <c r="M3770" t="n">
        <v>0</v>
      </c>
      <c r="N3770" t="n">
        <v>0</v>
      </c>
      <c r="O3770" t="n">
        <v>0</v>
      </c>
      <c r="P3770" t="n">
        <v>0</v>
      </c>
      <c r="Q3770" t="n">
        <v>0</v>
      </c>
      <c r="R3770" s="2" t="inlineStr"/>
    </row>
    <row r="3771" ht="15" customHeight="1">
      <c r="A3771" t="inlineStr">
        <is>
          <t>A 58700-2020</t>
        </is>
      </c>
      <c r="B3771" s="1" t="n">
        <v>44146</v>
      </c>
      <c r="C3771" s="1" t="n">
        <v>45204</v>
      </c>
      <c r="D3771" t="inlineStr">
        <is>
          <t>VÄSTERBOTTENS LÄN</t>
        </is>
      </c>
      <c r="E3771" t="inlineStr">
        <is>
          <t>VINDELN</t>
        </is>
      </c>
      <c r="F3771" t="inlineStr">
        <is>
          <t>Holmen skog AB</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58861-2020</t>
        </is>
      </c>
      <c r="B3772" s="1" t="n">
        <v>44146</v>
      </c>
      <c r="C3772" s="1" t="n">
        <v>45204</v>
      </c>
      <c r="D3772" t="inlineStr">
        <is>
          <t>VÄSTERBOTTENS LÄN</t>
        </is>
      </c>
      <c r="E3772" t="inlineStr">
        <is>
          <t>SKELLEFTEÅ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58916-2020</t>
        </is>
      </c>
      <c r="B3773" s="1" t="n">
        <v>44146</v>
      </c>
      <c r="C3773" s="1" t="n">
        <v>45204</v>
      </c>
      <c r="D3773" t="inlineStr">
        <is>
          <t>VÄSTERBOTTENS LÄN</t>
        </is>
      </c>
      <c r="E3773" t="inlineStr">
        <is>
          <t>UMEÅ</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59029-2020</t>
        </is>
      </c>
      <c r="B3774" s="1" t="n">
        <v>44147</v>
      </c>
      <c r="C3774" s="1" t="n">
        <v>45204</v>
      </c>
      <c r="D3774" t="inlineStr">
        <is>
          <t>VÄSTERBOTTENS LÄN</t>
        </is>
      </c>
      <c r="E3774" t="inlineStr">
        <is>
          <t>LYCKSELE</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59196-2020</t>
        </is>
      </c>
      <c r="B3775" s="1" t="n">
        <v>44147</v>
      </c>
      <c r="C3775" s="1" t="n">
        <v>45204</v>
      </c>
      <c r="D3775" t="inlineStr">
        <is>
          <t>VÄSTERBOTTENS LÄN</t>
        </is>
      </c>
      <c r="E3775" t="inlineStr">
        <is>
          <t>UMEÅ</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59253-2020</t>
        </is>
      </c>
      <c r="B3776" s="1" t="n">
        <v>44147</v>
      </c>
      <c r="C3776" s="1" t="n">
        <v>45204</v>
      </c>
      <c r="D3776" t="inlineStr">
        <is>
          <t>VÄSTERBOTTENS LÄN</t>
        </is>
      </c>
      <c r="E3776" t="inlineStr">
        <is>
          <t>ROBERTSFORS</t>
        </is>
      </c>
      <c r="G3776" t="n">
        <v>2.7</v>
      </c>
      <c r="H3776" t="n">
        <v>0</v>
      </c>
      <c r="I3776" t="n">
        <v>0</v>
      </c>
      <c r="J3776" t="n">
        <v>0</v>
      </c>
      <c r="K3776" t="n">
        <v>0</v>
      </c>
      <c r="L3776" t="n">
        <v>0</v>
      </c>
      <c r="M3776" t="n">
        <v>0</v>
      </c>
      <c r="N3776" t="n">
        <v>0</v>
      </c>
      <c r="O3776" t="n">
        <v>0</v>
      </c>
      <c r="P3776" t="n">
        <v>0</v>
      </c>
      <c r="Q3776" t="n">
        <v>0</v>
      </c>
      <c r="R3776" s="2" t="inlineStr"/>
    </row>
    <row r="3777" ht="15" customHeight="1">
      <c r="A3777" t="inlineStr">
        <is>
          <t>A 59408-2020</t>
        </is>
      </c>
      <c r="B3777" s="1" t="n">
        <v>44147</v>
      </c>
      <c r="C3777" s="1" t="n">
        <v>45204</v>
      </c>
      <c r="D3777" t="inlineStr">
        <is>
          <t>VÄSTERBOTTENS LÄN</t>
        </is>
      </c>
      <c r="E3777" t="inlineStr">
        <is>
          <t>SKELLEFTEÅ</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59261-2020</t>
        </is>
      </c>
      <c r="B3778" s="1" t="n">
        <v>44147</v>
      </c>
      <c r="C3778" s="1" t="n">
        <v>45204</v>
      </c>
      <c r="D3778" t="inlineStr">
        <is>
          <t>VÄSTERBOTTENS LÄN</t>
        </is>
      </c>
      <c r="E3778" t="inlineStr">
        <is>
          <t>LYCKSELE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59309-2020</t>
        </is>
      </c>
      <c r="B3779" s="1" t="n">
        <v>44147</v>
      </c>
      <c r="C3779" s="1" t="n">
        <v>45204</v>
      </c>
      <c r="D3779" t="inlineStr">
        <is>
          <t>VÄSTERBOTTENS LÄN</t>
        </is>
      </c>
      <c r="E3779" t="inlineStr">
        <is>
          <t>ÅSELE</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59406-2020</t>
        </is>
      </c>
      <c r="B3780" s="1" t="n">
        <v>44147</v>
      </c>
      <c r="C3780" s="1" t="n">
        <v>45204</v>
      </c>
      <c r="D3780" t="inlineStr">
        <is>
          <t>VÄSTERBOTTENS LÄN</t>
        </is>
      </c>
      <c r="E3780" t="inlineStr">
        <is>
          <t>SKELLEFTEÅ</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59031-2020</t>
        </is>
      </c>
      <c r="B3781" s="1" t="n">
        <v>44147</v>
      </c>
      <c r="C3781" s="1" t="n">
        <v>45204</v>
      </c>
      <c r="D3781" t="inlineStr">
        <is>
          <t>VÄSTERBOTTENS LÄN</t>
        </is>
      </c>
      <c r="E3781" t="inlineStr">
        <is>
          <t>NORSJÖ</t>
        </is>
      </c>
      <c r="F3781" t="inlineStr">
        <is>
          <t>Sveaskog</t>
        </is>
      </c>
      <c r="G3781" t="n">
        <v>0.1</v>
      </c>
      <c r="H3781" t="n">
        <v>0</v>
      </c>
      <c r="I3781" t="n">
        <v>0</v>
      </c>
      <c r="J3781" t="n">
        <v>0</v>
      </c>
      <c r="K3781" t="n">
        <v>0</v>
      </c>
      <c r="L3781" t="n">
        <v>0</v>
      </c>
      <c r="M3781" t="n">
        <v>0</v>
      </c>
      <c r="N3781" t="n">
        <v>0</v>
      </c>
      <c r="O3781" t="n">
        <v>0</v>
      </c>
      <c r="P3781" t="n">
        <v>0</v>
      </c>
      <c r="Q3781" t="n">
        <v>0</v>
      </c>
      <c r="R3781" s="2" t="inlineStr"/>
    </row>
    <row r="3782" ht="15" customHeight="1">
      <c r="A3782" t="inlineStr">
        <is>
          <t>A 59264-2020</t>
        </is>
      </c>
      <c r="B3782" s="1" t="n">
        <v>44147</v>
      </c>
      <c r="C3782" s="1" t="n">
        <v>45204</v>
      </c>
      <c r="D3782" t="inlineStr">
        <is>
          <t>VÄSTERBOTTENS LÄN</t>
        </is>
      </c>
      <c r="E3782" t="inlineStr">
        <is>
          <t>LYCKSELE</t>
        </is>
      </c>
      <c r="F3782" t="inlineStr">
        <is>
          <t>Sveaskog</t>
        </is>
      </c>
      <c r="G3782" t="n">
        <v>5.5</v>
      </c>
      <c r="H3782" t="n">
        <v>0</v>
      </c>
      <c r="I3782" t="n">
        <v>0</v>
      </c>
      <c r="J3782" t="n">
        <v>0</v>
      </c>
      <c r="K3782" t="n">
        <v>0</v>
      </c>
      <c r="L3782" t="n">
        <v>0</v>
      </c>
      <c r="M3782" t="n">
        <v>0</v>
      </c>
      <c r="N3782" t="n">
        <v>0</v>
      </c>
      <c r="O3782" t="n">
        <v>0</v>
      </c>
      <c r="P3782" t="n">
        <v>0</v>
      </c>
      <c r="Q3782" t="n">
        <v>0</v>
      </c>
      <c r="R3782" s="2" t="inlineStr"/>
    </row>
    <row r="3783" ht="15" customHeight="1">
      <c r="A3783" t="inlineStr">
        <is>
          <t>A 59307-2020</t>
        </is>
      </c>
      <c r="B3783" s="1" t="n">
        <v>44147</v>
      </c>
      <c r="C3783" s="1" t="n">
        <v>45204</v>
      </c>
      <c r="D3783" t="inlineStr">
        <is>
          <t>VÄSTERBOTTENS LÄN</t>
        </is>
      </c>
      <c r="E3783" t="inlineStr">
        <is>
          <t>ÅSELE</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59358-2020</t>
        </is>
      </c>
      <c r="B3784" s="1" t="n">
        <v>44147</v>
      </c>
      <c r="C3784" s="1" t="n">
        <v>45204</v>
      </c>
      <c r="D3784" t="inlineStr">
        <is>
          <t>VÄSTERBOTTENS LÄN</t>
        </is>
      </c>
      <c r="E3784" t="inlineStr">
        <is>
          <t>NORDMALING</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59587-2020</t>
        </is>
      </c>
      <c r="B3785" s="1" t="n">
        <v>44148</v>
      </c>
      <c r="C3785" s="1" t="n">
        <v>45204</v>
      </c>
      <c r="D3785" t="inlineStr">
        <is>
          <t>VÄSTERBOTTENS LÄN</t>
        </is>
      </c>
      <c r="E3785" t="inlineStr">
        <is>
          <t>VILHELMINA</t>
        </is>
      </c>
      <c r="F3785" t="inlineStr">
        <is>
          <t>SCA</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59911-2020</t>
        </is>
      </c>
      <c r="B3786" s="1" t="n">
        <v>44148</v>
      </c>
      <c r="C3786" s="1" t="n">
        <v>45204</v>
      </c>
      <c r="D3786" t="inlineStr">
        <is>
          <t>VÄSTERBOTTENS LÄN</t>
        </is>
      </c>
      <c r="E3786" t="inlineStr">
        <is>
          <t>SORSELE</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59546-2020</t>
        </is>
      </c>
      <c r="B3787" s="1" t="n">
        <v>44148</v>
      </c>
      <c r="C3787" s="1" t="n">
        <v>45204</v>
      </c>
      <c r="D3787" t="inlineStr">
        <is>
          <t>VÄSTERBOTTENS LÄN</t>
        </is>
      </c>
      <c r="E3787" t="inlineStr">
        <is>
          <t>LYCKSELE</t>
        </is>
      </c>
      <c r="F3787" t="inlineStr">
        <is>
          <t>Holmen skog AB</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59743-2020</t>
        </is>
      </c>
      <c r="B3788" s="1" t="n">
        <v>44148</v>
      </c>
      <c r="C3788" s="1" t="n">
        <v>45204</v>
      </c>
      <c r="D3788" t="inlineStr">
        <is>
          <t>VÄSTERBOTTENS LÄN</t>
        </is>
      </c>
      <c r="E3788" t="inlineStr">
        <is>
          <t>VILHELMINA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59386-2020</t>
        </is>
      </c>
      <c r="B3789" s="1" t="n">
        <v>44148</v>
      </c>
      <c r="C3789" s="1" t="n">
        <v>45204</v>
      </c>
      <c r="D3789" t="inlineStr">
        <is>
          <t>VÄSTERBOTTENS LÄN</t>
        </is>
      </c>
      <c r="E3789" t="inlineStr">
        <is>
          <t>UMEÅ</t>
        </is>
      </c>
      <c r="F3789" t="inlineStr">
        <is>
          <t>Holmen skog AB</t>
        </is>
      </c>
      <c r="G3789" t="n">
        <v>5</v>
      </c>
      <c r="H3789" t="n">
        <v>0</v>
      </c>
      <c r="I3789" t="n">
        <v>0</v>
      </c>
      <c r="J3789" t="n">
        <v>0</v>
      </c>
      <c r="K3789" t="n">
        <v>0</v>
      </c>
      <c r="L3789" t="n">
        <v>0</v>
      </c>
      <c r="M3789" t="n">
        <v>0</v>
      </c>
      <c r="N3789" t="n">
        <v>0</v>
      </c>
      <c r="O3789" t="n">
        <v>0</v>
      </c>
      <c r="P3789" t="n">
        <v>0</v>
      </c>
      <c r="Q3789" t="n">
        <v>0</v>
      </c>
      <c r="R3789" s="2" t="inlineStr"/>
    </row>
    <row r="3790" ht="15" customHeight="1">
      <c r="A3790" t="inlineStr">
        <is>
          <t>A 59595-2020</t>
        </is>
      </c>
      <c r="B3790" s="1" t="n">
        <v>44148</v>
      </c>
      <c r="C3790" s="1" t="n">
        <v>45204</v>
      </c>
      <c r="D3790" t="inlineStr">
        <is>
          <t>VÄSTERBOTTENS LÄN</t>
        </is>
      </c>
      <c r="E3790" t="inlineStr">
        <is>
          <t>NORDMALING</t>
        </is>
      </c>
      <c r="F3790" t="inlineStr">
        <is>
          <t>SCA</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59917-2020</t>
        </is>
      </c>
      <c r="B3791" s="1" t="n">
        <v>44148</v>
      </c>
      <c r="C3791" s="1" t="n">
        <v>45204</v>
      </c>
      <c r="D3791" t="inlineStr">
        <is>
          <t>VÄSTERBOTTENS LÄN</t>
        </is>
      </c>
      <c r="E3791" t="inlineStr">
        <is>
          <t>SORSELE</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59518-2020</t>
        </is>
      </c>
      <c r="B3792" s="1" t="n">
        <v>44148</v>
      </c>
      <c r="C3792" s="1" t="n">
        <v>45204</v>
      </c>
      <c r="D3792" t="inlineStr">
        <is>
          <t>VÄSTERBOTTENS LÄN</t>
        </is>
      </c>
      <c r="E3792" t="inlineStr">
        <is>
          <t>SKELLEFTEÅ</t>
        </is>
      </c>
      <c r="F3792" t="inlineStr">
        <is>
          <t>Holmen skog AB</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59585-2020</t>
        </is>
      </c>
      <c r="B3793" s="1" t="n">
        <v>44148</v>
      </c>
      <c r="C3793" s="1" t="n">
        <v>45204</v>
      </c>
      <c r="D3793" t="inlineStr">
        <is>
          <t>VÄSTERBOTTENS LÄN</t>
        </is>
      </c>
      <c r="E3793" t="inlineStr">
        <is>
          <t>ÅSELE</t>
        </is>
      </c>
      <c r="F3793" t="inlineStr">
        <is>
          <t>Kommuner</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59621-2020</t>
        </is>
      </c>
      <c r="B3794" s="1" t="n">
        <v>44150</v>
      </c>
      <c r="C3794" s="1" t="n">
        <v>45204</v>
      </c>
      <c r="D3794" t="inlineStr">
        <is>
          <t>VÄSTERBOTTENS LÄN</t>
        </is>
      </c>
      <c r="E3794" t="inlineStr">
        <is>
          <t>SORSELE</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59904-2020</t>
        </is>
      </c>
      <c r="B3795" s="1" t="n">
        <v>44151</v>
      </c>
      <c r="C3795" s="1" t="n">
        <v>45204</v>
      </c>
      <c r="D3795" t="inlineStr">
        <is>
          <t>VÄSTERBOTTENS LÄN</t>
        </is>
      </c>
      <c r="E3795" t="inlineStr">
        <is>
          <t>NORDMALING</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60033-2020</t>
        </is>
      </c>
      <c r="B3796" s="1" t="n">
        <v>44151</v>
      </c>
      <c r="C3796" s="1" t="n">
        <v>45204</v>
      </c>
      <c r="D3796" t="inlineStr">
        <is>
          <t>VÄSTERBOTTENS LÄN</t>
        </is>
      </c>
      <c r="E3796" t="inlineStr">
        <is>
          <t>ÅSELE</t>
        </is>
      </c>
      <c r="F3796" t="inlineStr">
        <is>
          <t>SCA</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60044-2020</t>
        </is>
      </c>
      <c r="B3797" s="1" t="n">
        <v>44151</v>
      </c>
      <c r="C3797" s="1" t="n">
        <v>45204</v>
      </c>
      <c r="D3797" t="inlineStr">
        <is>
          <t>VÄSTERBOTTENS LÄN</t>
        </is>
      </c>
      <c r="E3797" t="inlineStr">
        <is>
          <t>DOROTEA</t>
        </is>
      </c>
      <c r="F3797" t="inlineStr">
        <is>
          <t>SCA</t>
        </is>
      </c>
      <c r="G3797" t="n">
        <v>10.6</v>
      </c>
      <c r="H3797" t="n">
        <v>0</v>
      </c>
      <c r="I3797" t="n">
        <v>0</v>
      </c>
      <c r="J3797" t="n">
        <v>0</v>
      </c>
      <c r="K3797" t="n">
        <v>0</v>
      </c>
      <c r="L3797" t="n">
        <v>0</v>
      </c>
      <c r="M3797" t="n">
        <v>0</v>
      </c>
      <c r="N3797" t="n">
        <v>0</v>
      </c>
      <c r="O3797" t="n">
        <v>0</v>
      </c>
      <c r="P3797" t="n">
        <v>0</v>
      </c>
      <c r="Q3797" t="n">
        <v>0</v>
      </c>
      <c r="R3797" s="2" t="inlineStr"/>
    </row>
    <row r="3798" ht="15" customHeight="1">
      <c r="A3798" t="inlineStr">
        <is>
          <t>A 60287-2020</t>
        </is>
      </c>
      <c r="B3798" s="1" t="n">
        <v>44151</v>
      </c>
      <c r="C3798" s="1" t="n">
        <v>45204</v>
      </c>
      <c r="D3798" t="inlineStr">
        <is>
          <t>VÄSTERBOTTENS LÄN</t>
        </is>
      </c>
      <c r="E3798" t="inlineStr">
        <is>
          <t>VINDELN</t>
        </is>
      </c>
      <c r="G3798" t="n">
        <v>5.6</v>
      </c>
      <c r="H3798" t="n">
        <v>0</v>
      </c>
      <c r="I3798" t="n">
        <v>0</v>
      </c>
      <c r="J3798" t="n">
        <v>0</v>
      </c>
      <c r="K3798" t="n">
        <v>0</v>
      </c>
      <c r="L3798" t="n">
        <v>0</v>
      </c>
      <c r="M3798" t="n">
        <v>0</v>
      </c>
      <c r="N3798" t="n">
        <v>0</v>
      </c>
      <c r="O3798" t="n">
        <v>0</v>
      </c>
      <c r="P3798" t="n">
        <v>0</v>
      </c>
      <c r="Q3798" t="n">
        <v>0</v>
      </c>
      <c r="R3798" s="2" t="inlineStr"/>
    </row>
    <row r="3799" ht="15" customHeight="1">
      <c r="A3799" t="inlineStr">
        <is>
          <t>A 59811-2020</t>
        </is>
      </c>
      <c r="B3799" s="1" t="n">
        <v>44151</v>
      </c>
      <c r="C3799" s="1" t="n">
        <v>45204</v>
      </c>
      <c r="D3799" t="inlineStr">
        <is>
          <t>VÄSTERBOTTENS LÄN</t>
        </is>
      </c>
      <c r="E3799" t="inlineStr">
        <is>
          <t>VINDELN</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60029-2020</t>
        </is>
      </c>
      <c r="B3800" s="1" t="n">
        <v>44151</v>
      </c>
      <c r="C3800" s="1" t="n">
        <v>45204</v>
      </c>
      <c r="D3800" t="inlineStr">
        <is>
          <t>VÄSTERBOTTENS LÄN</t>
        </is>
      </c>
      <c r="E3800" t="inlineStr">
        <is>
          <t>DOROTEA</t>
        </is>
      </c>
      <c r="F3800" t="inlineStr">
        <is>
          <t>SCA</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60041-2020</t>
        </is>
      </c>
      <c r="B3801" s="1" t="n">
        <v>44151</v>
      </c>
      <c r="C3801" s="1" t="n">
        <v>45204</v>
      </c>
      <c r="D3801" t="inlineStr">
        <is>
          <t>VÄSTERBOTTENS LÄN</t>
        </is>
      </c>
      <c r="E3801" t="inlineStr">
        <is>
          <t>DOROTEA</t>
        </is>
      </c>
      <c r="F3801" t="inlineStr">
        <is>
          <t>SCA</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60090-2020</t>
        </is>
      </c>
      <c r="B3802" s="1" t="n">
        <v>44151</v>
      </c>
      <c r="C3802" s="1" t="n">
        <v>45204</v>
      </c>
      <c r="D3802" t="inlineStr">
        <is>
          <t>VÄSTERBOTTENS LÄN</t>
        </is>
      </c>
      <c r="E3802" t="inlineStr">
        <is>
          <t>VILHELMINA</t>
        </is>
      </c>
      <c r="G3802" t="n">
        <v>9</v>
      </c>
      <c r="H3802" t="n">
        <v>0</v>
      </c>
      <c r="I3802" t="n">
        <v>0</v>
      </c>
      <c r="J3802" t="n">
        <v>0</v>
      </c>
      <c r="K3802" t="n">
        <v>0</v>
      </c>
      <c r="L3802" t="n">
        <v>0</v>
      </c>
      <c r="M3802" t="n">
        <v>0</v>
      </c>
      <c r="N3802" t="n">
        <v>0</v>
      </c>
      <c r="O3802" t="n">
        <v>0</v>
      </c>
      <c r="P3802" t="n">
        <v>0</v>
      </c>
      <c r="Q3802" t="n">
        <v>0</v>
      </c>
      <c r="R3802" s="2" t="inlineStr"/>
    </row>
    <row r="3803" ht="15" customHeight="1">
      <c r="A3803" t="inlineStr">
        <is>
          <t>A 60157-2020</t>
        </is>
      </c>
      <c r="B3803" s="1" t="n">
        <v>44151</v>
      </c>
      <c r="C3803" s="1" t="n">
        <v>45204</v>
      </c>
      <c r="D3803" t="inlineStr">
        <is>
          <t>VÄSTERBOTTENS LÄN</t>
        </is>
      </c>
      <c r="E3803" t="inlineStr">
        <is>
          <t>UMEÅ</t>
        </is>
      </c>
      <c r="G3803" t="n">
        <v>8.800000000000001</v>
      </c>
      <c r="H3803" t="n">
        <v>0</v>
      </c>
      <c r="I3803" t="n">
        <v>0</v>
      </c>
      <c r="J3803" t="n">
        <v>0</v>
      </c>
      <c r="K3803" t="n">
        <v>0</v>
      </c>
      <c r="L3803" t="n">
        <v>0</v>
      </c>
      <c r="M3803" t="n">
        <v>0</v>
      </c>
      <c r="N3803" t="n">
        <v>0</v>
      </c>
      <c r="O3803" t="n">
        <v>0</v>
      </c>
      <c r="P3803" t="n">
        <v>0</v>
      </c>
      <c r="Q3803" t="n">
        <v>0</v>
      </c>
      <c r="R3803" s="2" t="inlineStr"/>
    </row>
    <row r="3804" ht="15" customHeight="1">
      <c r="A3804" t="inlineStr">
        <is>
          <t>A 60337-2020</t>
        </is>
      </c>
      <c r="B3804" s="1" t="n">
        <v>44151</v>
      </c>
      <c r="C3804" s="1" t="n">
        <v>45204</v>
      </c>
      <c r="D3804" t="inlineStr">
        <is>
          <t>VÄSTERBOTTENS LÄN</t>
        </is>
      </c>
      <c r="E3804" t="inlineStr">
        <is>
          <t>VINDELN</t>
        </is>
      </c>
      <c r="G3804" t="n">
        <v>4.1</v>
      </c>
      <c r="H3804" t="n">
        <v>0</v>
      </c>
      <c r="I3804" t="n">
        <v>0</v>
      </c>
      <c r="J3804" t="n">
        <v>0</v>
      </c>
      <c r="K3804" t="n">
        <v>0</v>
      </c>
      <c r="L3804" t="n">
        <v>0</v>
      </c>
      <c r="M3804" t="n">
        <v>0</v>
      </c>
      <c r="N3804" t="n">
        <v>0</v>
      </c>
      <c r="O3804" t="n">
        <v>0</v>
      </c>
      <c r="P3804" t="n">
        <v>0</v>
      </c>
      <c r="Q3804" t="n">
        <v>0</v>
      </c>
      <c r="R3804" s="2" t="inlineStr"/>
    </row>
    <row r="3805" ht="15" customHeight="1">
      <c r="A3805" t="inlineStr">
        <is>
          <t>A 59829-2020</t>
        </is>
      </c>
      <c r="B3805" s="1" t="n">
        <v>44151</v>
      </c>
      <c r="C3805" s="1" t="n">
        <v>45204</v>
      </c>
      <c r="D3805" t="inlineStr">
        <is>
          <t>VÄSTERBOTTENS LÄN</t>
        </is>
      </c>
      <c r="E3805" t="inlineStr">
        <is>
          <t>LYCKSELE</t>
        </is>
      </c>
      <c r="F3805" t="inlineStr">
        <is>
          <t>Sveaskog</t>
        </is>
      </c>
      <c r="G3805" t="n">
        <v>6.7</v>
      </c>
      <c r="H3805" t="n">
        <v>0</v>
      </c>
      <c r="I3805" t="n">
        <v>0</v>
      </c>
      <c r="J3805" t="n">
        <v>0</v>
      </c>
      <c r="K3805" t="n">
        <v>0</v>
      </c>
      <c r="L3805" t="n">
        <v>0</v>
      </c>
      <c r="M3805" t="n">
        <v>0</v>
      </c>
      <c r="N3805" t="n">
        <v>0</v>
      </c>
      <c r="O3805" t="n">
        <v>0</v>
      </c>
      <c r="P3805" t="n">
        <v>0</v>
      </c>
      <c r="Q3805" t="n">
        <v>0</v>
      </c>
      <c r="R3805" s="2" t="inlineStr"/>
    </row>
    <row r="3806" ht="15" customHeight="1">
      <c r="A3806" t="inlineStr">
        <is>
          <t>A 60032-2020</t>
        </is>
      </c>
      <c r="B3806" s="1" t="n">
        <v>44151</v>
      </c>
      <c r="C3806" s="1" t="n">
        <v>45204</v>
      </c>
      <c r="D3806" t="inlineStr">
        <is>
          <t>VÄSTERBOTTENS LÄN</t>
        </is>
      </c>
      <c r="E3806" t="inlineStr">
        <is>
          <t>ÅSELE</t>
        </is>
      </c>
      <c r="F3806" t="inlineStr">
        <is>
          <t>SCA</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59870-2020</t>
        </is>
      </c>
      <c r="B3807" s="1" t="n">
        <v>44151</v>
      </c>
      <c r="C3807" s="1" t="n">
        <v>45204</v>
      </c>
      <c r="D3807" t="inlineStr">
        <is>
          <t>VÄSTERBOTTENS LÄN</t>
        </is>
      </c>
      <c r="E3807" t="inlineStr">
        <is>
          <t>SKELLEFTEÅ</t>
        </is>
      </c>
      <c r="F3807" t="inlineStr">
        <is>
          <t>Kommuner</t>
        </is>
      </c>
      <c r="G3807" t="n">
        <v>5.7</v>
      </c>
      <c r="H3807" t="n">
        <v>0</v>
      </c>
      <c r="I3807" t="n">
        <v>0</v>
      </c>
      <c r="J3807" t="n">
        <v>0</v>
      </c>
      <c r="K3807" t="n">
        <v>0</v>
      </c>
      <c r="L3807" t="n">
        <v>0</v>
      </c>
      <c r="M3807" t="n">
        <v>0</v>
      </c>
      <c r="N3807" t="n">
        <v>0</v>
      </c>
      <c r="O3807" t="n">
        <v>0</v>
      </c>
      <c r="P3807" t="n">
        <v>0</v>
      </c>
      <c r="Q3807" t="n">
        <v>0</v>
      </c>
      <c r="R3807" s="2" t="inlineStr"/>
    </row>
    <row r="3808" ht="15" customHeight="1">
      <c r="A3808" t="inlineStr">
        <is>
          <t>A 60038-2020</t>
        </is>
      </c>
      <c r="B3808" s="1" t="n">
        <v>44151</v>
      </c>
      <c r="C3808" s="1" t="n">
        <v>45204</v>
      </c>
      <c r="D3808" t="inlineStr">
        <is>
          <t>VÄSTERBOTTENS LÄN</t>
        </is>
      </c>
      <c r="E3808" t="inlineStr">
        <is>
          <t>ÅSELE</t>
        </is>
      </c>
      <c r="F3808" t="inlineStr">
        <is>
          <t>SCA</t>
        </is>
      </c>
      <c r="G3808" t="n">
        <v>9.6</v>
      </c>
      <c r="H3808" t="n">
        <v>0</v>
      </c>
      <c r="I3808" t="n">
        <v>0</v>
      </c>
      <c r="J3808" t="n">
        <v>0</v>
      </c>
      <c r="K3808" t="n">
        <v>0</v>
      </c>
      <c r="L3808" t="n">
        <v>0</v>
      </c>
      <c r="M3808" t="n">
        <v>0</v>
      </c>
      <c r="N3808" t="n">
        <v>0</v>
      </c>
      <c r="O3808" t="n">
        <v>0</v>
      </c>
      <c r="P3808" t="n">
        <v>0</v>
      </c>
      <c r="Q3808" t="n">
        <v>0</v>
      </c>
      <c r="R3808" s="2" t="inlineStr"/>
    </row>
    <row r="3809" ht="15" customHeight="1">
      <c r="A3809" t="inlineStr">
        <is>
          <t>A 60152-2020</t>
        </is>
      </c>
      <c r="B3809" s="1" t="n">
        <v>44151</v>
      </c>
      <c r="C3809" s="1" t="n">
        <v>45204</v>
      </c>
      <c r="D3809" t="inlineStr">
        <is>
          <t>VÄSTERBOTTENS LÄN</t>
        </is>
      </c>
      <c r="E3809" t="inlineStr">
        <is>
          <t>SKELLEFTEÅ</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60117-2020</t>
        </is>
      </c>
      <c r="B3810" s="1" t="n">
        <v>44152</v>
      </c>
      <c r="C3810" s="1" t="n">
        <v>45204</v>
      </c>
      <c r="D3810" t="inlineStr">
        <is>
          <t>VÄSTERBOTTENS LÄN</t>
        </is>
      </c>
      <c r="E3810" t="inlineStr">
        <is>
          <t>BJURHOLM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60398-2020</t>
        </is>
      </c>
      <c r="B3811" s="1" t="n">
        <v>44152</v>
      </c>
      <c r="C3811" s="1" t="n">
        <v>45204</v>
      </c>
      <c r="D3811" t="inlineStr">
        <is>
          <t>VÄSTERBOTTENS LÄN</t>
        </is>
      </c>
      <c r="E3811" t="inlineStr">
        <is>
          <t>DOROTEA</t>
        </is>
      </c>
      <c r="F3811" t="inlineStr">
        <is>
          <t>SCA</t>
        </is>
      </c>
      <c r="G3811" t="n">
        <v>9</v>
      </c>
      <c r="H3811" t="n">
        <v>0</v>
      </c>
      <c r="I3811" t="n">
        <v>0</v>
      </c>
      <c r="J3811" t="n">
        <v>0</v>
      </c>
      <c r="K3811" t="n">
        <v>0</v>
      </c>
      <c r="L3811" t="n">
        <v>0</v>
      </c>
      <c r="M3811" t="n">
        <v>0</v>
      </c>
      <c r="N3811" t="n">
        <v>0</v>
      </c>
      <c r="O3811" t="n">
        <v>0</v>
      </c>
      <c r="P3811" t="n">
        <v>0</v>
      </c>
      <c r="Q3811" t="n">
        <v>0</v>
      </c>
      <c r="R3811" s="2" t="inlineStr"/>
    </row>
    <row r="3812" ht="15" customHeight="1">
      <c r="A3812" t="inlineStr">
        <is>
          <t>A 60402-2020</t>
        </is>
      </c>
      <c r="B3812" s="1" t="n">
        <v>44152</v>
      </c>
      <c r="C3812" s="1" t="n">
        <v>45204</v>
      </c>
      <c r="D3812" t="inlineStr">
        <is>
          <t>VÄSTERBOTTENS LÄN</t>
        </is>
      </c>
      <c r="E3812" t="inlineStr">
        <is>
          <t>NORDMALING</t>
        </is>
      </c>
      <c r="F3812" t="inlineStr">
        <is>
          <t>SCA</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60469-2020</t>
        </is>
      </c>
      <c r="B3813" s="1" t="n">
        <v>44152</v>
      </c>
      <c r="C3813" s="1" t="n">
        <v>45204</v>
      </c>
      <c r="D3813" t="inlineStr">
        <is>
          <t>VÄSTERBOTTENS LÄN</t>
        </is>
      </c>
      <c r="E3813" t="inlineStr">
        <is>
          <t>VÄNNÄS</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60216-2020</t>
        </is>
      </c>
      <c r="B3814" s="1" t="n">
        <v>44152</v>
      </c>
      <c r="C3814" s="1" t="n">
        <v>45204</v>
      </c>
      <c r="D3814" t="inlineStr">
        <is>
          <t>VÄSTERBOTTENS LÄN</t>
        </is>
      </c>
      <c r="E3814" t="inlineStr">
        <is>
          <t>NORSJÖ</t>
        </is>
      </c>
      <c r="F3814" t="inlineStr">
        <is>
          <t>Sveaskog</t>
        </is>
      </c>
      <c r="G3814" t="n">
        <v>11.3</v>
      </c>
      <c r="H3814" t="n">
        <v>0</v>
      </c>
      <c r="I3814" t="n">
        <v>0</v>
      </c>
      <c r="J3814" t="n">
        <v>0</v>
      </c>
      <c r="K3814" t="n">
        <v>0</v>
      </c>
      <c r="L3814" t="n">
        <v>0</v>
      </c>
      <c r="M3814" t="n">
        <v>0</v>
      </c>
      <c r="N3814" t="n">
        <v>0</v>
      </c>
      <c r="O3814" t="n">
        <v>0</v>
      </c>
      <c r="P3814" t="n">
        <v>0</v>
      </c>
      <c r="Q3814" t="n">
        <v>0</v>
      </c>
      <c r="R3814" s="2" t="inlineStr"/>
    </row>
    <row r="3815" ht="15" customHeight="1">
      <c r="A3815" t="inlineStr">
        <is>
          <t>A 60399-2020</t>
        </is>
      </c>
      <c r="B3815" s="1" t="n">
        <v>44152</v>
      </c>
      <c r="C3815" s="1" t="n">
        <v>45204</v>
      </c>
      <c r="D3815" t="inlineStr">
        <is>
          <t>VÄSTERBOTTENS LÄN</t>
        </is>
      </c>
      <c r="E3815" t="inlineStr">
        <is>
          <t>DOROTEA</t>
        </is>
      </c>
      <c r="F3815" t="inlineStr">
        <is>
          <t>SCA</t>
        </is>
      </c>
      <c r="G3815" t="n">
        <v>9.9</v>
      </c>
      <c r="H3815" t="n">
        <v>0</v>
      </c>
      <c r="I3815" t="n">
        <v>0</v>
      </c>
      <c r="J3815" t="n">
        <v>0</v>
      </c>
      <c r="K3815" t="n">
        <v>0</v>
      </c>
      <c r="L3815" t="n">
        <v>0</v>
      </c>
      <c r="M3815" t="n">
        <v>0</v>
      </c>
      <c r="N3815" t="n">
        <v>0</v>
      </c>
      <c r="O3815" t="n">
        <v>0</v>
      </c>
      <c r="P3815" t="n">
        <v>0</v>
      </c>
      <c r="Q3815" t="n">
        <v>0</v>
      </c>
      <c r="R3815" s="2" t="inlineStr"/>
    </row>
    <row r="3816" ht="15" customHeight="1">
      <c r="A3816" t="inlineStr">
        <is>
          <t>A 60403-2020</t>
        </is>
      </c>
      <c r="B3816" s="1" t="n">
        <v>44152</v>
      </c>
      <c r="C3816" s="1" t="n">
        <v>45204</v>
      </c>
      <c r="D3816" t="inlineStr">
        <is>
          <t>VÄSTERBOTTENS LÄN</t>
        </is>
      </c>
      <c r="E3816" t="inlineStr">
        <is>
          <t>NORDMALING</t>
        </is>
      </c>
      <c r="F3816" t="inlineStr">
        <is>
          <t>SCA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60502-2020</t>
        </is>
      </c>
      <c r="B3817" s="1" t="n">
        <v>44152</v>
      </c>
      <c r="C3817" s="1" t="n">
        <v>45204</v>
      </c>
      <c r="D3817" t="inlineStr">
        <is>
          <t>VÄSTERBOTTENS LÄN</t>
        </is>
      </c>
      <c r="E3817" t="inlineStr">
        <is>
          <t>VÄNNÄS</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60088-2020</t>
        </is>
      </c>
      <c r="B3818" s="1" t="n">
        <v>44152</v>
      </c>
      <c r="C3818" s="1" t="n">
        <v>45204</v>
      </c>
      <c r="D3818" t="inlineStr">
        <is>
          <t>VÄSTERBOTTENS LÄN</t>
        </is>
      </c>
      <c r="E3818" t="inlineStr">
        <is>
          <t>ROBERTSFORS</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60111-2020</t>
        </is>
      </c>
      <c r="B3819" s="1" t="n">
        <v>44152</v>
      </c>
      <c r="C3819" s="1" t="n">
        <v>45204</v>
      </c>
      <c r="D3819" t="inlineStr">
        <is>
          <t>VÄSTERBOTTENS LÄN</t>
        </is>
      </c>
      <c r="E3819" t="inlineStr">
        <is>
          <t>BJURHOLM</t>
        </is>
      </c>
      <c r="G3819" t="n">
        <v>4.9</v>
      </c>
      <c r="H3819" t="n">
        <v>0</v>
      </c>
      <c r="I3819" t="n">
        <v>0</v>
      </c>
      <c r="J3819" t="n">
        <v>0</v>
      </c>
      <c r="K3819" t="n">
        <v>0</v>
      </c>
      <c r="L3819" t="n">
        <v>0</v>
      </c>
      <c r="M3819" t="n">
        <v>0</v>
      </c>
      <c r="N3819" t="n">
        <v>0</v>
      </c>
      <c r="O3819" t="n">
        <v>0</v>
      </c>
      <c r="P3819" t="n">
        <v>0</v>
      </c>
      <c r="Q3819" t="n">
        <v>0</v>
      </c>
      <c r="R3819" s="2" t="inlineStr"/>
    </row>
    <row r="3820" ht="15" customHeight="1">
      <c r="A3820" t="inlineStr">
        <is>
          <t>A 60226-2020</t>
        </is>
      </c>
      <c r="B3820" s="1" t="n">
        <v>44152</v>
      </c>
      <c r="C3820" s="1" t="n">
        <v>45204</v>
      </c>
      <c r="D3820" t="inlineStr">
        <is>
          <t>VÄSTERBOTTENS LÄN</t>
        </is>
      </c>
      <c r="E3820" t="inlineStr">
        <is>
          <t>NORSJÖ</t>
        </is>
      </c>
      <c r="F3820" t="inlineStr">
        <is>
          <t>Sveaskog</t>
        </is>
      </c>
      <c r="G3820" t="n">
        <v>17.4</v>
      </c>
      <c r="H3820" t="n">
        <v>0</v>
      </c>
      <c r="I3820" t="n">
        <v>0</v>
      </c>
      <c r="J3820" t="n">
        <v>0</v>
      </c>
      <c r="K3820" t="n">
        <v>0</v>
      </c>
      <c r="L3820" t="n">
        <v>0</v>
      </c>
      <c r="M3820" t="n">
        <v>0</v>
      </c>
      <c r="N3820" t="n">
        <v>0</v>
      </c>
      <c r="O3820" t="n">
        <v>0</v>
      </c>
      <c r="P3820" t="n">
        <v>0</v>
      </c>
      <c r="Q3820" t="n">
        <v>0</v>
      </c>
      <c r="R3820" s="2" t="inlineStr"/>
    </row>
    <row r="3821" ht="15" customHeight="1">
      <c r="A3821" t="inlineStr">
        <is>
          <t>A 60489-2020</t>
        </is>
      </c>
      <c r="B3821" s="1" t="n">
        <v>44152</v>
      </c>
      <c r="C3821" s="1" t="n">
        <v>45204</v>
      </c>
      <c r="D3821" t="inlineStr">
        <is>
          <t>VÄSTERBOTTENS LÄN</t>
        </is>
      </c>
      <c r="E3821" t="inlineStr">
        <is>
          <t>SKELLEFTEÅ</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60114-2020</t>
        </is>
      </c>
      <c r="B3822" s="1" t="n">
        <v>44152</v>
      </c>
      <c r="C3822" s="1" t="n">
        <v>45204</v>
      </c>
      <c r="D3822" t="inlineStr">
        <is>
          <t>VÄSTERBOTTENS LÄN</t>
        </is>
      </c>
      <c r="E3822" t="inlineStr">
        <is>
          <t>BJURHOLM</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60596-2020</t>
        </is>
      </c>
      <c r="B3823" s="1" t="n">
        <v>44152</v>
      </c>
      <c r="C3823" s="1" t="n">
        <v>45204</v>
      </c>
      <c r="D3823" t="inlineStr">
        <is>
          <t>VÄSTERBOTTENS LÄN</t>
        </is>
      </c>
      <c r="E3823" t="inlineStr">
        <is>
          <t>ÅSELE</t>
        </is>
      </c>
      <c r="G3823" t="n">
        <v>4.7</v>
      </c>
      <c r="H3823" t="n">
        <v>0</v>
      </c>
      <c r="I3823" t="n">
        <v>0</v>
      </c>
      <c r="J3823" t="n">
        <v>0</v>
      </c>
      <c r="K3823" t="n">
        <v>0</v>
      </c>
      <c r="L3823" t="n">
        <v>0</v>
      </c>
      <c r="M3823" t="n">
        <v>0</v>
      </c>
      <c r="N3823" t="n">
        <v>0</v>
      </c>
      <c r="O3823" t="n">
        <v>0</v>
      </c>
      <c r="P3823" t="n">
        <v>0</v>
      </c>
      <c r="Q3823" t="n">
        <v>0</v>
      </c>
      <c r="R3823" s="2" t="inlineStr"/>
    </row>
    <row r="3824" ht="15" customHeight="1">
      <c r="A3824" t="inlineStr">
        <is>
          <t>A 60747-2020</t>
        </is>
      </c>
      <c r="B3824" s="1" t="n">
        <v>44153</v>
      </c>
      <c r="C3824" s="1" t="n">
        <v>45204</v>
      </c>
      <c r="D3824" t="inlineStr">
        <is>
          <t>VÄSTERBOTTENS LÄN</t>
        </is>
      </c>
      <c r="E3824" t="inlineStr">
        <is>
          <t>VINDELN</t>
        </is>
      </c>
      <c r="F3824" t="inlineStr">
        <is>
          <t>SCA</t>
        </is>
      </c>
      <c r="G3824" t="n">
        <v>3</v>
      </c>
      <c r="H3824" t="n">
        <v>0</v>
      </c>
      <c r="I3824" t="n">
        <v>0</v>
      </c>
      <c r="J3824" t="n">
        <v>0</v>
      </c>
      <c r="K3824" t="n">
        <v>0</v>
      </c>
      <c r="L3824" t="n">
        <v>0</v>
      </c>
      <c r="M3824" t="n">
        <v>0</v>
      </c>
      <c r="N3824" t="n">
        <v>0</v>
      </c>
      <c r="O3824" t="n">
        <v>0</v>
      </c>
      <c r="P3824" t="n">
        <v>0</v>
      </c>
      <c r="Q3824" t="n">
        <v>0</v>
      </c>
      <c r="R3824" s="2" t="inlineStr"/>
    </row>
    <row r="3825" ht="15" customHeight="1">
      <c r="A3825" t="inlineStr">
        <is>
          <t>A 60812-2020</t>
        </is>
      </c>
      <c r="B3825" s="1" t="n">
        <v>44153</v>
      </c>
      <c r="C3825" s="1" t="n">
        <v>45204</v>
      </c>
      <c r="D3825" t="inlineStr">
        <is>
          <t>VÄSTERBOTTENS LÄN</t>
        </is>
      </c>
      <c r="E3825" t="inlineStr">
        <is>
          <t>VILHELMINA</t>
        </is>
      </c>
      <c r="F3825" t="inlineStr">
        <is>
          <t>Allmännings- och besparingsskogar</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61241-2020</t>
        </is>
      </c>
      <c r="B3826" s="1" t="n">
        <v>44153</v>
      </c>
      <c r="C3826" s="1" t="n">
        <v>45204</v>
      </c>
      <c r="D3826" t="inlineStr">
        <is>
          <t>VÄSTERBOTTENS LÄN</t>
        </is>
      </c>
      <c r="E3826" t="inlineStr">
        <is>
          <t>UMEÅ</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61260-2020</t>
        </is>
      </c>
      <c r="B3827" s="1" t="n">
        <v>44153</v>
      </c>
      <c r="C3827" s="1" t="n">
        <v>45204</v>
      </c>
      <c r="D3827" t="inlineStr">
        <is>
          <t>VÄSTERBOTTENS LÄN</t>
        </is>
      </c>
      <c r="E3827" t="inlineStr">
        <is>
          <t>SKELLEFTEÅ</t>
        </is>
      </c>
      <c r="G3827" t="n">
        <v>16.1</v>
      </c>
      <c r="H3827" t="n">
        <v>0</v>
      </c>
      <c r="I3827" t="n">
        <v>0</v>
      </c>
      <c r="J3827" t="n">
        <v>0</v>
      </c>
      <c r="K3827" t="n">
        <v>0</v>
      </c>
      <c r="L3827" t="n">
        <v>0</v>
      </c>
      <c r="M3827" t="n">
        <v>0</v>
      </c>
      <c r="N3827" t="n">
        <v>0</v>
      </c>
      <c r="O3827" t="n">
        <v>0</v>
      </c>
      <c r="P3827" t="n">
        <v>0</v>
      </c>
      <c r="Q3827" t="n">
        <v>0</v>
      </c>
      <c r="R3827" s="2" t="inlineStr"/>
    </row>
    <row r="3828" ht="15" customHeight="1">
      <c r="A3828" t="inlineStr">
        <is>
          <t>A 61018-2020</t>
        </is>
      </c>
      <c r="B3828" s="1" t="n">
        <v>44154</v>
      </c>
      <c r="C3828" s="1" t="n">
        <v>45204</v>
      </c>
      <c r="D3828" t="inlineStr">
        <is>
          <t>VÄSTERBOTTENS LÄN</t>
        </is>
      </c>
      <c r="E3828" t="inlineStr">
        <is>
          <t>VINDELN</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61129-2020</t>
        </is>
      </c>
      <c r="B3829" s="1" t="n">
        <v>44154</v>
      </c>
      <c r="C3829" s="1" t="n">
        <v>45204</v>
      </c>
      <c r="D3829" t="inlineStr">
        <is>
          <t>VÄSTERBOTTENS LÄN</t>
        </is>
      </c>
      <c r="E3829" t="inlineStr">
        <is>
          <t>VILHELMINA</t>
        </is>
      </c>
      <c r="F3829" t="inlineStr">
        <is>
          <t>SCA</t>
        </is>
      </c>
      <c r="G3829" t="n">
        <v>5</v>
      </c>
      <c r="H3829" t="n">
        <v>0</v>
      </c>
      <c r="I3829" t="n">
        <v>0</v>
      </c>
      <c r="J3829" t="n">
        <v>0</v>
      </c>
      <c r="K3829" t="n">
        <v>0</v>
      </c>
      <c r="L3829" t="n">
        <v>0</v>
      </c>
      <c r="M3829" t="n">
        <v>0</v>
      </c>
      <c r="N3829" t="n">
        <v>0</v>
      </c>
      <c r="O3829" t="n">
        <v>0</v>
      </c>
      <c r="P3829" t="n">
        <v>0</v>
      </c>
      <c r="Q3829" t="n">
        <v>0</v>
      </c>
      <c r="R3829" s="2" t="inlineStr"/>
    </row>
    <row r="3830" ht="15" customHeight="1">
      <c r="A3830" t="inlineStr">
        <is>
          <t>A 61585-2020</t>
        </is>
      </c>
      <c r="B3830" s="1" t="n">
        <v>44154</v>
      </c>
      <c r="C3830" s="1" t="n">
        <v>45204</v>
      </c>
      <c r="D3830" t="inlineStr">
        <is>
          <t>VÄSTERBOTTENS LÄN</t>
        </is>
      </c>
      <c r="E3830" t="inlineStr">
        <is>
          <t>BJURHOLM</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61920-2020</t>
        </is>
      </c>
      <c r="B3831" s="1" t="n">
        <v>44155</v>
      </c>
      <c r="C3831" s="1" t="n">
        <v>45204</v>
      </c>
      <c r="D3831" t="inlineStr">
        <is>
          <t>VÄSTERBOTTENS LÄN</t>
        </is>
      </c>
      <c r="E3831" t="inlineStr">
        <is>
          <t>VILHELMINA</t>
        </is>
      </c>
      <c r="G3831" t="n">
        <v>7.7</v>
      </c>
      <c r="H3831" t="n">
        <v>0</v>
      </c>
      <c r="I3831" t="n">
        <v>0</v>
      </c>
      <c r="J3831" t="n">
        <v>0</v>
      </c>
      <c r="K3831" t="n">
        <v>0</v>
      </c>
      <c r="L3831" t="n">
        <v>0</v>
      </c>
      <c r="M3831" t="n">
        <v>0</v>
      </c>
      <c r="N3831" t="n">
        <v>0</v>
      </c>
      <c r="O3831" t="n">
        <v>0</v>
      </c>
      <c r="P3831" t="n">
        <v>0</v>
      </c>
      <c r="Q3831" t="n">
        <v>0</v>
      </c>
      <c r="R3831" s="2" t="inlineStr"/>
    </row>
    <row r="3832" ht="15" customHeight="1">
      <c r="A3832" t="inlineStr">
        <is>
          <t>A 61672-2020</t>
        </is>
      </c>
      <c r="B3832" s="1" t="n">
        <v>44155</v>
      </c>
      <c r="C3832" s="1" t="n">
        <v>45204</v>
      </c>
      <c r="D3832" t="inlineStr">
        <is>
          <t>VÄSTERBOTTENS LÄN</t>
        </is>
      </c>
      <c r="E3832" t="inlineStr">
        <is>
          <t>STORUMAN</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61351-2020</t>
        </is>
      </c>
      <c r="B3833" s="1" t="n">
        <v>44155</v>
      </c>
      <c r="C3833" s="1" t="n">
        <v>45204</v>
      </c>
      <c r="D3833" t="inlineStr">
        <is>
          <t>VÄSTERBOTTENS LÄN</t>
        </is>
      </c>
      <c r="E3833" t="inlineStr">
        <is>
          <t>UMEÅ</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61937-2020</t>
        </is>
      </c>
      <c r="B3834" s="1" t="n">
        <v>44155</v>
      </c>
      <c r="C3834" s="1" t="n">
        <v>45204</v>
      </c>
      <c r="D3834" t="inlineStr">
        <is>
          <t>VÄSTERBOTTENS LÄN</t>
        </is>
      </c>
      <c r="E3834" t="inlineStr">
        <is>
          <t>SKELLEFTEÅ</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61958-2020</t>
        </is>
      </c>
      <c r="B3835" s="1" t="n">
        <v>44155</v>
      </c>
      <c r="C3835" s="1" t="n">
        <v>45204</v>
      </c>
      <c r="D3835" t="inlineStr">
        <is>
          <t>VÄSTERBOTTENS LÄN</t>
        </is>
      </c>
      <c r="E3835" t="inlineStr">
        <is>
          <t>SKELLEFTEÅ</t>
        </is>
      </c>
      <c r="G3835" t="n">
        <v>2.2</v>
      </c>
      <c r="H3835" t="n">
        <v>0</v>
      </c>
      <c r="I3835" t="n">
        <v>0</v>
      </c>
      <c r="J3835" t="n">
        <v>0</v>
      </c>
      <c r="K3835" t="n">
        <v>0</v>
      </c>
      <c r="L3835" t="n">
        <v>0</v>
      </c>
      <c r="M3835" t="n">
        <v>0</v>
      </c>
      <c r="N3835" t="n">
        <v>0</v>
      </c>
      <c r="O3835" t="n">
        <v>0</v>
      </c>
      <c r="P3835" t="n">
        <v>0</v>
      </c>
      <c r="Q3835" t="n">
        <v>0</v>
      </c>
      <c r="R3835" s="2" t="inlineStr"/>
    </row>
    <row r="3836" ht="15" customHeight="1">
      <c r="A3836" t="inlineStr">
        <is>
          <t>A 61412-2020</t>
        </is>
      </c>
      <c r="B3836" s="1" t="n">
        <v>44156</v>
      </c>
      <c r="C3836" s="1" t="n">
        <v>45204</v>
      </c>
      <c r="D3836" t="inlineStr">
        <is>
          <t>VÄSTERBOTTENS LÄN</t>
        </is>
      </c>
      <c r="E3836" t="inlineStr">
        <is>
          <t>BJURHOLM</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61444-2020</t>
        </is>
      </c>
      <c r="B3837" s="1" t="n">
        <v>44157</v>
      </c>
      <c r="C3837" s="1" t="n">
        <v>45204</v>
      </c>
      <c r="D3837" t="inlineStr">
        <is>
          <t>VÄSTERBOTTENS LÄN</t>
        </is>
      </c>
      <c r="E3837" t="inlineStr">
        <is>
          <t>NORDMALING</t>
        </is>
      </c>
      <c r="F3837" t="inlineStr">
        <is>
          <t>SCA</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61445-2020</t>
        </is>
      </c>
      <c r="B3838" s="1" t="n">
        <v>44157</v>
      </c>
      <c r="C3838" s="1" t="n">
        <v>45204</v>
      </c>
      <c r="D3838" t="inlineStr">
        <is>
          <t>VÄSTERBOTTENS LÄN</t>
        </is>
      </c>
      <c r="E3838" t="inlineStr">
        <is>
          <t>NORDMALING</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61450-2020</t>
        </is>
      </c>
      <c r="B3839" s="1" t="n">
        <v>44158</v>
      </c>
      <c r="C3839" s="1" t="n">
        <v>45204</v>
      </c>
      <c r="D3839" t="inlineStr">
        <is>
          <t>VÄSTERBOTTENS LÄN</t>
        </is>
      </c>
      <c r="E3839" t="inlineStr">
        <is>
          <t>UMEÅ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61630-2020</t>
        </is>
      </c>
      <c r="B3840" s="1" t="n">
        <v>44158</v>
      </c>
      <c r="C3840" s="1" t="n">
        <v>45204</v>
      </c>
      <c r="D3840" t="inlineStr">
        <is>
          <t>VÄSTERBOTTENS LÄN</t>
        </is>
      </c>
      <c r="E3840" t="inlineStr">
        <is>
          <t>LYCKSELE</t>
        </is>
      </c>
      <c r="F3840" t="inlineStr">
        <is>
          <t>Sveaskog</t>
        </is>
      </c>
      <c r="G3840" t="n">
        <v>4.5</v>
      </c>
      <c r="H3840" t="n">
        <v>0</v>
      </c>
      <c r="I3840" t="n">
        <v>0</v>
      </c>
      <c r="J3840" t="n">
        <v>0</v>
      </c>
      <c r="K3840" t="n">
        <v>0</v>
      </c>
      <c r="L3840" t="n">
        <v>0</v>
      </c>
      <c r="M3840" t="n">
        <v>0</v>
      </c>
      <c r="N3840" t="n">
        <v>0</v>
      </c>
      <c r="O3840" t="n">
        <v>0</v>
      </c>
      <c r="P3840" t="n">
        <v>0</v>
      </c>
      <c r="Q3840" t="n">
        <v>0</v>
      </c>
      <c r="R3840" s="2" t="inlineStr"/>
    </row>
    <row r="3841" ht="15" customHeight="1">
      <c r="A3841" t="inlineStr">
        <is>
          <t>A 62332-2020</t>
        </is>
      </c>
      <c r="B3841" s="1" t="n">
        <v>44158</v>
      </c>
      <c r="C3841" s="1" t="n">
        <v>45204</v>
      </c>
      <c r="D3841" t="inlineStr">
        <is>
          <t>VÄSTERBOTTENS LÄN</t>
        </is>
      </c>
      <c r="E3841" t="inlineStr">
        <is>
          <t>UMEÅ</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61634-2020</t>
        </is>
      </c>
      <c r="B3842" s="1" t="n">
        <v>44158</v>
      </c>
      <c r="C3842" s="1" t="n">
        <v>45204</v>
      </c>
      <c r="D3842" t="inlineStr">
        <is>
          <t>VÄSTERBOTTENS LÄN</t>
        </is>
      </c>
      <c r="E3842" t="inlineStr">
        <is>
          <t>LYCKSELE</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61918-2020</t>
        </is>
      </c>
      <c r="B3843" s="1" t="n">
        <v>44158</v>
      </c>
      <c r="C3843" s="1" t="n">
        <v>45204</v>
      </c>
      <c r="D3843" t="inlineStr">
        <is>
          <t>VÄSTERBOTTENS LÄN</t>
        </is>
      </c>
      <c r="E3843" t="inlineStr">
        <is>
          <t>UMEÅ</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61714-2020</t>
        </is>
      </c>
      <c r="B3844" s="1" t="n">
        <v>44158</v>
      </c>
      <c r="C3844" s="1" t="n">
        <v>45204</v>
      </c>
      <c r="D3844" t="inlineStr">
        <is>
          <t>VÄSTERBOTTENS LÄN</t>
        </is>
      </c>
      <c r="E3844" t="inlineStr">
        <is>
          <t>VINDELN</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62476-2020</t>
        </is>
      </c>
      <c r="B3845" s="1" t="n">
        <v>44158</v>
      </c>
      <c r="C3845" s="1" t="n">
        <v>45204</v>
      </c>
      <c r="D3845" t="inlineStr">
        <is>
          <t>VÄSTERBOTTENS LÄN</t>
        </is>
      </c>
      <c r="E3845" t="inlineStr">
        <is>
          <t>VÄNNÄS</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62037-2020</t>
        </is>
      </c>
      <c r="B3846" s="1" t="n">
        <v>44159</v>
      </c>
      <c r="C3846" s="1" t="n">
        <v>45204</v>
      </c>
      <c r="D3846" t="inlineStr">
        <is>
          <t>VÄSTERBOTTENS LÄN</t>
        </is>
      </c>
      <c r="E3846" t="inlineStr">
        <is>
          <t>NORSJÖ</t>
        </is>
      </c>
      <c r="F3846" t="inlineStr">
        <is>
          <t>Sveaskog</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62100-2020</t>
        </is>
      </c>
      <c r="B3847" s="1" t="n">
        <v>44159</v>
      </c>
      <c r="C3847" s="1" t="n">
        <v>45204</v>
      </c>
      <c r="D3847" t="inlineStr">
        <is>
          <t>VÄSTERBOTTENS LÄN</t>
        </is>
      </c>
      <c r="E3847" t="inlineStr">
        <is>
          <t>NORSJÖ</t>
        </is>
      </c>
      <c r="F3847" t="inlineStr">
        <is>
          <t>Sveaskog</t>
        </is>
      </c>
      <c r="G3847" t="n">
        <v>21.3</v>
      </c>
      <c r="H3847" t="n">
        <v>0</v>
      </c>
      <c r="I3847" t="n">
        <v>0</v>
      </c>
      <c r="J3847" t="n">
        <v>0</v>
      </c>
      <c r="K3847" t="n">
        <v>0</v>
      </c>
      <c r="L3847" t="n">
        <v>0</v>
      </c>
      <c r="M3847" t="n">
        <v>0</v>
      </c>
      <c r="N3847" t="n">
        <v>0</v>
      </c>
      <c r="O3847" t="n">
        <v>0</v>
      </c>
      <c r="P3847" t="n">
        <v>0</v>
      </c>
      <c r="Q3847" t="n">
        <v>0</v>
      </c>
      <c r="R3847" s="2" t="inlineStr"/>
    </row>
    <row r="3848" ht="15" customHeight="1">
      <c r="A3848" t="inlineStr">
        <is>
          <t>A 62158-2020</t>
        </is>
      </c>
      <c r="B3848" s="1" t="n">
        <v>44159</v>
      </c>
      <c r="C3848" s="1" t="n">
        <v>45204</v>
      </c>
      <c r="D3848" t="inlineStr">
        <is>
          <t>VÄSTERBOTTENS LÄN</t>
        </is>
      </c>
      <c r="E3848" t="inlineStr">
        <is>
          <t>SKELLEFTEÅ</t>
        </is>
      </c>
      <c r="F3848" t="inlineStr">
        <is>
          <t>Sveaskog</t>
        </is>
      </c>
      <c r="G3848" t="n">
        <v>14.7</v>
      </c>
      <c r="H3848" t="n">
        <v>0</v>
      </c>
      <c r="I3848" t="n">
        <v>0</v>
      </c>
      <c r="J3848" t="n">
        <v>0</v>
      </c>
      <c r="K3848" t="n">
        <v>0</v>
      </c>
      <c r="L3848" t="n">
        <v>0</v>
      </c>
      <c r="M3848" t="n">
        <v>0</v>
      </c>
      <c r="N3848" t="n">
        <v>0</v>
      </c>
      <c r="O3848" t="n">
        <v>0</v>
      </c>
      <c r="P3848" t="n">
        <v>0</v>
      </c>
      <c r="Q3848" t="n">
        <v>0</v>
      </c>
      <c r="R3848" s="2" t="inlineStr"/>
    </row>
    <row r="3849" ht="15" customHeight="1">
      <c r="A3849" t="inlineStr">
        <is>
          <t>A 62095-2020</t>
        </is>
      </c>
      <c r="B3849" s="1" t="n">
        <v>44159</v>
      </c>
      <c r="C3849" s="1" t="n">
        <v>45204</v>
      </c>
      <c r="D3849" t="inlineStr">
        <is>
          <t>VÄSTERBOTTENS LÄN</t>
        </is>
      </c>
      <c r="E3849" t="inlineStr">
        <is>
          <t>NORSJÖ</t>
        </is>
      </c>
      <c r="F3849" t="inlineStr">
        <is>
          <t>Sveaskog</t>
        </is>
      </c>
      <c r="G3849" t="n">
        <v>17.8</v>
      </c>
      <c r="H3849" t="n">
        <v>0</v>
      </c>
      <c r="I3849" t="n">
        <v>0</v>
      </c>
      <c r="J3849" t="n">
        <v>0</v>
      </c>
      <c r="K3849" t="n">
        <v>0</v>
      </c>
      <c r="L3849" t="n">
        <v>0</v>
      </c>
      <c r="M3849" t="n">
        <v>0</v>
      </c>
      <c r="N3849" t="n">
        <v>0</v>
      </c>
      <c r="O3849" t="n">
        <v>0</v>
      </c>
      <c r="P3849" t="n">
        <v>0</v>
      </c>
      <c r="Q3849" t="n">
        <v>0</v>
      </c>
      <c r="R3849" s="2" t="inlineStr"/>
    </row>
    <row r="3850" ht="15" customHeight="1">
      <c r="A3850" t="inlineStr">
        <is>
          <t>A 62581-2020</t>
        </is>
      </c>
      <c r="B3850" s="1" t="n">
        <v>44160</v>
      </c>
      <c r="C3850" s="1" t="n">
        <v>45204</v>
      </c>
      <c r="D3850" t="inlineStr">
        <is>
          <t>VÄSTERBOTTENS LÄN</t>
        </is>
      </c>
      <c r="E3850" t="inlineStr">
        <is>
          <t>UMEÅ</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62937-2020</t>
        </is>
      </c>
      <c r="B3851" s="1" t="n">
        <v>44160</v>
      </c>
      <c r="C3851" s="1" t="n">
        <v>45204</v>
      </c>
      <c r="D3851" t="inlineStr">
        <is>
          <t>VÄSTERBOTTENS LÄN</t>
        </is>
      </c>
      <c r="E3851" t="inlineStr">
        <is>
          <t>UMEÅ</t>
        </is>
      </c>
      <c r="G3851" t="n">
        <v>4.7</v>
      </c>
      <c r="H3851" t="n">
        <v>0</v>
      </c>
      <c r="I3851" t="n">
        <v>0</v>
      </c>
      <c r="J3851" t="n">
        <v>0</v>
      </c>
      <c r="K3851" t="n">
        <v>0</v>
      </c>
      <c r="L3851" t="n">
        <v>0</v>
      </c>
      <c r="M3851" t="n">
        <v>0</v>
      </c>
      <c r="N3851" t="n">
        <v>0</v>
      </c>
      <c r="O3851" t="n">
        <v>0</v>
      </c>
      <c r="P3851" t="n">
        <v>0</v>
      </c>
      <c r="Q3851" t="n">
        <v>0</v>
      </c>
      <c r="R3851" s="2" t="inlineStr"/>
    </row>
    <row r="3852" ht="15" customHeight="1">
      <c r="A3852" t="inlineStr">
        <is>
          <t>A 62289-2020</t>
        </is>
      </c>
      <c r="B3852" s="1" t="n">
        <v>44160</v>
      </c>
      <c r="C3852" s="1" t="n">
        <v>45204</v>
      </c>
      <c r="D3852" t="inlineStr">
        <is>
          <t>VÄSTERBOTTENS LÄN</t>
        </is>
      </c>
      <c r="E3852" t="inlineStr">
        <is>
          <t>ROBERTSFORS</t>
        </is>
      </c>
      <c r="F3852" t="inlineStr">
        <is>
          <t>Holmen skog AB</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62467-2020</t>
        </is>
      </c>
      <c r="B3853" s="1" t="n">
        <v>44160</v>
      </c>
      <c r="C3853" s="1" t="n">
        <v>45204</v>
      </c>
      <c r="D3853" t="inlineStr">
        <is>
          <t>VÄSTERBOTTENS LÄN</t>
        </is>
      </c>
      <c r="E3853" t="inlineStr">
        <is>
          <t>SKELLEFTEÅ</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62763-2020</t>
        </is>
      </c>
      <c r="B3854" s="1" t="n">
        <v>44160</v>
      </c>
      <c r="C3854" s="1" t="n">
        <v>45204</v>
      </c>
      <c r="D3854" t="inlineStr">
        <is>
          <t>VÄSTERBOTTENS LÄN</t>
        </is>
      </c>
      <c r="E3854" t="inlineStr">
        <is>
          <t>SKELLEFTEÅ</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62466-2020</t>
        </is>
      </c>
      <c r="B3855" s="1" t="n">
        <v>44160</v>
      </c>
      <c r="C3855" s="1" t="n">
        <v>45204</v>
      </c>
      <c r="D3855" t="inlineStr">
        <is>
          <t>VÄSTERBOTTENS LÄN</t>
        </is>
      </c>
      <c r="E3855" t="inlineStr">
        <is>
          <t>SKELLEFTEÅ</t>
        </is>
      </c>
      <c r="F3855" t="inlineStr">
        <is>
          <t>Sveaskog</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62701-2020</t>
        </is>
      </c>
      <c r="B3856" s="1" t="n">
        <v>44161</v>
      </c>
      <c r="C3856" s="1" t="n">
        <v>45204</v>
      </c>
      <c r="D3856" t="inlineStr">
        <is>
          <t>VÄSTERBOTTENS LÄN</t>
        </is>
      </c>
      <c r="E3856" t="inlineStr">
        <is>
          <t>NORSJÖ</t>
        </is>
      </c>
      <c r="F3856" t="inlineStr">
        <is>
          <t>Sveaskog</t>
        </is>
      </c>
      <c r="G3856" t="n">
        <v>3.6</v>
      </c>
      <c r="H3856" t="n">
        <v>0</v>
      </c>
      <c r="I3856" t="n">
        <v>0</v>
      </c>
      <c r="J3856" t="n">
        <v>0</v>
      </c>
      <c r="K3856" t="n">
        <v>0</v>
      </c>
      <c r="L3856" t="n">
        <v>0</v>
      </c>
      <c r="M3856" t="n">
        <v>0</v>
      </c>
      <c r="N3856" t="n">
        <v>0</v>
      </c>
      <c r="O3856" t="n">
        <v>0</v>
      </c>
      <c r="P3856" t="n">
        <v>0</v>
      </c>
      <c r="Q3856" t="n">
        <v>0</v>
      </c>
      <c r="R3856" s="2" t="inlineStr"/>
    </row>
    <row r="3857" ht="15" customHeight="1">
      <c r="A3857" t="inlineStr">
        <is>
          <t>A 62884-2020</t>
        </is>
      </c>
      <c r="B3857" s="1" t="n">
        <v>44161</v>
      </c>
      <c r="C3857" s="1" t="n">
        <v>45204</v>
      </c>
      <c r="D3857" t="inlineStr">
        <is>
          <t>VÄSTERBOTTENS LÄN</t>
        </is>
      </c>
      <c r="E3857" t="inlineStr">
        <is>
          <t>ROBERTSFORS</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62874-2020</t>
        </is>
      </c>
      <c r="B3858" s="1" t="n">
        <v>44161</v>
      </c>
      <c r="C3858" s="1" t="n">
        <v>45204</v>
      </c>
      <c r="D3858" t="inlineStr">
        <is>
          <t>VÄSTERBOTTENS LÄN</t>
        </is>
      </c>
      <c r="E3858" t="inlineStr">
        <is>
          <t>VILHELMINA</t>
        </is>
      </c>
      <c r="F3858" t="inlineStr">
        <is>
          <t>SCA</t>
        </is>
      </c>
      <c r="G3858" t="n">
        <v>10.7</v>
      </c>
      <c r="H3858" t="n">
        <v>0</v>
      </c>
      <c r="I3858" t="n">
        <v>0</v>
      </c>
      <c r="J3858" t="n">
        <v>0</v>
      </c>
      <c r="K3858" t="n">
        <v>0</v>
      </c>
      <c r="L3858" t="n">
        <v>0</v>
      </c>
      <c r="M3858" t="n">
        <v>0</v>
      </c>
      <c r="N3858" t="n">
        <v>0</v>
      </c>
      <c r="O3858" t="n">
        <v>0</v>
      </c>
      <c r="P3858" t="n">
        <v>0</v>
      </c>
      <c r="Q3858" t="n">
        <v>0</v>
      </c>
      <c r="R3858" s="2" t="inlineStr"/>
    </row>
    <row r="3859" ht="15" customHeight="1">
      <c r="A3859" t="inlineStr">
        <is>
          <t>A 62592-2020</t>
        </is>
      </c>
      <c r="B3859" s="1" t="n">
        <v>44161</v>
      </c>
      <c r="C3859" s="1" t="n">
        <v>45204</v>
      </c>
      <c r="D3859" t="inlineStr">
        <is>
          <t>VÄSTERBOTTENS LÄN</t>
        </is>
      </c>
      <c r="E3859" t="inlineStr">
        <is>
          <t>SKELLEFTEÅ</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63438-2020</t>
        </is>
      </c>
      <c r="B3860" s="1" t="n">
        <v>44161</v>
      </c>
      <c r="C3860" s="1" t="n">
        <v>45204</v>
      </c>
      <c r="D3860" t="inlineStr">
        <is>
          <t>VÄSTERBOTTENS LÄN</t>
        </is>
      </c>
      <c r="E3860" t="inlineStr">
        <is>
          <t>VINDELN</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62955-2020</t>
        </is>
      </c>
      <c r="B3861" s="1" t="n">
        <v>44162</v>
      </c>
      <c r="C3861" s="1" t="n">
        <v>45204</v>
      </c>
      <c r="D3861" t="inlineStr">
        <is>
          <t>VÄSTERBOTTENS LÄN</t>
        </is>
      </c>
      <c r="E3861" t="inlineStr">
        <is>
          <t>UMEÅ</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63119-2020</t>
        </is>
      </c>
      <c r="B3862" s="1" t="n">
        <v>44162</v>
      </c>
      <c r="C3862" s="1" t="n">
        <v>45204</v>
      </c>
      <c r="D3862" t="inlineStr">
        <is>
          <t>VÄSTERBOTTENS LÄN</t>
        </is>
      </c>
      <c r="E3862" t="inlineStr">
        <is>
          <t>VINDELN</t>
        </is>
      </c>
      <c r="G3862" t="n">
        <v>7.2</v>
      </c>
      <c r="H3862" t="n">
        <v>0</v>
      </c>
      <c r="I3862" t="n">
        <v>0</v>
      </c>
      <c r="J3862" t="n">
        <v>0</v>
      </c>
      <c r="K3862" t="n">
        <v>0</v>
      </c>
      <c r="L3862" t="n">
        <v>0</v>
      </c>
      <c r="M3862" t="n">
        <v>0</v>
      </c>
      <c r="N3862" t="n">
        <v>0</v>
      </c>
      <c r="O3862" t="n">
        <v>0</v>
      </c>
      <c r="P3862" t="n">
        <v>0</v>
      </c>
      <c r="Q3862" t="n">
        <v>0</v>
      </c>
      <c r="R3862" s="2" t="inlineStr"/>
    </row>
    <row r="3863" ht="15" customHeight="1">
      <c r="A3863" t="inlineStr">
        <is>
          <t>A 63165-2020</t>
        </is>
      </c>
      <c r="B3863" s="1" t="n">
        <v>44162</v>
      </c>
      <c r="C3863" s="1" t="n">
        <v>45204</v>
      </c>
      <c r="D3863" t="inlineStr">
        <is>
          <t>VÄSTERBOTTENS LÄN</t>
        </is>
      </c>
      <c r="E3863" t="inlineStr">
        <is>
          <t>VILHELMINA</t>
        </is>
      </c>
      <c r="F3863" t="inlineStr">
        <is>
          <t>SCA</t>
        </is>
      </c>
      <c r="G3863" t="n">
        <v>8</v>
      </c>
      <c r="H3863" t="n">
        <v>0</v>
      </c>
      <c r="I3863" t="n">
        <v>0</v>
      </c>
      <c r="J3863" t="n">
        <v>0</v>
      </c>
      <c r="K3863" t="n">
        <v>0</v>
      </c>
      <c r="L3863" t="n">
        <v>0</v>
      </c>
      <c r="M3863" t="n">
        <v>0</v>
      </c>
      <c r="N3863" t="n">
        <v>0</v>
      </c>
      <c r="O3863" t="n">
        <v>0</v>
      </c>
      <c r="P3863" t="n">
        <v>0</v>
      </c>
      <c r="Q3863" t="n">
        <v>0</v>
      </c>
      <c r="R3863" s="2" t="inlineStr"/>
    </row>
    <row r="3864" ht="15" customHeight="1">
      <c r="A3864" t="inlineStr">
        <is>
          <t>A 63037-2020</t>
        </is>
      </c>
      <c r="B3864" s="1" t="n">
        <v>44162</v>
      </c>
      <c r="C3864" s="1" t="n">
        <v>45204</v>
      </c>
      <c r="D3864" t="inlineStr">
        <is>
          <t>VÄSTERBOTTENS LÄN</t>
        </is>
      </c>
      <c r="E3864" t="inlineStr">
        <is>
          <t>LYCKSELE</t>
        </is>
      </c>
      <c r="F3864" t="inlineStr">
        <is>
          <t>Sveaskog</t>
        </is>
      </c>
      <c r="G3864" t="n">
        <v>20.8</v>
      </c>
      <c r="H3864" t="n">
        <v>0</v>
      </c>
      <c r="I3864" t="n">
        <v>0</v>
      </c>
      <c r="J3864" t="n">
        <v>0</v>
      </c>
      <c r="K3864" t="n">
        <v>0</v>
      </c>
      <c r="L3864" t="n">
        <v>0</v>
      </c>
      <c r="M3864" t="n">
        <v>0</v>
      </c>
      <c r="N3864" t="n">
        <v>0</v>
      </c>
      <c r="O3864" t="n">
        <v>0</v>
      </c>
      <c r="P3864" t="n">
        <v>0</v>
      </c>
      <c r="Q3864" t="n">
        <v>0</v>
      </c>
      <c r="R3864" s="2" t="inlineStr"/>
    </row>
    <row r="3865" ht="15" customHeight="1">
      <c r="A3865" t="inlineStr">
        <is>
          <t>A 63164-2020</t>
        </is>
      </c>
      <c r="B3865" s="1" t="n">
        <v>44162</v>
      </c>
      <c r="C3865" s="1" t="n">
        <v>45204</v>
      </c>
      <c r="D3865" t="inlineStr">
        <is>
          <t>VÄSTERBOTTENS LÄN</t>
        </is>
      </c>
      <c r="E3865" t="inlineStr">
        <is>
          <t>VILHELMINA</t>
        </is>
      </c>
      <c r="F3865" t="inlineStr">
        <is>
          <t>SCA</t>
        </is>
      </c>
      <c r="G3865" t="n">
        <v>5.9</v>
      </c>
      <c r="H3865" t="n">
        <v>0</v>
      </c>
      <c r="I3865" t="n">
        <v>0</v>
      </c>
      <c r="J3865" t="n">
        <v>0</v>
      </c>
      <c r="K3865" t="n">
        <v>0</v>
      </c>
      <c r="L3865" t="n">
        <v>0</v>
      </c>
      <c r="M3865" t="n">
        <v>0</v>
      </c>
      <c r="N3865" t="n">
        <v>0</v>
      </c>
      <c r="O3865" t="n">
        <v>0</v>
      </c>
      <c r="P3865" t="n">
        <v>0</v>
      </c>
      <c r="Q3865" t="n">
        <v>0</v>
      </c>
      <c r="R3865" s="2" t="inlineStr"/>
    </row>
    <row r="3866" ht="15" customHeight="1">
      <c r="A3866" t="inlineStr">
        <is>
          <t>A 63222-2020</t>
        </is>
      </c>
      <c r="B3866" s="1" t="n">
        <v>44163</v>
      </c>
      <c r="C3866" s="1" t="n">
        <v>45204</v>
      </c>
      <c r="D3866" t="inlineStr">
        <is>
          <t>VÄSTERBOTTENS LÄN</t>
        </is>
      </c>
      <c r="E3866" t="inlineStr">
        <is>
          <t>VINDELN</t>
        </is>
      </c>
      <c r="F3866" t="inlineStr">
        <is>
          <t>Sveaskog</t>
        </is>
      </c>
      <c r="G3866" t="n">
        <v>6</v>
      </c>
      <c r="H3866" t="n">
        <v>0</v>
      </c>
      <c r="I3866" t="n">
        <v>0</v>
      </c>
      <c r="J3866" t="n">
        <v>0</v>
      </c>
      <c r="K3866" t="n">
        <v>0</v>
      </c>
      <c r="L3866" t="n">
        <v>0</v>
      </c>
      <c r="M3866" t="n">
        <v>0</v>
      </c>
      <c r="N3866" t="n">
        <v>0</v>
      </c>
      <c r="O3866" t="n">
        <v>0</v>
      </c>
      <c r="P3866" t="n">
        <v>0</v>
      </c>
      <c r="Q3866" t="n">
        <v>0</v>
      </c>
      <c r="R3866" s="2" t="inlineStr"/>
    </row>
    <row r="3867" ht="15" customHeight="1">
      <c r="A3867" t="inlineStr">
        <is>
          <t>A 63241-2020</t>
        </is>
      </c>
      <c r="B3867" s="1" t="n">
        <v>44163</v>
      </c>
      <c r="C3867" s="1" t="n">
        <v>45204</v>
      </c>
      <c r="D3867" t="inlineStr">
        <is>
          <t>VÄSTERBOTTENS LÄN</t>
        </is>
      </c>
      <c r="E3867" t="inlineStr">
        <is>
          <t>SKELLEFTEÅ</t>
        </is>
      </c>
      <c r="F3867" t="inlineStr">
        <is>
          <t>Sveaskog</t>
        </is>
      </c>
      <c r="G3867" t="n">
        <v>4.5</v>
      </c>
      <c r="H3867" t="n">
        <v>0</v>
      </c>
      <c r="I3867" t="n">
        <v>0</v>
      </c>
      <c r="J3867" t="n">
        <v>0</v>
      </c>
      <c r="K3867" t="n">
        <v>0</v>
      </c>
      <c r="L3867" t="n">
        <v>0</v>
      </c>
      <c r="M3867" t="n">
        <v>0</v>
      </c>
      <c r="N3867" t="n">
        <v>0</v>
      </c>
      <c r="O3867" t="n">
        <v>0</v>
      </c>
      <c r="P3867" t="n">
        <v>0</v>
      </c>
      <c r="Q3867" t="n">
        <v>0</v>
      </c>
      <c r="R3867" s="2" t="inlineStr"/>
    </row>
    <row r="3868" ht="15" customHeight="1">
      <c r="A3868" t="inlineStr">
        <is>
          <t>A 63244-2020</t>
        </is>
      </c>
      <c r="B3868" s="1" t="n">
        <v>44163</v>
      </c>
      <c r="C3868" s="1" t="n">
        <v>45204</v>
      </c>
      <c r="D3868" t="inlineStr">
        <is>
          <t>VÄSTERBOTTENS LÄN</t>
        </is>
      </c>
      <c r="E3868" t="inlineStr">
        <is>
          <t>ÅSELE</t>
        </is>
      </c>
      <c r="G3868" t="n">
        <v>4.4</v>
      </c>
      <c r="H3868" t="n">
        <v>0</v>
      </c>
      <c r="I3868" t="n">
        <v>0</v>
      </c>
      <c r="J3868" t="n">
        <v>0</v>
      </c>
      <c r="K3868" t="n">
        <v>0</v>
      </c>
      <c r="L3868" t="n">
        <v>0</v>
      </c>
      <c r="M3868" t="n">
        <v>0</v>
      </c>
      <c r="N3868" t="n">
        <v>0</v>
      </c>
      <c r="O3868" t="n">
        <v>0</v>
      </c>
      <c r="P3868" t="n">
        <v>0</v>
      </c>
      <c r="Q3868" t="n">
        <v>0</v>
      </c>
      <c r="R3868" s="2" t="inlineStr"/>
    </row>
    <row r="3869" ht="15" customHeight="1">
      <c r="A3869" t="inlineStr">
        <is>
          <t>A 63238-2020</t>
        </is>
      </c>
      <c r="B3869" s="1" t="n">
        <v>44163</v>
      </c>
      <c r="C3869" s="1" t="n">
        <v>45204</v>
      </c>
      <c r="D3869" t="inlineStr">
        <is>
          <t>VÄSTERBOTTENS LÄN</t>
        </is>
      </c>
      <c r="E3869" t="inlineStr">
        <is>
          <t>ROBERTSFORS</t>
        </is>
      </c>
      <c r="F3869" t="inlineStr">
        <is>
          <t>Sveaskog</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63246-2020</t>
        </is>
      </c>
      <c r="B3870" s="1" t="n">
        <v>44164</v>
      </c>
      <c r="C3870" s="1" t="n">
        <v>45204</v>
      </c>
      <c r="D3870" t="inlineStr">
        <is>
          <t>VÄSTERBOTTENS LÄN</t>
        </is>
      </c>
      <c r="E3870" t="inlineStr">
        <is>
          <t>SORSELE</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63293-2020</t>
        </is>
      </c>
      <c r="B3871" s="1" t="n">
        <v>44165</v>
      </c>
      <c r="C3871" s="1" t="n">
        <v>45204</v>
      </c>
      <c r="D3871" t="inlineStr">
        <is>
          <t>VÄSTERBOTTENS LÄN</t>
        </is>
      </c>
      <c r="E3871" t="inlineStr">
        <is>
          <t>ROBERTSFORS</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63839-2020</t>
        </is>
      </c>
      <c r="B3872" s="1" t="n">
        <v>44165</v>
      </c>
      <c r="C3872" s="1" t="n">
        <v>45204</v>
      </c>
      <c r="D3872" t="inlineStr">
        <is>
          <t>VÄSTERBOTTENS LÄN</t>
        </is>
      </c>
      <c r="E3872" t="inlineStr">
        <is>
          <t>SKELLEFTEÅ</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64035-2020</t>
        </is>
      </c>
      <c r="B3873" s="1" t="n">
        <v>44165</v>
      </c>
      <c r="C3873" s="1" t="n">
        <v>45204</v>
      </c>
      <c r="D3873" t="inlineStr">
        <is>
          <t>VÄSTERBOTTENS LÄN</t>
        </is>
      </c>
      <c r="E3873" t="inlineStr">
        <is>
          <t>ROBERTSFORS</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63377-2020</t>
        </is>
      </c>
      <c r="B3874" s="1" t="n">
        <v>44165</v>
      </c>
      <c r="C3874" s="1" t="n">
        <v>45204</v>
      </c>
      <c r="D3874" t="inlineStr">
        <is>
          <t>VÄSTERBOTTENS LÄN</t>
        </is>
      </c>
      <c r="E3874" t="inlineStr">
        <is>
          <t>UMEÅ</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63484-2020</t>
        </is>
      </c>
      <c r="B3875" s="1" t="n">
        <v>44165</v>
      </c>
      <c r="C3875" s="1" t="n">
        <v>45204</v>
      </c>
      <c r="D3875" t="inlineStr">
        <is>
          <t>VÄSTERBOTTENS LÄN</t>
        </is>
      </c>
      <c r="E3875" t="inlineStr">
        <is>
          <t>VINDELN</t>
        </is>
      </c>
      <c r="F3875" t="inlineStr">
        <is>
          <t>Holmen skog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63499-2020</t>
        </is>
      </c>
      <c r="B3876" s="1" t="n">
        <v>44165</v>
      </c>
      <c r="C3876" s="1" t="n">
        <v>45204</v>
      </c>
      <c r="D3876" t="inlineStr">
        <is>
          <t>VÄSTERBOTTENS LÄN</t>
        </is>
      </c>
      <c r="E3876" t="inlineStr">
        <is>
          <t>NORSJÖ</t>
        </is>
      </c>
      <c r="F3876" t="inlineStr">
        <is>
          <t>Sveaskog</t>
        </is>
      </c>
      <c r="G3876" t="n">
        <v>18.9</v>
      </c>
      <c r="H3876" t="n">
        <v>0</v>
      </c>
      <c r="I3876" t="n">
        <v>0</v>
      </c>
      <c r="J3876" t="n">
        <v>0</v>
      </c>
      <c r="K3876" t="n">
        <v>0</v>
      </c>
      <c r="L3876" t="n">
        <v>0</v>
      </c>
      <c r="M3876" t="n">
        <v>0</v>
      </c>
      <c r="N3876" t="n">
        <v>0</v>
      </c>
      <c r="O3876" t="n">
        <v>0</v>
      </c>
      <c r="P3876" t="n">
        <v>0</v>
      </c>
      <c r="Q3876" t="n">
        <v>0</v>
      </c>
      <c r="R3876" s="2" t="inlineStr"/>
    </row>
    <row r="3877" ht="15" customHeight="1">
      <c r="A3877" t="inlineStr">
        <is>
          <t>A 64065-2020</t>
        </is>
      </c>
      <c r="B3877" s="1" t="n">
        <v>44165</v>
      </c>
      <c r="C3877" s="1" t="n">
        <v>45204</v>
      </c>
      <c r="D3877" t="inlineStr">
        <is>
          <t>VÄSTERBOTTENS LÄN</t>
        </is>
      </c>
      <c r="E3877" t="inlineStr">
        <is>
          <t>VILHELMINA</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63727-2020</t>
        </is>
      </c>
      <c r="B3878" s="1" t="n">
        <v>44166</v>
      </c>
      <c r="C3878" s="1" t="n">
        <v>45204</v>
      </c>
      <c r="D3878" t="inlineStr">
        <is>
          <t>VÄSTERBOTTENS LÄN</t>
        </is>
      </c>
      <c r="E3878" t="inlineStr">
        <is>
          <t>VÄNNÄS</t>
        </is>
      </c>
      <c r="G3878" t="n">
        <v>6.6</v>
      </c>
      <c r="H3878" t="n">
        <v>0</v>
      </c>
      <c r="I3878" t="n">
        <v>0</v>
      </c>
      <c r="J3878" t="n">
        <v>0</v>
      </c>
      <c r="K3878" t="n">
        <v>0</v>
      </c>
      <c r="L3878" t="n">
        <v>0</v>
      </c>
      <c r="M3878" t="n">
        <v>0</v>
      </c>
      <c r="N3878" t="n">
        <v>0</v>
      </c>
      <c r="O3878" t="n">
        <v>0</v>
      </c>
      <c r="P3878" t="n">
        <v>0</v>
      </c>
      <c r="Q3878" t="n">
        <v>0</v>
      </c>
      <c r="R3878" s="2" t="inlineStr"/>
    </row>
    <row r="3879" ht="15" customHeight="1">
      <c r="A3879" t="inlineStr">
        <is>
          <t>A 63871-2020</t>
        </is>
      </c>
      <c r="B3879" s="1" t="n">
        <v>44166</v>
      </c>
      <c r="C3879" s="1" t="n">
        <v>45204</v>
      </c>
      <c r="D3879" t="inlineStr">
        <is>
          <t>VÄSTERBOTTENS LÄN</t>
        </is>
      </c>
      <c r="E3879" t="inlineStr">
        <is>
          <t>LYCKSELE</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63878-2020</t>
        </is>
      </c>
      <c r="B3880" s="1" t="n">
        <v>44166</v>
      </c>
      <c r="C3880" s="1" t="n">
        <v>45204</v>
      </c>
      <c r="D3880" t="inlineStr">
        <is>
          <t>VÄSTERBOTTENS LÄN</t>
        </is>
      </c>
      <c r="E3880" t="inlineStr">
        <is>
          <t>LYCKSELE</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64650-2020</t>
        </is>
      </c>
      <c r="B3881" s="1" t="n">
        <v>44166</v>
      </c>
      <c r="C3881" s="1" t="n">
        <v>45204</v>
      </c>
      <c r="D3881" t="inlineStr">
        <is>
          <t>VÄSTERBOTTENS LÄN</t>
        </is>
      </c>
      <c r="E3881" t="inlineStr">
        <is>
          <t>SKELLEFTEÅ</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63721-2020</t>
        </is>
      </c>
      <c r="B3882" s="1" t="n">
        <v>44166</v>
      </c>
      <c r="C3882" s="1" t="n">
        <v>45204</v>
      </c>
      <c r="D3882" t="inlineStr">
        <is>
          <t>VÄSTERBOTTENS LÄN</t>
        </is>
      </c>
      <c r="E3882" t="inlineStr">
        <is>
          <t>VINDELN</t>
        </is>
      </c>
      <c r="F3882" t="inlineStr">
        <is>
          <t>Holmen skog AB</t>
        </is>
      </c>
      <c r="G3882" t="n">
        <v>8.6</v>
      </c>
      <c r="H3882" t="n">
        <v>0</v>
      </c>
      <c r="I3882" t="n">
        <v>0</v>
      </c>
      <c r="J3882" t="n">
        <v>0</v>
      </c>
      <c r="K3882" t="n">
        <v>0</v>
      </c>
      <c r="L3882" t="n">
        <v>0</v>
      </c>
      <c r="M3882" t="n">
        <v>0</v>
      </c>
      <c r="N3882" t="n">
        <v>0</v>
      </c>
      <c r="O3882" t="n">
        <v>0</v>
      </c>
      <c r="P3882" t="n">
        <v>0</v>
      </c>
      <c r="Q3882" t="n">
        <v>0</v>
      </c>
      <c r="R3882" s="2" t="inlineStr"/>
    </row>
    <row r="3883" ht="15" customHeight="1">
      <c r="A3883" t="inlineStr">
        <is>
          <t>A 63826-2020</t>
        </is>
      </c>
      <c r="B3883" s="1" t="n">
        <v>44166</v>
      </c>
      <c r="C3883" s="1" t="n">
        <v>45204</v>
      </c>
      <c r="D3883" t="inlineStr">
        <is>
          <t>VÄSTERBOTTENS LÄN</t>
        </is>
      </c>
      <c r="E3883" t="inlineStr">
        <is>
          <t>ÅSELE</t>
        </is>
      </c>
      <c r="F3883" t="inlineStr">
        <is>
          <t>Sveaskog</t>
        </is>
      </c>
      <c r="G3883" t="n">
        <v>12.5</v>
      </c>
      <c r="H3883" t="n">
        <v>0</v>
      </c>
      <c r="I3883" t="n">
        <v>0</v>
      </c>
      <c r="J3883" t="n">
        <v>0</v>
      </c>
      <c r="K3883" t="n">
        <v>0</v>
      </c>
      <c r="L3883" t="n">
        <v>0</v>
      </c>
      <c r="M3883" t="n">
        <v>0</v>
      </c>
      <c r="N3883" t="n">
        <v>0</v>
      </c>
      <c r="O3883" t="n">
        <v>0</v>
      </c>
      <c r="P3883" t="n">
        <v>0</v>
      </c>
      <c r="Q3883" t="n">
        <v>0</v>
      </c>
      <c r="R3883" s="2" t="inlineStr"/>
    </row>
    <row r="3884" ht="15" customHeight="1">
      <c r="A3884" t="inlineStr">
        <is>
          <t>A 63874-2020</t>
        </is>
      </c>
      <c r="B3884" s="1" t="n">
        <v>44166</v>
      </c>
      <c r="C3884" s="1" t="n">
        <v>45204</v>
      </c>
      <c r="D3884" t="inlineStr">
        <is>
          <t>VÄSTERBOTTENS LÄN</t>
        </is>
      </c>
      <c r="E3884" t="inlineStr">
        <is>
          <t>STORUMAN</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64073-2020</t>
        </is>
      </c>
      <c r="B3885" s="1" t="n">
        <v>44167</v>
      </c>
      <c r="C3885" s="1" t="n">
        <v>45204</v>
      </c>
      <c r="D3885" t="inlineStr">
        <is>
          <t>VÄSTERBOTTENS LÄN</t>
        </is>
      </c>
      <c r="E3885" t="inlineStr">
        <is>
          <t>VINDELN</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64158-2020</t>
        </is>
      </c>
      <c r="B3886" s="1" t="n">
        <v>44167</v>
      </c>
      <c r="C3886" s="1" t="n">
        <v>45204</v>
      </c>
      <c r="D3886" t="inlineStr">
        <is>
          <t>VÄSTERBOTTENS LÄN</t>
        </is>
      </c>
      <c r="E3886" t="inlineStr">
        <is>
          <t>ROBERTSFORS</t>
        </is>
      </c>
      <c r="G3886" t="n">
        <v>6.5</v>
      </c>
      <c r="H3886" t="n">
        <v>0</v>
      </c>
      <c r="I3886" t="n">
        <v>0</v>
      </c>
      <c r="J3886" t="n">
        <v>0</v>
      </c>
      <c r="K3886" t="n">
        <v>0</v>
      </c>
      <c r="L3886" t="n">
        <v>0</v>
      </c>
      <c r="M3886" t="n">
        <v>0</v>
      </c>
      <c r="N3886" t="n">
        <v>0</v>
      </c>
      <c r="O3886" t="n">
        <v>0</v>
      </c>
      <c r="P3886" t="n">
        <v>0</v>
      </c>
      <c r="Q3886" t="n">
        <v>0</v>
      </c>
      <c r="R3886" s="2" t="inlineStr"/>
    </row>
    <row r="3887" ht="15" customHeight="1">
      <c r="A3887" t="inlineStr">
        <is>
          <t>A 64198-2020</t>
        </is>
      </c>
      <c r="B3887" s="1" t="n">
        <v>44167</v>
      </c>
      <c r="C3887" s="1" t="n">
        <v>45204</v>
      </c>
      <c r="D3887" t="inlineStr">
        <is>
          <t>VÄSTERBOTTENS LÄN</t>
        </is>
      </c>
      <c r="E3887" t="inlineStr">
        <is>
          <t>SKELLEFTEÅ</t>
        </is>
      </c>
      <c r="F3887" t="inlineStr">
        <is>
          <t>SCA</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64045-2020</t>
        </is>
      </c>
      <c r="B3888" s="1" t="n">
        <v>44167</v>
      </c>
      <c r="C3888" s="1" t="n">
        <v>45204</v>
      </c>
      <c r="D3888" t="inlineStr">
        <is>
          <t>VÄSTERBOTTENS LÄN</t>
        </is>
      </c>
      <c r="E3888" t="inlineStr">
        <is>
          <t>VINDELN</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64159-2020</t>
        </is>
      </c>
      <c r="B3889" s="1" t="n">
        <v>44167</v>
      </c>
      <c r="C3889" s="1" t="n">
        <v>45204</v>
      </c>
      <c r="D3889" t="inlineStr">
        <is>
          <t>VÄSTERBOTTENS LÄN</t>
        </is>
      </c>
      <c r="E3889" t="inlineStr">
        <is>
          <t>ROBERTSFORS</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64537-2020</t>
        </is>
      </c>
      <c r="B3890" s="1" t="n">
        <v>44167</v>
      </c>
      <c r="C3890" s="1" t="n">
        <v>45204</v>
      </c>
      <c r="D3890" t="inlineStr">
        <is>
          <t>VÄSTERBOTTENS LÄN</t>
        </is>
      </c>
      <c r="E3890" t="inlineStr">
        <is>
          <t>BJURHOLM</t>
        </is>
      </c>
      <c r="G3890" t="n">
        <v>0.9</v>
      </c>
      <c r="H3890" t="n">
        <v>0</v>
      </c>
      <c r="I3890" t="n">
        <v>0</v>
      </c>
      <c r="J3890" t="n">
        <v>0</v>
      </c>
      <c r="K3890" t="n">
        <v>0</v>
      </c>
      <c r="L3890" t="n">
        <v>0</v>
      </c>
      <c r="M3890" t="n">
        <v>0</v>
      </c>
      <c r="N3890" t="n">
        <v>0</v>
      </c>
      <c r="O3890" t="n">
        <v>0</v>
      </c>
      <c r="P3890" t="n">
        <v>0</v>
      </c>
      <c r="Q3890" t="n">
        <v>0</v>
      </c>
      <c r="R3890" s="2" t="inlineStr"/>
    </row>
    <row r="3891" ht="15" customHeight="1">
      <c r="A3891" t="inlineStr">
        <is>
          <t>A 64977-2020</t>
        </is>
      </c>
      <c r="B3891" s="1" t="n">
        <v>44167</v>
      </c>
      <c r="C3891" s="1" t="n">
        <v>45204</v>
      </c>
      <c r="D3891" t="inlineStr">
        <is>
          <t>VÄSTERBOTTENS LÄN</t>
        </is>
      </c>
      <c r="E3891" t="inlineStr">
        <is>
          <t>SKELLEFTEÅ</t>
        </is>
      </c>
      <c r="G3891" t="n">
        <v>9</v>
      </c>
      <c r="H3891" t="n">
        <v>0</v>
      </c>
      <c r="I3891" t="n">
        <v>0</v>
      </c>
      <c r="J3891" t="n">
        <v>0</v>
      </c>
      <c r="K3891" t="n">
        <v>0</v>
      </c>
      <c r="L3891" t="n">
        <v>0</v>
      </c>
      <c r="M3891" t="n">
        <v>0</v>
      </c>
      <c r="N3891" t="n">
        <v>0</v>
      </c>
      <c r="O3891" t="n">
        <v>0</v>
      </c>
      <c r="P3891" t="n">
        <v>0</v>
      </c>
      <c r="Q3891" t="n">
        <v>0</v>
      </c>
      <c r="R3891" s="2" t="inlineStr"/>
    </row>
    <row r="3892" ht="15" customHeight="1">
      <c r="A3892" t="inlineStr">
        <is>
          <t>A 65096-2020</t>
        </is>
      </c>
      <c r="B3892" s="1" t="n">
        <v>44167</v>
      </c>
      <c r="C3892" s="1" t="n">
        <v>45204</v>
      </c>
      <c r="D3892" t="inlineStr">
        <is>
          <t>VÄSTERBOTTENS LÄN</t>
        </is>
      </c>
      <c r="E3892" t="inlineStr">
        <is>
          <t>SKELLEFTEÅ</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65053-2020</t>
        </is>
      </c>
      <c r="B3893" s="1" t="n">
        <v>44167</v>
      </c>
      <c r="C3893" s="1" t="n">
        <v>45204</v>
      </c>
      <c r="D3893" t="inlineStr">
        <is>
          <t>VÄSTERBOTTENS LÄN</t>
        </is>
      </c>
      <c r="E3893" t="inlineStr">
        <is>
          <t>SKELLEFTEÅ</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65103-2020</t>
        </is>
      </c>
      <c r="B3894" s="1" t="n">
        <v>44167</v>
      </c>
      <c r="C3894" s="1" t="n">
        <v>45204</v>
      </c>
      <c r="D3894" t="inlineStr">
        <is>
          <t>VÄSTERBOTTENS LÄN</t>
        </is>
      </c>
      <c r="E3894" t="inlineStr">
        <is>
          <t>SKELLEFTEÅ</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64034-2020</t>
        </is>
      </c>
      <c r="B3895" s="1" t="n">
        <v>44167</v>
      </c>
      <c r="C3895" s="1" t="n">
        <v>45204</v>
      </c>
      <c r="D3895" t="inlineStr">
        <is>
          <t>VÄSTERBOTTENS LÄN</t>
        </is>
      </c>
      <c r="E3895" t="inlineStr">
        <is>
          <t>VINDELN</t>
        </is>
      </c>
      <c r="G3895" t="n">
        <v>6.6</v>
      </c>
      <c r="H3895" t="n">
        <v>0</v>
      </c>
      <c r="I3895" t="n">
        <v>0</v>
      </c>
      <c r="J3895" t="n">
        <v>0</v>
      </c>
      <c r="K3895" t="n">
        <v>0</v>
      </c>
      <c r="L3895" t="n">
        <v>0</v>
      </c>
      <c r="M3895" t="n">
        <v>0</v>
      </c>
      <c r="N3895" t="n">
        <v>0</v>
      </c>
      <c r="O3895" t="n">
        <v>0</v>
      </c>
      <c r="P3895" t="n">
        <v>0</v>
      </c>
      <c r="Q3895" t="n">
        <v>0</v>
      </c>
      <c r="R3895" s="2" t="inlineStr"/>
    </row>
    <row r="3896" ht="15" customHeight="1">
      <c r="A3896" t="inlineStr">
        <is>
          <t>A 64070-2020</t>
        </is>
      </c>
      <c r="B3896" s="1" t="n">
        <v>44167</v>
      </c>
      <c r="C3896" s="1" t="n">
        <v>45204</v>
      </c>
      <c r="D3896" t="inlineStr">
        <is>
          <t>VÄSTERBOTTENS LÄN</t>
        </is>
      </c>
      <c r="E3896" t="inlineStr">
        <is>
          <t>VINDELN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64156-2020</t>
        </is>
      </c>
      <c r="B3897" s="1" t="n">
        <v>44167</v>
      </c>
      <c r="C3897" s="1" t="n">
        <v>45204</v>
      </c>
      <c r="D3897" t="inlineStr">
        <is>
          <t>VÄSTERBOTTENS LÄN</t>
        </is>
      </c>
      <c r="E3897" t="inlineStr">
        <is>
          <t>VINDELN</t>
        </is>
      </c>
      <c r="F3897" t="inlineStr">
        <is>
          <t>Sveaskog</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64190-2020</t>
        </is>
      </c>
      <c r="B3898" s="1" t="n">
        <v>44167</v>
      </c>
      <c r="C3898" s="1" t="n">
        <v>45204</v>
      </c>
      <c r="D3898" t="inlineStr">
        <is>
          <t>VÄSTERBOTTENS LÄN</t>
        </is>
      </c>
      <c r="E3898" t="inlineStr">
        <is>
          <t>VINDELN</t>
        </is>
      </c>
      <c r="F3898" t="inlineStr">
        <is>
          <t>SCA</t>
        </is>
      </c>
      <c r="G3898" t="n">
        <v>6.1</v>
      </c>
      <c r="H3898" t="n">
        <v>0</v>
      </c>
      <c r="I3898" t="n">
        <v>0</v>
      </c>
      <c r="J3898" t="n">
        <v>0</v>
      </c>
      <c r="K3898" t="n">
        <v>0</v>
      </c>
      <c r="L3898" t="n">
        <v>0</v>
      </c>
      <c r="M3898" t="n">
        <v>0</v>
      </c>
      <c r="N3898" t="n">
        <v>0</v>
      </c>
      <c r="O3898" t="n">
        <v>0</v>
      </c>
      <c r="P3898" t="n">
        <v>0</v>
      </c>
      <c r="Q3898" t="n">
        <v>0</v>
      </c>
      <c r="R3898" s="2" t="inlineStr"/>
    </row>
    <row r="3899" ht="15" customHeight="1">
      <c r="A3899" t="inlineStr">
        <is>
          <t>A 64956-2020</t>
        </is>
      </c>
      <c r="B3899" s="1" t="n">
        <v>44167</v>
      </c>
      <c r="C3899" s="1" t="n">
        <v>45204</v>
      </c>
      <c r="D3899" t="inlineStr">
        <is>
          <t>VÄSTERBOTTENS LÄN</t>
        </is>
      </c>
      <c r="E3899" t="inlineStr">
        <is>
          <t>VINDELN</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64296-2020</t>
        </is>
      </c>
      <c r="B3900" s="1" t="n">
        <v>44168</v>
      </c>
      <c r="C3900" s="1" t="n">
        <v>45204</v>
      </c>
      <c r="D3900" t="inlineStr">
        <is>
          <t>VÄSTERBOTTENS LÄN</t>
        </is>
      </c>
      <c r="E3900" t="inlineStr">
        <is>
          <t>SKELLEFTEÅ</t>
        </is>
      </c>
      <c r="F3900" t="inlineStr">
        <is>
          <t>Sveaskog</t>
        </is>
      </c>
      <c r="G3900" t="n">
        <v>4.4</v>
      </c>
      <c r="H3900" t="n">
        <v>0</v>
      </c>
      <c r="I3900" t="n">
        <v>0</v>
      </c>
      <c r="J3900" t="n">
        <v>0</v>
      </c>
      <c r="K3900" t="n">
        <v>0</v>
      </c>
      <c r="L3900" t="n">
        <v>0</v>
      </c>
      <c r="M3900" t="n">
        <v>0</v>
      </c>
      <c r="N3900" t="n">
        <v>0</v>
      </c>
      <c r="O3900" t="n">
        <v>0</v>
      </c>
      <c r="P3900" t="n">
        <v>0</v>
      </c>
      <c r="Q3900" t="n">
        <v>0</v>
      </c>
      <c r="R3900" s="2" t="inlineStr"/>
    </row>
    <row r="3901" ht="15" customHeight="1">
      <c r="A3901" t="inlineStr">
        <is>
          <t>A 64481-2020</t>
        </is>
      </c>
      <c r="B3901" s="1" t="n">
        <v>44168</v>
      </c>
      <c r="C3901" s="1" t="n">
        <v>45204</v>
      </c>
      <c r="D3901" t="inlineStr">
        <is>
          <t>VÄSTERBOTTENS LÄN</t>
        </is>
      </c>
      <c r="E3901" t="inlineStr">
        <is>
          <t>SKELLEFTEÅ</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64507-2020</t>
        </is>
      </c>
      <c r="B3902" s="1" t="n">
        <v>44168</v>
      </c>
      <c r="C3902" s="1" t="n">
        <v>45204</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64268-2020</t>
        </is>
      </c>
      <c r="B3903" s="1" t="n">
        <v>44168</v>
      </c>
      <c r="C3903" s="1" t="n">
        <v>45204</v>
      </c>
      <c r="D3903" t="inlineStr">
        <is>
          <t>VÄSTERBOTTENS LÄN</t>
        </is>
      </c>
      <c r="E3903" t="inlineStr">
        <is>
          <t>VINDELN</t>
        </is>
      </c>
      <c r="F3903" t="inlineStr">
        <is>
          <t>Sveaskog</t>
        </is>
      </c>
      <c r="G3903" t="n">
        <v>4.6</v>
      </c>
      <c r="H3903" t="n">
        <v>0</v>
      </c>
      <c r="I3903" t="n">
        <v>0</v>
      </c>
      <c r="J3903" t="n">
        <v>0</v>
      </c>
      <c r="K3903" t="n">
        <v>0</v>
      </c>
      <c r="L3903" t="n">
        <v>0</v>
      </c>
      <c r="M3903" t="n">
        <v>0</v>
      </c>
      <c r="N3903" t="n">
        <v>0</v>
      </c>
      <c r="O3903" t="n">
        <v>0</v>
      </c>
      <c r="P3903" t="n">
        <v>0</v>
      </c>
      <c r="Q3903" t="n">
        <v>0</v>
      </c>
      <c r="R3903" s="2" t="inlineStr"/>
    </row>
    <row r="3904" ht="15" customHeight="1">
      <c r="A3904" t="inlineStr">
        <is>
          <t>A 64460-2020</t>
        </is>
      </c>
      <c r="B3904" s="1" t="n">
        <v>44168</v>
      </c>
      <c r="C3904" s="1" t="n">
        <v>45204</v>
      </c>
      <c r="D3904" t="inlineStr">
        <is>
          <t>VÄSTERBOTTENS LÄN</t>
        </is>
      </c>
      <c r="E3904" t="inlineStr">
        <is>
          <t>VINDELN</t>
        </is>
      </c>
      <c r="F3904" t="inlineStr">
        <is>
          <t>Sveaskog</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64478-2020</t>
        </is>
      </c>
      <c r="B3905" s="1" t="n">
        <v>44168</v>
      </c>
      <c r="C3905" s="1" t="n">
        <v>45204</v>
      </c>
      <c r="D3905" t="inlineStr">
        <is>
          <t>VÄSTERBOTTENS LÄN</t>
        </is>
      </c>
      <c r="E3905" t="inlineStr">
        <is>
          <t>ÅSELE</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64496-2020</t>
        </is>
      </c>
      <c r="B3906" s="1" t="n">
        <v>44168</v>
      </c>
      <c r="C3906" s="1" t="n">
        <v>45204</v>
      </c>
      <c r="D3906" t="inlineStr">
        <is>
          <t>VÄSTERBOTTENS LÄN</t>
        </is>
      </c>
      <c r="E3906" t="inlineStr">
        <is>
          <t>DOROTEA</t>
        </is>
      </c>
      <c r="F3906" t="inlineStr">
        <is>
          <t>SCA</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64254-2020</t>
        </is>
      </c>
      <c r="B3907" s="1" t="n">
        <v>44168</v>
      </c>
      <c r="C3907" s="1" t="n">
        <v>45204</v>
      </c>
      <c r="D3907" t="inlineStr">
        <is>
          <t>VÄSTERBOTTENS LÄN</t>
        </is>
      </c>
      <c r="E3907" t="inlineStr">
        <is>
          <t>VILHELMINA</t>
        </is>
      </c>
      <c r="G3907" t="n">
        <v>17.6</v>
      </c>
      <c r="H3907" t="n">
        <v>0</v>
      </c>
      <c r="I3907" t="n">
        <v>0</v>
      </c>
      <c r="J3907" t="n">
        <v>0</v>
      </c>
      <c r="K3907" t="n">
        <v>0</v>
      </c>
      <c r="L3907" t="n">
        <v>0</v>
      </c>
      <c r="M3907" t="n">
        <v>0</v>
      </c>
      <c r="N3907" t="n">
        <v>0</v>
      </c>
      <c r="O3907" t="n">
        <v>0</v>
      </c>
      <c r="P3907" t="n">
        <v>0</v>
      </c>
      <c r="Q3907" t="n">
        <v>0</v>
      </c>
      <c r="R3907" s="2" t="inlineStr"/>
    </row>
    <row r="3908" ht="15" customHeight="1">
      <c r="A3908" t="inlineStr">
        <is>
          <t>A 64497-2020</t>
        </is>
      </c>
      <c r="B3908" s="1" t="n">
        <v>44168</v>
      </c>
      <c r="C3908" s="1" t="n">
        <v>45204</v>
      </c>
      <c r="D3908" t="inlineStr">
        <is>
          <t>VÄSTERBOTTENS LÄN</t>
        </is>
      </c>
      <c r="E3908" t="inlineStr">
        <is>
          <t>DOROTEA</t>
        </is>
      </c>
      <c r="F3908" t="inlineStr">
        <is>
          <t>SCA</t>
        </is>
      </c>
      <c r="G3908" t="n">
        <v>2.6</v>
      </c>
      <c r="H3908" t="n">
        <v>0</v>
      </c>
      <c r="I3908" t="n">
        <v>0</v>
      </c>
      <c r="J3908" t="n">
        <v>0</v>
      </c>
      <c r="K3908" t="n">
        <v>0</v>
      </c>
      <c r="L3908" t="n">
        <v>0</v>
      </c>
      <c r="M3908" t="n">
        <v>0</v>
      </c>
      <c r="N3908" t="n">
        <v>0</v>
      </c>
      <c r="O3908" t="n">
        <v>0</v>
      </c>
      <c r="P3908" t="n">
        <v>0</v>
      </c>
      <c r="Q3908" t="n">
        <v>0</v>
      </c>
      <c r="R3908" s="2" t="inlineStr"/>
    </row>
    <row r="3909" ht="15" customHeight="1">
      <c r="A3909" t="inlineStr">
        <is>
          <t>A 64485-2020</t>
        </is>
      </c>
      <c r="B3909" s="1" t="n">
        <v>44168</v>
      </c>
      <c r="C3909" s="1" t="n">
        <v>45204</v>
      </c>
      <c r="D3909" t="inlineStr">
        <is>
          <t>VÄSTERBOTTENS LÄN</t>
        </is>
      </c>
      <c r="E3909" t="inlineStr">
        <is>
          <t>SKELLEFTEÅ</t>
        </is>
      </c>
      <c r="G3909" t="n">
        <v>35.4</v>
      </c>
      <c r="H3909" t="n">
        <v>0</v>
      </c>
      <c r="I3909" t="n">
        <v>0</v>
      </c>
      <c r="J3909" t="n">
        <v>0</v>
      </c>
      <c r="K3909" t="n">
        <v>0</v>
      </c>
      <c r="L3909" t="n">
        <v>0</v>
      </c>
      <c r="M3909" t="n">
        <v>0</v>
      </c>
      <c r="N3909" t="n">
        <v>0</v>
      </c>
      <c r="O3909" t="n">
        <v>0</v>
      </c>
      <c r="P3909" t="n">
        <v>0</v>
      </c>
      <c r="Q3909" t="n">
        <v>0</v>
      </c>
      <c r="R3909" s="2" t="inlineStr"/>
    </row>
    <row r="3910" ht="15" customHeight="1">
      <c r="A3910" t="inlineStr">
        <is>
          <t>A 65441-2020</t>
        </is>
      </c>
      <c r="B3910" s="1" t="n">
        <v>44169</v>
      </c>
      <c r="C3910" s="1" t="n">
        <v>45204</v>
      </c>
      <c r="D3910" t="inlineStr">
        <is>
          <t>VÄSTERBOTTENS LÄN</t>
        </is>
      </c>
      <c r="E3910" t="inlineStr">
        <is>
          <t>DOROTEA</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64759-2020</t>
        </is>
      </c>
      <c r="B3911" s="1" t="n">
        <v>44169</v>
      </c>
      <c r="C3911" s="1" t="n">
        <v>45204</v>
      </c>
      <c r="D3911" t="inlineStr">
        <is>
          <t>VÄSTERBOTTENS LÄN</t>
        </is>
      </c>
      <c r="E3911" t="inlineStr">
        <is>
          <t>VILHELMINA</t>
        </is>
      </c>
      <c r="G3911" t="n">
        <v>24.6</v>
      </c>
      <c r="H3911" t="n">
        <v>0</v>
      </c>
      <c r="I3911" t="n">
        <v>0</v>
      </c>
      <c r="J3911" t="n">
        <v>0</v>
      </c>
      <c r="K3911" t="n">
        <v>0</v>
      </c>
      <c r="L3911" t="n">
        <v>0</v>
      </c>
      <c r="M3911" t="n">
        <v>0</v>
      </c>
      <c r="N3911" t="n">
        <v>0</v>
      </c>
      <c r="O3911" t="n">
        <v>0</v>
      </c>
      <c r="P3911" t="n">
        <v>0</v>
      </c>
      <c r="Q3911" t="n">
        <v>0</v>
      </c>
      <c r="R3911" s="2" t="inlineStr"/>
    </row>
    <row r="3912" ht="15" customHeight="1">
      <c r="A3912" t="inlineStr">
        <is>
          <t>A 65321-2020</t>
        </is>
      </c>
      <c r="B3912" s="1" t="n">
        <v>44169</v>
      </c>
      <c r="C3912" s="1" t="n">
        <v>45204</v>
      </c>
      <c r="D3912" t="inlineStr">
        <is>
          <t>VÄSTERBOTTENS LÄN</t>
        </is>
      </c>
      <c r="E3912" t="inlineStr">
        <is>
          <t>STORUMAN</t>
        </is>
      </c>
      <c r="G3912" t="n">
        <v>1.4</v>
      </c>
      <c r="H3912" t="n">
        <v>0</v>
      </c>
      <c r="I3912" t="n">
        <v>0</v>
      </c>
      <c r="J3912" t="n">
        <v>0</v>
      </c>
      <c r="K3912" t="n">
        <v>0</v>
      </c>
      <c r="L3912" t="n">
        <v>0</v>
      </c>
      <c r="M3912" t="n">
        <v>0</v>
      </c>
      <c r="N3912" t="n">
        <v>0</v>
      </c>
      <c r="O3912" t="n">
        <v>0</v>
      </c>
      <c r="P3912" t="n">
        <v>0</v>
      </c>
      <c r="Q3912" t="n">
        <v>0</v>
      </c>
      <c r="R3912" s="2" t="inlineStr"/>
    </row>
    <row r="3913" ht="15" customHeight="1">
      <c r="A3913" t="inlineStr">
        <is>
          <t>A 65392-2020</t>
        </is>
      </c>
      <c r="B3913" s="1" t="n">
        <v>44169</v>
      </c>
      <c r="C3913" s="1" t="n">
        <v>45204</v>
      </c>
      <c r="D3913" t="inlineStr">
        <is>
          <t>VÄSTERBOTTENS LÄN</t>
        </is>
      </c>
      <c r="E3913" t="inlineStr">
        <is>
          <t>NORSJÖ</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64834-2020</t>
        </is>
      </c>
      <c r="B3914" s="1" t="n">
        <v>44170</v>
      </c>
      <c r="C3914" s="1" t="n">
        <v>45204</v>
      </c>
      <c r="D3914" t="inlineStr">
        <is>
          <t>VÄSTERBOTTENS LÄN</t>
        </is>
      </c>
      <c r="E3914" t="inlineStr">
        <is>
          <t>ÅSELE</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64835-2020</t>
        </is>
      </c>
      <c r="B3915" s="1" t="n">
        <v>44170</v>
      </c>
      <c r="C3915" s="1" t="n">
        <v>45204</v>
      </c>
      <c r="D3915" t="inlineStr">
        <is>
          <t>VÄSTERBOTTENS LÄN</t>
        </is>
      </c>
      <c r="E3915" t="inlineStr">
        <is>
          <t>ÅSELE</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64875-2020</t>
        </is>
      </c>
      <c r="B3916" s="1" t="n">
        <v>44171</v>
      </c>
      <c r="C3916" s="1" t="n">
        <v>45204</v>
      </c>
      <c r="D3916" t="inlineStr">
        <is>
          <t>VÄSTERBOTTENS LÄN</t>
        </is>
      </c>
      <c r="E3916" t="inlineStr">
        <is>
          <t>ÅSELE</t>
        </is>
      </c>
      <c r="G3916" t="n">
        <v>13.2</v>
      </c>
      <c r="H3916" t="n">
        <v>0</v>
      </c>
      <c r="I3916" t="n">
        <v>0</v>
      </c>
      <c r="J3916" t="n">
        <v>0</v>
      </c>
      <c r="K3916" t="n">
        <v>0</v>
      </c>
      <c r="L3916" t="n">
        <v>0</v>
      </c>
      <c r="M3916" t="n">
        <v>0</v>
      </c>
      <c r="N3916" t="n">
        <v>0</v>
      </c>
      <c r="O3916" t="n">
        <v>0</v>
      </c>
      <c r="P3916" t="n">
        <v>0</v>
      </c>
      <c r="Q3916" t="n">
        <v>0</v>
      </c>
      <c r="R3916" s="2" t="inlineStr"/>
    </row>
    <row r="3917" ht="15" customHeight="1">
      <c r="A3917" t="inlineStr">
        <is>
          <t>A 64881-2020</t>
        </is>
      </c>
      <c r="B3917" s="1" t="n">
        <v>44171</v>
      </c>
      <c r="C3917" s="1" t="n">
        <v>45204</v>
      </c>
      <c r="D3917" t="inlineStr">
        <is>
          <t>VÄSTERBOTTENS LÄN</t>
        </is>
      </c>
      <c r="E3917" t="inlineStr">
        <is>
          <t>ÅSELE</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65486-2020</t>
        </is>
      </c>
      <c r="B3918" s="1" t="n">
        <v>44172</v>
      </c>
      <c r="C3918" s="1" t="n">
        <v>45204</v>
      </c>
      <c r="D3918" t="inlineStr">
        <is>
          <t>VÄSTERBOTTENS LÄN</t>
        </is>
      </c>
      <c r="E3918" t="inlineStr">
        <is>
          <t>SKELLEFTEÅ</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65254-2020</t>
        </is>
      </c>
      <c r="B3919" s="1" t="n">
        <v>44172</v>
      </c>
      <c r="C3919" s="1" t="n">
        <v>45204</v>
      </c>
      <c r="D3919" t="inlineStr">
        <is>
          <t>VÄSTERBOTTENS LÄN</t>
        </is>
      </c>
      <c r="E3919" t="inlineStr">
        <is>
          <t>SKELLEFTEÅ</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65830-2020</t>
        </is>
      </c>
      <c r="B3920" s="1" t="n">
        <v>44172</v>
      </c>
      <c r="C3920" s="1" t="n">
        <v>45204</v>
      </c>
      <c r="D3920" t="inlineStr">
        <is>
          <t>VÄSTERBOTTENS LÄN</t>
        </is>
      </c>
      <c r="E3920" t="inlineStr">
        <is>
          <t>ROBERTSFORS</t>
        </is>
      </c>
      <c r="G3920" t="n">
        <v>18.8</v>
      </c>
      <c r="H3920" t="n">
        <v>0</v>
      </c>
      <c r="I3920" t="n">
        <v>0</v>
      </c>
      <c r="J3920" t="n">
        <v>0</v>
      </c>
      <c r="K3920" t="n">
        <v>0</v>
      </c>
      <c r="L3920" t="n">
        <v>0</v>
      </c>
      <c r="M3920" t="n">
        <v>0</v>
      </c>
      <c r="N3920" t="n">
        <v>0</v>
      </c>
      <c r="O3920" t="n">
        <v>0</v>
      </c>
      <c r="P3920" t="n">
        <v>0</v>
      </c>
      <c r="Q3920" t="n">
        <v>0</v>
      </c>
      <c r="R3920" s="2" t="inlineStr"/>
    </row>
    <row r="3921" ht="15" customHeight="1">
      <c r="A3921" t="inlineStr">
        <is>
          <t>A 65582-2020</t>
        </is>
      </c>
      <c r="B3921" s="1" t="n">
        <v>44172</v>
      </c>
      <c r="C3921" s="1" t="n">
        <v>45204</v>
      </c>
      <c r="D3921" t="inlineStr">
        <is>
          <t>VÄSTERBOTTENS LÄN</t>
        </is>
      </c>
      <c r="E3921" t="inlineStr">
        <is>
          <t>SKELLEFTEÅ</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65663-2020</t>
        </is>
      </c>
      <c r="B3922" s="1" t="n">
        <v>44172</v>
      </c>
      <c r="C3922" s="1" t="n">
        <v>45204</v>
      </c>
      <c r="D3922" t="inlineStr">
        <is>
          <t>VÄSTERBOTTENS LÄN</t>
        </is>
      </c>
      <c r="E3922" t="inlineStr">
        <is>
          <t>VILHELMINA</t>
        </is>
      </c>
      <c r="G3922" t="n">
        <v>3.2</v>
      </c>
      <c r="H3922" t="n">
        <v>0</v>
      </c>
      <c r="I3922" t="n">
        <v>0</v>
      </c>
      <c r="J3922" t="n">
        <v>0</v>
      </c>
      <c r="K3922" t="n">
        <v>0</v>
      </c>
      <c r="L3922" t="n">
        <v>0</v>
      </c>
      <c r="M3922" t="n">
        <v>0</v>
      </c>
      <c r="N3922" t="n">
        <v>0</v>
      </c>
      <c r="O3922" t="n">
        <v>0</v>
      </c>
      <c r="P3922" t="n">
        <v>0</v>
      </c>
      <c r="Q3922" t="n">
        <v>0</v>
      </c>
      <c r="R3922" s="2" t="inlineStr"/>
    </row>
    <row r="3923" ht="15" customHeight="1">
      <c r="A3923" t="inlineStr">
        <is>
          <t>A 65799-2020</t>
        </is>
      </c>
      <c r="B3923" s="1" t="n">
        <v>44172</v>
      </c>
      <c r="C3923" s="1" t="n">
        <v>45204</v>
      </c>
      <c r="D3923" t="inlineStr">
        <is>
          <t>VÄSTERBOTTENS LÄN</t>
        </is>
      </c>
      <c r="E3923" t="inlineStr">
        <is>
          <t>BJURHOLM</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65384-2020</t>
        </is>
      </c>
      <c r="B3924" s="1" t="n">
        <v>44173</v>
      </c>
      <c r="C3924" s="1" t="n">
        <v>45204</v>
      </c>
      <c r="D3924" t="inlineStr">
        <is>
          <t>VÄSTERBOTTENS LÄN</t>
        </is>
      </c>
      <c r="E3924" t="inlineStr">
        <is>
          <t>SKELLEFTEÅ</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65567-2020</t>
        </is>
      </c>
      <c r="B3925" s="1" t="n">
        <v>44173</v>
      </c>
      <c r="C3925" s="1" t="n">
        <v>45204</v>
      </c>
      <c r="D3925" t="inlineStr">
        <is>
          <t>VÄSTERBOTTENS LÄN</t>
        </is>
      </c>
      <c r="E3925" t="inlineStr">
        <is>
          <t>SKELLEFTEÅ</t>
        </is>
      </c>
      <c r="F3925" t="inlineStr">
        <is>
          <t>Sveaskog</t>
        </is>
      </c>
      <c r="G3925" t="n">
        <v>17.7</v>
      </c>
      <c r="H3925" t="n">
        <v>0</v>
      </c>
      <c r="I3925" t="n">
        <v>0</v>
      </c>
      <c r="J3925" t="n">
        <v>0</v>
      </c>
      <c r="K3925" t="n">
        <v>0</v>
      </c>
      <c r="L3925" t="n">
        <v>0</v>
      </c>
      <c r="M3925" t="n">
        <v>0</v>
      </c>
      <c r="N3925" t="n">
        <v>0</v>
      </c>
      <c r="O3925" t="n">
        <v>0</v>
      </c>
      <c r="P3925" t="n">
        <v>0</v>
      </c>
      <c r="Q3925" t="n">
        <v>0</v>
      </c>
      <c r="R3925" s="2" t="inlineStr"/>
    </row>
    <row r="3926" ht="15" customHeight="1">
      <c r="A3926" t="inlineStr">
        <is>
          <t>A 65597-2020</t>
        </is>
      </c>
      <c r="B3926" s="1" t="n">
        <v>44173</v>
      </c>
      <c r="C3926" s="1" t="n">
        <v>45204</v>
      </c>
      <c r="D3926" t="inlineStr">
        <is>
          <t>VÄSTERBOTTENS LÄN</t>
        </is>
      </c>
      <c r="E3926" t="inlineStr">
        <is>
          <t>SORSELE</t>
        </is>
      </c>
      <c r="G3926" t="n">
        <v>16.5</v>
      </c>
      <c r="H3926" t="n">
        <v>0</v>
      </c>
      <c r="I3926" t="n">
        <v>0</v>
      </c>
      <c r="J3926" t="n">
        <v>0</v>
      </c>
      <c r="K3926" t="n">
        <v>0</v>
      </c>
      <c r="L3926" t="n">
        <v>0</v>
      </c>
      <c r="M3926" t="n">
        <v>0</v>
      </c>
      <c r="N3926" t="n">
        <v>0</v>
      </c>
      <c r="O3926" t="n">
        <v>0</v>
      </c>
      <c r="P3926" t="n">
        <v>0</v>
      </c>
      <c r="Q3926" t="n">
        <v>0</v>
      </c>
      <c r="R3926" s="2" t="inlineStr"/>
    </row>
    <row r="3927" ht="15" customHeight="1">
      <c r="A3927" t="inlineStr">
        <is>
          <t>A 65382-2020</t>
        </is>
      </c>
      <c r="B3927" s="1" t="n">
        <v>44173</v>
      </c>
      <c r="C3927" s="1" t="n">
        <v>45204</v>
      </c>
      <c r="D3927" t="inlineStr">
        <is>
          <t>VÄSTERBOTTENS LÄN</t>
        </is>
      </c>
      <c r="E3927" t="inlineStr">
        <is>
          <t>SKELLEFTEÅ</t>
        </is>
      </c>
      <c r="G3927" t="n">
        <v>1</v>
      </c>
      <c r="H3927" t="n">
        <v>0</v>
      </c>
      <c r="I3927" t="n">
        <v>0</v>
      </c>
      <c r="J3927" t="n">
        <v>0</v>
      </c>
      <c r="K3927" t="n">
        <v>0</v>
      </c>
      <c r="L3927" t="n">
        <v>0</v>
      </c>
      <c r="M3927" t="n">
        <v>0</v>
      </c>
      <c r="N3927" t="n">
        <v>0</v>
      </c>
      <c r="O3927" t="n">
        <v>0</v>
      </c>
      <c r="P3927" t="n">
        <v>0</v>
      </c>
      <c r="Q3927" t="n">
        <v>0</v>
      </c>
      <c r="R3927" s="2" t="inlineStr"/>
    </row>
    <row r="3928" ht="15" customHeight="1">
      <c r="A3928" t="inlineStr">
        <is>
          <t>A 66061-2020</t>
        </is>
      </c>
      <c r="B3928" s="1" t="n">
        <v>44173</v>
      </c>
      <c r="C3928" s="1" t="n">
        <v>45204</v>
      </c>
      <c r="D3928" t="inlineStr">
        <is>
          <t>VÄSTERBOTTENS LÄN</t>
        </is>
      </c>
      <c r="E3928" t="inlineStr">
        <is>
          <t>SKELLEFTEÅ</t>
        </is>
      </c>
      <c r="G3928" t="n">
        <v>5.8</v>
      </c>
      <c r="H3928" t="n">
        <v>0</v>
      </c>
      <c r="I3928" t="n">
        <v>0</v>
      </c>
      <c r="J3928" t="n">
        <v>0</v>
      </c>
      <c r="K3928" t="n">
        <v>0</v>
      </c>
      <c r="L3928" t="n">
        <v>0</v>
      </c>
      <c r="M3928" t="n">
        <v>0</v>
      </c>
      <c r="N3928" t="n">
        <v>0</v>
      </c>
      <c r="O3928" t="n">
        <v>0</v>
      </c>
      <c r="P3928" t="n">
        <v>0</v>
      </c>
      <c r="Q3928" t="n">
        <v>0</v>
      </c>
      <c r="R3928" s="2" t="inlineStr"/>
    </row>
    <row r="3929" ht="15" customHeight="1">
      <c r="A3929" t="inlineStr">
        <is>
          <t>A 65379-2020</t>
        </is>
      </c>
      <c r="B3929" s="1" t="n">
        <v>44173</v>
      </c>
      <c r="C3929" s="1" t="n">
        <v>45204</v>
      </c>
      <c r="D3929" t="inlineStr">
        <is>
          <t>VÄSTERBOTTENS LÄN</t>
        </is>
      </c>
      <c r="E3929" t="inlineStr">
        <is>
          <t>SKELLEFTEÅ</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65419-2020</t>
        </is>
      </c>
      <c r="B3930" s="1" t="n">
        <v>44173</v>
      </c>
      <c r="C3930" s="1" t="n">
        <v>45204</v>
      </c>
      <c r="D3930" t="inlineStr">
        <is>
          <t>VÄSTERBOTTENS LÄN</t>
        </is>
      </c>
      <c r="E3930" t="inlineStr">
        <is>
          <t>VÄNNÄS</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66036-2020</t>
        </is>
      </c>
      <c r="B3931" s="1" t="n">
        <v>44175</v>
      </c>
      <c r="C3931" s="1" t="n">
        <v>45204</v>
      </c>
      <c r="D3931" t="inlineStr">
        <is>
          <t>VÄSTERBOTTENS LÄN</t>
        </is>
      </c>
      <c r="E3931" t="inlineStr">
        <is>
          <t>ROBERTSFORS</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66039-2020</t>
        </is>
      </c>
      <c r="B3932" s="1" t="n">
        <v>44175</v>
      </c>
      <c r="C3932" s="1" t="n">
        <v>45204</v>
      </c>
      <c r="D3932" t="inlineStr">
        <is>
          <t>VÄSTERBOTTENS LÄN</t>
        </is>
      </c>
      <c r="E3932" t="inlineStr">
        <is>
          <t>ROBERTSFORS</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66079-2020</t>
        </is>
      </c>
      <c r="B3933" s="1" t="n">
        <v>44175</v>
      </c>
      <c r="C3933" s="1" t="n">
        <v>45204</v>
      </c>
      <c r="D3933" t="inlineStr">
        <is>
          <t>VÄSTERBOTTENS LÄN</t>
        </is>
      </c>
      <c r="E3933" t="inlineStr">
        <is>
          <t>ÅSELE</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66786-2020</t>
        </is>
      </c>
      <c r="B3934" s="1" t="n">
        <v>44175</v>
      </c>
      <c r="C3934" s="1" t="n">
        <v>45204</v>
      </c>
      <c r="D3934" t="inlineStr">
        <is>
          <t>VÄSTERBOTTENS LÄN</t>
        </is>
      </c>
      <c r="E3934" t="inlineStr">
        <is>
          <t>STORUMAN</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66232-2020</t>
        </is>
      </c>
      <c r="B3935" s="1" t="n">
        <v>44175</v>
      </c>
      <c r="C3935" s="1" t="n">
        <v>45204</v>
      </c>
      <c r="D3935" t="inlineStr">
        <is>
          <t>VÄSTERBOTTENS LÄN</t>
        </is>
      </c>
      <c r="E3935" t="inlineStr">
        <is>
          <t>STORUMAN</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66480-2020</t>
        </is>
      </c>
      <c r="B3936" s="1" t="n">
        <v>44177</v>
      </c>
      <c r="C3936" s="1" t="n">
        <v>45204</v>
      </c>
      <c r="D3936" t="inlineStr">
        <is>
          <t>VÄSTERBOTTENS LÄN</t>
        </is>
      </c>
      <c r="E3936" t="inlineStr">
        <is>
          <t>SKELLEFTEÅ</t>
        </is>
      </c>
      <c r="G3936" t="n">
        <v>5.2</v>
      </c>
      <c r="H3936" t="n">
        <v>0</v>
      </c>
      <c r="I3936" t="n">
        <v>0</v>
      </c>
      <c r="J3936" t="n">
        <v>0</v>
      </c>
      <c r="K3936" t="n">
        <v>0</v>
      </c>
      <c r="L3936" t="n">
        <v>0</v>
      </c>
      <c r="M3936" t="n">
        <v>0</v>
      </c>
      <c r="N3936" t="n">
        <v>0</v>
      </c>
      <c r="O3936" t="n">
        <v>0</v>
      </c>
      <c r="P3936" t="n">
        <v>0</v>
      </c>
      <c r="Q3936" t="n">
        <v>0</v>
      </c>
      <c r="R3936" s="2" t="inlineStr"/>
    </row>
    <row r="3937" ht="15" customHeight="1">
      <c r="A3937" t="inlineStr">
        <is>
          <t>A 66839-2020</t>
        </is>
      </c>
      <c r="B3937" s="1" t="n">
        <v>44179</v>
      </c>
      <c r="C3937" s="1" t="n">
        <v>45204</v>
      </c>
      <c r="D3937" t="inlineStr">
        <is>
          <t>VÄSTERBOTTENS LÄN</t>
        </is>
      </c>
      <c r="E3937" t="inlineStr">
        <is>
          <t>NORDMALING</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67392-2020</t>
        </is>
      </c>
      <c r="B3938" s="1" t="n">
        <v>44179</v>
      </c>
      <c r="C3938" s="1" t="n">
        <v>45204</v>
      </c>
      <c r="D3938" t="inlineStr">
        <is>
          <t>VÄSTERBOTTENS LÄN</t>
        </is>
      </c>
      <c r="E3938" t="inlineStr">
        <is>
          <t>SORSELE</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66833-2020</t>
        </is>
      </c>
      <c r="B3939" s="1" t="n">
        <v>44179</v>
      </c>
      <c r="C3939" s="1" t="n">
        <v>45204</v>
      </c>
      <c r="D3939" t="inlineStr">
        <is>
          <t>VÄSTERBOTTENS LÄN</t>
        </is>
      </c>
      <c r="E3939" t="inlineStr">
        <is>
          <t>NORDMALING</t>
        </is>
      </c>
      <c r="F3939" t="inlineStr">
        <is>
          <t>SCA</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67444-2020</t>
        </is>
      </c>
      <c r="B3940" s="1" t="n">
        <v>44179</v>
      </c>
      <c r="C3940" s="1" t="n">
        <v>45204</v>
      </c>
      <c r="D3940" t="inlineStr">
        <is>
          <t>VÄSTERBOTTENS LÄN</t>
        </is>
      </c>
      <c r="E3940" t="inlineStr">
        <is>
          <t>UMEÅ</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66820-2020</t>
        </is>
      </c>
      <c r="B3941" s="1" t="n">
        <v>44179</v>
      </c>
      <c r="C3941" s="1" t="n">
        <v>45204</v>
      </c>
      <c r="D3941" t="inlineStr">
        <is>
          <t>VÄSTERBOTTENS LÄN</t>
        </is>
      </c>
      <c r="E3941" t="inlineStr">
        <is>
          <t>SKELLEFTEÅ</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66841-2020</t>
        </is>
      </c>
      <c r="B3942" s="1" t="n">
        <v>44179</v>
      </c>
      <c r="C3942" s="1" t="n">
        <v>45204</v>
      </c>
      <c r="D3942" t="inlineStr">
        <is>
          <t>VÄSTERBOTTENS LÄN</t>
        </is>
      </c>
      <c r="E3942" t="inlineStr">
        <is>
          <t>NORDMALING</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67421-2020</t>
        </is>
      </c>
      <c r="B3943" s="1" t="n">
        <v>44179</v>
      </c>
      <c r="C3943" s="1" t="n">
        <v>45204</v>
      </c>
      <c r="D3943" t="inlineStr">
        <is>
          <t>VÄSTERBOTTENS LÄN</t>
        </is>
      </c>
      <c r="E3943" t="inlineStr">
        <is>
          <t>VÄNNÄS</t>
        </is>
      </c>
      <c r="G3943" t="n">
        <v>2</v>
      </c>
      <c r="H3943" t="n">
        <v>0</v>
      </c>
      <c r="I3943" t="n">
        <v>0</v>
      </c>
      <c r="J3943" t="n">
        <v>0</v>
      </c>
      <c r="K3943" t="n">
        <v>0</v>
      </c>
      <c r="L3943" t="n">
        <v>0</v>
      </c>
      <c r="M3943" t="n">
        <v>0</v>
      </c>
      <c r="N3943" t="n">
        <v>0</v>
      </c>
      <c r="O3943" t="n">
        <v>0</v>
      </c>
      <c r="P3943" t="n">
        <v>0</v>
      </c>
      <c r="Q3943" t="n">
        <v>0</v>
      </c>
      <c r="R3943" s="2" t="inlineStr"/>
    </row>
    <row r="3944" ht="15" customHeight="1">
      <c r="A3944" t="inlineStr">
        <is>
          <t>A 67663-2020</t>
        </is>
      </c>
      <c r="B3944" s="1" t="n">
        <v>44180</v>
      </c>
      <c r="C3944" s="1" t="n">
        <v>45204</v>
      </c>
      <c r="D3944" t="inlineStr">
        <is>
          <t>VÄSTERBOTTENS LÄN</t>
        </is>
      </c>
      <c r="E3944" t="inlineStr">
        <is>
          <t>BJURHOLM</t>
        </is>
      </c>
      <c r="G3944" t="n">
        <v>4.7</v>
      </c>
      <c r="H3944" t="n">
        <v>0</v>
      </c>
      <c r="I3944" t="n">
        <v>0</v>
      </c>
      <c r="J3944" t="n">
        <v>0</v>
      </c>
      <c r="K3944" t="n">
        <v>0</v>
      </c>
      <c r="L3944" t="n">
        <v>0</v>
      </c>
      <c r="M3944" t="n">
        <v>0</v>
      </c>
      <c r="N3944" t="n">
        <v>0</v>
      </c>
      <c r="O3944" t="n">
        <v>0</v>
      </c>
      <c r="P3944" t="n">
        <v>0</v>
      </c>
      <c r="Q3944" t="n">
        <v>0</v>
      </c>
      <c r="R3944" s="2" t="inlineStr"/>
    </row>
    <row r="3945" ht="15" customHeight="1">
      <c r="A3945" t="inlineStr">
        <is>
          <t>A 67032-2020</t>
        </is>
      </c>
      <c r="B3945" s="1" t="n">
        <v>44180</v>
      </c>
      <c r="C3945" s="1" t="n">
        <v>45204</v>
      </c>
      <c r="D3945" t="inlineStr">
        <is>
          <t>VÄSTERBOTTENS LÄN</t>
        </is>
      </c>
      <c r="E3945" t="inlineStr">
        <is>
          <t>VINDELN</t>
        </is>
      </c>
      <c r="G3945" t="n">
        <v>18.8</v>
      </c>
      <c r="H3945" t="n">
        <v>0</v>
      </c>
      <c r="I3945" t="n">
        <v>0</v>
      </c>
      <c r="J3945" t="n">
        <v>0</v>
      </c>
      <c r="K3945" t="n">
        <v>0</v>
      </c>
      <c r="L3945" t="n">
        <v>0</v>
      </c>
      <c r="M3945" t="n">
        <v>0</v>
      </c>
      <c r="N3945" t="n">
        <v>0</v>
      </c>
      <c r="O3945" t="n">
        <v>0</v>
      </c>
      <c r="P3945" t="n">
        <v>0</v>
      </c>
      <c r="Q3945" t="n">
        <v>0</v>
      </c>
      <c r="R3945" s="2" t="inlineStr"/>
    </row>
    <row r="3946" ht="15" customHeight="1">
      <c r="A3946" t="inlineStr">
        <is>
          <t>A 67227-2020</t>
        </is>
      </c>
      <c r="B3946" s="1" t="n">
        <v>44180</v>
      </c>
      <c r="C3946" s="1" t="n">
        <v>45204</v>
      </c>
      <c r="D3946" t="inlineStr">
        <is>
          <t>VÄSTERBOTTENS LÄN</t>
        </is>
      </c>
      <c r="E3946" t="inlineStr">
        <is>
          <t>NORSJÖ</t>
        </is>
      </c>
      <c r="G3946" t="n">
        <v>6.3</v>
      </c>
      <c r="H3946" t="n">
        <v>0</v>
      </c>
      <c r="I3946" t="n">
        <v>0</v>
      </c>
      <c r="J3946" t="n">
        <v>0</v>
      </c>
      <c r="K3946" t="n">
        <v>0</v>
      </c>
      <c r="L3946" t="n">
        <v>0</v>
      </c>
      <c r="M3946" t="n">
        <v>0</v>
      </c>
      <c r="N3946" t="n">
        <v>0</v>
      </c>
      <c r="O3946" t="n">
        <v>0</v>
      </c>
      <c r="P3946" t="n">
        <v>0</v>
      </c>
      <c r="Q3946" t="n">
        <v>0</v>
      </c>
      <c r="R3946" s="2" t="inlineStr"/>
    </row>
    <row r="3947" ht="15" customHeight="1">
      <c r="A3947" t="inlineStr">
        <is>
          <t>A 67226-2020</t>
        </is>
      </c>
      <c r="B3947" s="1" t="n">
        <v>44180</v>
      </c>
      <c r="C3947" s="1" t="n">
        <v>45204</v>
      </c>
      <c r="D3947" t="inlineStr">
        <is>
          <t>VÄSTERBOTTENS LÄN</t>
        </is>
      </c>
      <c r="E3947" t="inlineStr">
        <is>
          <t>NORSJÖ</t>
        </is>
      </c>
      <c r="G3947" t="n">
        <v>8.300000000000001</v>
      </c>
      <c r="H3947" t="n">
        <v>0</v>
      </c>
      <c r="I3947" t="n">
        <v>0</v>
      </c>
      <c r="J3947" t="n">
        <v>0</v>
      </c>
      <c r="K3947" t="n">
        <v>0</v>
      </c>
      <c r="L3947" t="n">
        <v>0</v>
      </c>
      <c r="M3947" t="n">
        <v>0</v>
      </c>
      <c r="N3947" t="n">
        <v>0</v>
      </c>
      <c r="O3947" t="n">
        <v>0</v>
      </c>
      <c r="P3947" t="n">
        <v>0</v>
      </c>
      <c r="Q3947" t="n">
        <v>0</v>
      </c>
      <c r="R3947" s="2" t="inlineStr"/>
    </row>
    <row r="3948" ht="15" customHeight="1">
      <c r="A3948" t="inlineStr">
        <is>
          <t>A 67497-2020</t>
        </is>
      </c>
      <c r="B3948" s="1" t="n">
        <v>44180</v>
      </c>
      <c r="C3948" s="1" t="n">
        <v>45204</v>
      </c>
      <c r="D3948" t="inlineStr">
        <is>
          <t>VÄSTERBOTTENS LÄN</t>
        </is>
      </c>
      <c r="E3948" t="inlineStr">
        <is>
          <t>SORSELE</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67587-2020</t>
        </is>
      </c>
      <c r="B3949" s="1" t="n">
        <v>44181</v>
      </c>
      <c r="C3949" s="1" t="n">
        <v>45204</v>
      </c>
      <c r="D3949" t="inlineStr">
        <is>
          <t>VÄSTERBOTTENS LÄN</t>
        </is>
      </c>
      <c r="E3949" t="inlineStr">
        <is>
          <t>STORUMAN</t>
        </is>
      </c>
      <c r="G3949" t="n">
        <v>0.3</v>
      </c>
      <c r="H3949" t="n">
        <v>0</v>
      </c>
      <c r="I3949" t="n">
        <v>0</v>
      </c>
      <c r="J3949" t="n">
        <v>0</v>
      </c>
      <c r="K3949" t="n">
        <v>0</v>
      </c>
      <c r="L3949" t="n">
        <v>0</v>
      </c>
      <c r="M3949" t="n">
        <v>0</v>
      </c>
      <c r="N3949" t="n">
        <v>0</v>
      </c>
      <c r="O3949" t="n">
        <v>0</v>
      </c>
      <c r="P3949" t="n">
        <v>0</v>
      </c>
      <c r="Q3949" t="n">
        <v>0</v>
      </c>
      <c r="R3949" s="2" t="inlineStr"/>
    </row>
    <row r="3950" ht="15" customHeight="1">
      <c r="A3950" t="inlineStr">
        <is>
          <t>A 67624-2020</t>
        </is>
      </c>
      <c r="B3950" s="1" t="n">
        <v>44181</v>
      </c>
      <c r="C3950" s="1" t="n">
        <v>45204</v>
      </c>
      <c r="D3950" t="inlineStr">
        <is>
          <t>VÄSTERBOTTENS LÄN</t>
        </is>
      </c>
      <c r="E3950" t="inlineStr">
        <is>
          <t>SKELLEFTEÅ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67297-2020</t>
        </is>
      </c>
      <c r="B3951" s="1" t="n">
        <v>44181</v>
      </c>
      <c r="C3951" s="1" t="n">
        <v>45204</v>
      </c>
      <c r="D3951" t="inlineStr">
        <is>
          <t>VÄSTERBOTTENS LÄN</t>
        </is>
      </c>
      <c r="E3951" t="inlineStr">
        <is>
          <t>SKELLEFTEÅ</t>
        </is>
      </c>
      <c r="G3951" t="n">
        <v>6.8</v>
      </c>
      <c r="H3951" t="n">
        <v>0</v>
      </c>
      <c r="I3951" t="n">
        <v>0</v>
      </c>
      <c r="J3951" t="n">
        <v>0</v>
      </c>
      <c r="K3951" t="n">
        <v>0</v>
      </c>
      <c r="L3951" t="n">
        <v>0</v>
      </c>
      <c r="M3951" t="n">
        <v>0</v>
      </c>
      <c r="N3951" t="n">
        <v>0</v>
      </c>
      <c r="O3951" t="n">
        <v>0</v>
      </c>
      <c r="P3951" t="n">
        <v>0</v>
      </c>
      <c r="Q3951" t="n">
        <v>0</v>
      </c>
      <c r="R3951" s="2" t="inlineStr"/>
    </row>
    <row r="3952" ht="15" customHeight="1">
      <c r="A3952" t="inlineStr">
        <is>
          <t>A 67993-2020</t>
        </is>
      </c>
      <c r="B3952" s="1" t="n">
        <v>44182</v>
      </c>
      <c r="C3952" s="1" t="n">
        <v>45204</v>
      </c>
      <c r="D3952" t="inlineStr">
        <is>
          <t>VÄSTERBOTTENS LÄN</t>
        </is>
      </c>
      <c r="E3952" t="inlineStr">
        <is>
          <t>NORDMALING</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68253-2020</t>
        </is>
      </c>
      <c r="B3953" s="1" t="n">
        <v>44182</v>
      </c>
      <c r="C3953" s="1" t="n">
        <v>45204</v>
      </c>
      <c r="D3953" t="inlineStr">
        <is>
          <t>VÄSTERBOTTENS LÄN</t>
        </is>
      </c>
      <c r="E3953" t="inlineStr">
        <is>
          <t>LYCKSELE</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67678-2020</t>
        </is>
      </c>
      <c r="B3954" s="1" t="n">
        <v>44182</v>
      </c>
      <c r="C3954" s="1" t="n">
        <v>45204</v>
      </c>
      <c r="D3954" t="inlineStr">
        <is>
          <t>VÄSTERBOTTENS LÄN</t>
        </is>
      </c>
      <c r="E3954" t="inlineStr">
        <is>
          <t>SKELLEFTEÅ</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67684-2020</t>
        </is>
      </c>
      <c r="B3955" s="1" t="n">
        <v>44182</v>
      </c>
      <c r="C3955" s="1" t="n">
        <v>45204</v>
      </c>
      <c r="D3955" t="inlineStr">
        <is>
          <t>VÄSTERBOTTENS LÄN</t>
        </is>
      </c>
      <c r="E3955" t="inlineStr">
        <is>
          <t>BJURHOLM</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67976-2020</t>
        </is>
      </c>
      <c r="B3956" s="1" t="n">
        <v>44182</v>
      </c>
      <c r="C3956" s="1" t="n">
        <v>45204</v>
      </c>
      <c r="D3956" t="inlineStr">
        <is>
          <t>VÄSTERBOTTENS LÄN</t>
        </is>
      </c>
      <c r="E3956" t="inlineStr">
        <is>
          <t>SKELLEFTEÅ</t>
        </is>
      </c>
      <c r="F3956" t="inlineStr">
        <is>
          <t>Holmen skog AB</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68042-2020</t>
        </is>
      </c>
      <c r="B3957" s="1" t="n">
        <v>44182</v>
      </c>
      <c r="C3957" s="1" t="n">
        <v>45204</v>
      </c>
      <c r="D3957" t="inlineStr">
        <is>
          <t>VÄSTERBOTTENS LÄN</t>
        </is>
      </c>
      <c r="E3957" t="inlineStr">
        <is>
          <t>NORDMALING</t>
        </is>
      </c>
      <c r="F3957" t="inlineStr">
        <is>
          <t>SCA</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68405-2020</t>
        </is>
      </c>
      <c r="B3958" s="1" t="n">
        <v>44182</v>
      </c>
      <c r="C3958" s="1" t="n">
        <v>45204</v>
      </c>
      <c r="D3958" t="inlineStr">
        <is>
          <t>VÄSTERBOTTENS LÄN</t>
        </is>
      </c>
      <c r="E3958" t="inlineStr">
        <is>
          <t>LYCKSELE</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67854-2020</t>
        </is>
      </c>
      <c r="B3959" s="1" t="n">
        <v>44182</v>
      </c>
      <c r="C3959" s="1" t="n">
        <v>45204</v>
      </c>
      <c r="D3959" t="inlineStr">
        <is>
          <t>VÄSTERBOTTENS LÄN</t>
        </is>
      </c>
      <c r="E3959" t="inlineStr">
        <is>
          <t>UMEÅ</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68409-2020</t>
        </is>
      </c>
      <c r="B3960" s="1" t="n">
        <v>44182</v>
      </c>
      <c r="C3960" s="1" t="n">
        <v>45204</v>
      </c>
      <c r="D3960" t="inlineStr">
        <is>
          <t>VÄSTERBOTTENS LÄN</t>
        </is>
      </c>
      <c r="E3960" t="inlineStr">
        <is>
          <t>LYCKSELE</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68240-2020</t>
        </is>
      </c>
      <c r="B3961" s="1" t="n">
        <v>44183</v>
      </c>
      <c r="C3961" s="1" t="n">
        <v>45204</v>
      </c>
      <c r="D3961" t="inlineStr">
        <is>
          <t>VÄSTERBOTTENS LÄN</t>
        </is>
      </c>
      <c r="E3961" t="inlineStr">
        <is>
          <t>VINDELN</t>
        </is>
      </c>
      <c r="F3961" t="inlineStr">
        <is>
          <t>Sveaskog</t>
        </is>
      </c>
      <c r="G3961" t="n">
        <v>1.3</v>
      </c>
      <c r="H3961" t="n">
        <v>0</v>
      </c>
      <c r="I3961" t="n">
        <v>0</v>
      </c>
      <c r="J3961" t="n">
        <v>0</v>
      </c>
      <c r="K3961" t="n">
        <v>0</v>
      </c>
      <c r="L3961" t="n">
        <v>0</v>
      </c>
      <c r="M3961" t="n">
        <v>0</v>
      </c>
      <c r="N3961" t="n">
        <v>0</v>
      </c>
      <c r="O3961" t="n">
        <v>0</v>
      </c>
      <c r="P3961" t="n">
        <v>0</v>
      </c>
      <c r="Q3961" t="n">
        <v>0</v>
      </c>
      <c r="R3961" s="2" t="inlineStr"/>
    </row>
    <row r="3962" ht="15" customHeight="1">
      <c r="A3962" t="inlineStr">
        <is>
          <t>A 68104-2020</t>
        </is>
      </c>
      <c r="B3962" s="1" t="n">
        <v>44183</v>
      </c>
      <c r="C3962" s="1" t="n">
        <v>45204</v>
      </c>
      <c r="D3962" t="inlineStr">
        <is>
          <t>VÄSTERBOTTENS LÄN</t>
        </is>
      </c>
      <c r="E3962" t="inlineStr">
        <is>
          <t>SKELLEFTEÅ</t>
        </is>
      </c>
      <c r="F3962" t="inlineStr">
        <is>
          <t>Sveaskog</t>
        </is>
      </c>
      <c r="G3962" t="n">
        <v>4.7</v>
      </c>
      <c r="H3962" t="n">
        <v>0</v>
      </c>
      <c r="I3962" t="n">
        <v>0</v>
      </c>
      <c r="J3962" t="n">
        <v>0</v>
      </c>
      <c r="K3962" t="n">
        <v>0</v>
      </c>
      <c r="L3962" t="n">
        <v>0</v>
      </c>
      <c r="M3962" t="n">
        <v>0</v>
      </c>
      <c r="N3962" t="n">
        <v>0</v>
      </c>
      <c r="O3962" t="n">
        <v>0</v>
      </c>
      <c r="P3962" t="n">
        <v>0</v>
      </c>
      <c r="Q3962" t="n">
        <v>0</v>
      </c>
      <c r="R3962" s="2" t="inlineStr"/>
    </row>
    <row r="3963" ht="15" customHeight="1">
      <c r="A3963" t="inlineStr">
        <is>
          <t>A 68203-2020</t>
        </is>
      </c>
      <c r="B3963" s="1" t="n">
        <v>44183</v>
      </c>
      <c r="C3963" s="1" t="n">
        <v>45204</v>
      </c>
      <c r="D3963" t="inlineStr">
        <is>
          <t>VÄSTERBOTTENS LÄN</t>
        </is>
      </c>
      <c r="E3963" t="inlineStr">
        <is>
          <t>SKELLEFTEÅ</t>
        </is>
      </c>
      <c r="F3963" t="inlineStr">
        <is>
          <t>Sveaskog</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68116-2020</t>
        </is>
      </c>
      <c r="B3964" s="1" t="n">
        <v>44183</v>
      </c>
      <c r="C3964" s="1" t="n">
        <v>45204</v>
      </c>
      <c r="D3964" t="inlineStr">
        <is>
          <t>VÄSTERBOTTENS LÄN</t>
        </is>
      </c>
      <c r="E3964" t="inlineStr">
        <is>
          <t>SKELLEFTEÅ</t>
        </is>
      </c>
      <c r="F3964" t="inlineStr">
        <is>
          <t>Sveaskog</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68055-2020</t>
        </is>
      </c>
      <c r="B3965" s="1" t="n">
        <v>44183</v>
      </c>
      <c r="C3965" s="1" t="n">
        <v>45204</v>
      </c>
      <c r="D3965" t="inlineStr">
        <is>
          <t>VÄSTERBOTTENS LÄN</t>
        </is>
      </c>
      <c r="E3965" t="inlineStr">
        <is>
          <t>SKELLEFTEÅ</t>
        </is>
      </c>
      <c r="F3965" t="inlineStr">
        <is>
          <t>Sveaskog</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68169-2020</t>
        </is>
      </c>
      <c r="B3966" s="1" t="n">
        <v>44183</v>
      </c>
      <c r="C3966" s="1" t="n">
        <v>45204</v>
      </c>
      <c r="D3966" t="inlineStr">
        <is>
          <t>VÄSTERBOTTENS LÄN</t>
        </is>
      </c>
      <c r="E3966" t="inlineStr">
        <is>
          <t>SKELLEFTEÅ</t>
        </is>
      </c>
      <c r="F3966" t="inlineStr">
        <is>
          <t>Sveaskog</t>
        </is>
      </c>
      <c r="G3966" t="n">
        <v>7.6</v>
      </c>
      <c r="H3966" t="n">
        <v>0</v>
      </c>
      <c r="I3966" t="n">
        <v>0</v>
      </c>
      <c r="J3966" t="n">
        <v>0</v>
      </c>
      <c r="K3966" t="n">
        <v>0</v>
      </c>
      <c r="L3966" t="n">
        <v>0</v>
      </c>
      <c r="M3966" t="n">
        <v>0</v>
      </c>
      <c r="N3966" t="n">
        <v>0</v>
      </c>
      <c r="O3966" t="n">
        <v>0</v>
      </c>
      <c r="P3966" t="n">
        <v>0</v>
      </c>
      <c r="Q3966" t="n">
        <v>0</v>
      </c>
      <c r="R3966" s="2" t="inlineStr"/>
    </row>
    <row r="3967" ht="15" customHeight="1">
      <c r="A3967" t="inlineStr">
        <is>
          <t>A 68289-2020</t>
        </is>
      </c>
      <c r="B3967" s="1" t="n">
        <v>44183</v>
      </c>
      <c r="C3967" s="1" t="n">
        <v>45204</v>
      </c>
      <c r="D3967" t="inlineStr">
        <is>
          <t>VÄSTERBOTTENS LÄN</t>
        </is>
      </c>
      <c r="E3967" t="inlineStr">
        <is>
          <t>ROBERTSFORS</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68510-2020</t>
        </is>
      </c>
      <c r="B3968" s="1" t="n">
        <v>44183</v>
      </c>
      <c r="C3968" s="1" t="n">
        <v>45204</v>
      </c>
      <c r="D3968" t="inlineStr">
        <is>
          <t>VÄSTERBOTTENS LÄN</t>
        </is>
      </c>
      <c r="E3968" t="inlineStr">
        <is>
          <t>LYCKSELE</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68499-2020</t>
        </is>
      </c>
      <c r="B3969" s="1" t="n">
        <v>44186</v>
      </c>
      <c r="C3969" s="1" t="n">
        <v>45204</v>
      </c>
      <c r="D3969" t="inlineStr">
        <is>
          <t>VÄSTERBOTTENS LÄN</t>
        </is>
      </c>
      <c r="E3969" t="inlineStr">
        <is>
          <t>STORUMAN</t>
        </is>
      </c>
      <c r="F3969" t="inlineStr">
        <is>
          <t>Sveaskog</t>
        </is>
      </c>
      <c r="G3969" t="n">
        <v>3.6</v>
      </c>
      <c r="H3969" t="n">
        <v>0</v>
      </c>
      <c r="I3969" t="n">
        <v>0</v>
      </c>
      <c r="J3969" t="n">
        <v>0</v>
      </c>
      <c r="K3969" t="n">
        <v>0</v>
      </c>
      <c r="L3969" t="n">
        <v>0</v>
      </c>
      <c r="M3969" t="n">
        <v>0</v>
      </c>
      <c r="N3969" t="n">
        <v>0</v>
      </c>
      <c r="O3969" t="n">
        <v>0</v>
      </c>
      <c r="P3969" t="n">
        <v>0</v>
      </c>
      <c r="Q3969" t="n">
        <v>0</v>
      </c>
      <c r="R3969" s="2" t="inlineStr"/>
    </row>
    <row r="3970" ht="15" customHeight="1">
      <c r="A3970" t="inlineStr">
        <is>
          <t>A 68705-2020</t>
        </is>
      </c>
      <c r="B3970" s="1" t="n">
        <v>44186</v>
      </c>
      <c r="C3970" s="1" t="n">
        <v>45204</v>
      </c>
      <c r="D3970" t="inlineStr">
        <is>
          <t>VÄSTERBOTTENS LÄN</t>
        </is>
      </c>
      <c r="E3970" t="inlineStr">
        <is>
          <t>UMEÅ</t>
        </is>
      </c>
      <c r="G3970" t="n">
        <v>4.1</v>
      </c>
      <c r="H3970" t="n">
        <v>0</v>
      </c>
      <c r="I3970" t="n">
        <v>0</v>
      </c>
      <c r="J3970" t="n">
        <v>0</v>
      </c>
      <c r="K3970" t="n">
        <v>0</v>
      </c>
      <c r="L3970" t="n">
        <v>0</v>
      </c>
      <c r="M3970" t="n">
        <v>0</v>
      </c>
      <c r="N3970" t="n">
        <v>0</v>
      </c>
      <c r="O3970" t="n">
        <v>0</v>
      </c>
      <c r="P3970" t="n">
        <v>0</v>
      </c>
      <c r="Q3970" t="n">
        <v>0</v>
      </c>
      <c r="R3970" s="2" t="inlineStr"/>
    </row>
    <row r="3971" ht="15" customHeight="1">
      <c r="A3971" t="inlineStr">
        <is>
          <t>A 68823-2020</t>
        </is>
      </c>
      <c r="B3971" s="1" t="n">
        <v>44186</v>
      </c>
      <c r="C3971" s="1" t="n">
        <v>45204</v>
      </c>
      <c r="D3971" t="inlineStr">
        <is>
          <t>VÄSTERBOTTENS LÄN</t>
        </is>
      </c>
      <c r="E3971" t="inlineStr">
        <is>
          <t>UMEÅ</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338-2021</t>
        </is>
      </c>
      <c r="B3972" s="1" t="n">
        <v>44186</v>
      </c>
      <c r="C3972" s="1" t="n">
        <v>45204</v>
      </c>
      <c r="D3972" t="inlineStr">
        <is>
          <t>VÄSTERBOTTENS LÄN</t>
        </is>
      </c>
      <c r="E3972" t="inlineStr">
        <is>
          <t>UMEÅ</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68371-2020</t>
        </is>
      </c>
      <c r="B3973" s="1" t="n">
        <v>44186</v>
      </c>
      <c r="C3973" s="1" t="n">
        <v>45204</v>
      </c>
      <c r="D3973" t="inlineStr">
        <is>
          <t>VÄSTERBOTTENS LÄN</t>
        </is>
      </c>
      <c r="E3973" t="inlineStr">
        <is>
          <t>ROBERTSFORS</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68564-2020</t>
        </is>
      </c>
      <c r="B3974" s="1" t="n">
        <v>44186</v>
      </c>
      <c r="C3974" s="1" t="n">
        <v>45204</v>
      </c>
      <c r="D3974" t="inlineStr">
        <is>
          <t>VÄSTERBOTTENS LÄN</t>
        </is>
      </c>
      <c r="E3974" t="inlineStr">
        <is>
          <t>SKELLEFTEÅ</t>
        </is>
      </c>
      <c r="G3974" t="n">
        <v>11.4</v>
      </c>
      <c r="H3974" t="n">
        <v>0</v>
      </c>
      <c r="I3974" t="n">
        <v>0</v>
      </c>
      <c r="J3974" t="n">
        <v>0</v>
      </c>
      <c r="K3974" t="n">
        <v>0</v>
      </c>
      <c r="L3974" t="n">
        <v>0</v>
      </c>
      <c r="M3974" t="n">
        <v>0</v>
      </c>
      <c r="N3974" t="n">
        <v>0</v>
      </c>
      <c r="O3974" t="n">
        <v>0</v>
      </c>
      <c r="P3974" t="n">
        <v>0</v>
      </c>
      <c r="Q3974" t="n">
        <v>0</v>
      </c>
      <c r="R3974" s="2" t="inlineStr"/>
    </row>
    <row r="3975" ht="15" customHeight="1">
      <c r="A3975" t="inlineStr">
        <is>
          <t>A 68640-2020</t>
        </is>
      </c>
      <c r="B3975" s="1" t="n">
        <v>44186</v>
      </c>
      <c r="C3975" s="1" t="n">
        <v>45204</v>
      </c>
      <c r="D3975" t="inlineStr">
        <is>
          <t>VÄSTERBOTTENS LÄN</t>
        </is>
      </c>
      <c r="E3975" t="inlineStr">
        <is>
          <t>VILHELMINA</t>
        </is>
      </c>
      <c r="F3975" t="inlineStr">
        <is>
          <t>SCA</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68765-2020</t>
        </is>
      </c>
      <c r="B3976" s="1" t="n">
        <v>44186</v>
      </c>
      <c r="C3976" s="1" t="n">
        <v>45204</v>
      </c>
      <c r="D3976" t="inlineStr">
        <is>
          <t>VÄSTERBOTTENS LÄN</t>
        </is>
      </c>
      <c r="E3976" t="inlineStr">
        <is>
          <t>ROBERTSFORS</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352-2021</t>
        </is>
      </c>
      <c r="B3977" s="1" t="n">
        <v>44186</v>
      </c>
      <c r="C3977" s="1" t="n">
        <v>45204</v>
      </c>
      <c r="D3977" t="inlineStr">
        <is>
          <t>VÄSTERBOTTENS LÄN</t>
        </is>
      </c>
      <c r="E3977" t="inlineStr">
        <is>
          <t>UMEÅ</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68385-2020</t>
        </is>
      </c>
      <c r="B3978" s="1" t="n">
        <v>44186</v>
      </c>
      <c r="C3978" s="1" t="n">
        <v>45204</v>
      </c>
      <c r="D3978" t="inlineStr">
        <is>
          <t>VÄSTERBOTTENS LÄN</t>
        </is>
      </c>
      <c r="E3978" t="inlineStr">
        <is>
          <t>ROBERTSFORS</t>
        </is>
      </c>
      <c r="G3978" t="n">
        <v>2.6</v>
      </c>
      <c r="H3978" t="n">
        <v>0</v>
      </c>
      <c r="I3978" t="n">
        <v>0</v>
      </c>
      <c r="J3978" t="n">
        <v>0</v>
      </c>
      <c r="K3978" t="n">
        <v>0</v>
      </c>
      <c r="L3978" t="n">
        <v>0</v>
      </c>
      <c r="M3978" t="n">
        <v>0</v>
      </c>
      <c r="N3978" t="n">
        <v>0</v>
      </c>
      <c r="O3978" t="n">
        <v>0</v>
      </c>
      <c r="P3978" t="n">
        <v>0</v>
      </c>
      <c r="Q3978" t="n">
        <v>0</v>
      </c>
      <c r="R3978" s="2" t="inlineStr"/>
    </row>
    <row r="3979" ht="15" customHeight="1">
      <c r="A3979" t="inlineStr">
        <is>
          <t>A 68494-2020</t>
        </is>
      </c>
      <c r="B3979" s="1" t="n">
        <v>44186</v>
      </c>
      <c r="C3979" s="1" t="n">
        <v>45204</v>
      </c>
      <c r="D3979" t="inlineStr">
        <is>
          <t>VÄSTERBOTTENS LÄN</t>
        </is>
      </c>
      <c r="E3979" t="inlineStr">
        <is>
          <t>STORUMAN</t>
        </is>
      </c>
      <c r="F3979" t="inlineStr">
        <is>
          <t>Sveaskog</t>
        </is>
      </c>
      <c r="G3979" t="n">
        <v>2.8</v>
      </c>
      <c r="H3979" t="n">
        <v>0</v>
      </c>
      <c r="I3979" t="n">
        <v>0</v>
      </c>
      <c r="J3979" t="n">
        <v>0</v>
      </c>
      <c r="K3979" t="n">
        <v>0</v>
      </c>
      <c r="L3979" t="n">
        <v>0</v>
      </c>
      <c r="M3979" t="n">
        <v>0</v>
      </c>
      <c r="N3979" t="n">
        <v>0</v>
      </c>
      <c r="O3979" t="n">
        <v>0</v>
      </c>
      <c r="P3979" t="n">
        <v>0</v>
      </c>
      <c r="Q3979" t="n">
        <v>0</v>
      </c>
      <c r="R3979" s="2" t="inlineStr"/>
    </row>
    <row r="3980" ht="15" customHeight="1">
      <c r="A3980" t="inlineStr">
        <is>
          <t>A 68505-2020</t>
        </is>
      </c>
      <c r="B3980" s="1" t="n">
        <v>44186</v>
      </c>
      <c r="C3980" s="1" t="n">
        <v>45204</v>
      </c>
      <c r="D3980" t="inlineStr">
        <is>
          <t>VÄSTERBOTTENS LÄN</t>
        </is>
      </c>
      <c r="E3980" t="inlineStr">
        <is>
          <t>STORUMAN</t>
        </is>
      </c>
      <c r="F3980" t="inlineStr">
        <is>
          <t>Sveaskog</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68373-2020</t>
        </is>
      </c>
      <c r="B3981" s="1" t="n">
        <v>44186</v>
      </c>
      <c r="C3981" s="1" t="n">
        <v>45204</v>
      </c>
      <c r="D3981" t="inlineStr">
        <is>
          <t>VÄSTERBOTTENS LÄN</t>
        </is>
      </c>
      <c r="E3981" t="inlineStr">
        <is>
          <t>ROBERTSFORS</t>
        </is>
      </c>
      <c r="G3981" t="n">
        <v>7.7</v>
      </c>
      <c r="H3981" t="n">
        <v>0</v>
      </c>
      <c r="I3981" t="n">
        <v>0</v>
      </c>
      <c r="J3981" t="n">
        <v>0</v>
      </c>
      <c r="K3981" t="n">
        <v>0</v>
      </c>
      <c r="L3981" t="n">
        <v>0</v>
      </c>
      <c r="M3981" t="n">
        <v>0</v>
      </c>
      <c r="N3981" t="n">
        <v>0</v>
      </c>
      <c r="O3981" t="n">
        <v>0</v>
      </c>
      <c r="P3981" t="n">
        <v>0</v>
      </c>
      <c r="Q3981" t="n">
        <v>0</v>
      </c>
      <c r="R3981" s="2" t="inlineStr"/>
    </row>
    <row r="3982" ht="15" customHeight="1">
      <c r="A3982" t="inlineStr">
        <is>
          <t>A 68641-2020</t>
        </is>
      </c>
      <c r="B3982" s="1" t="n">
        <v>44186</v>
      </c>
      <c r="C3982" s="1" t="n">
        <v>45204</v>
      </c>
      <c r="D3982" t="inlineStr">
        <is>
          <t>VÄSTERBOTTENS LÄN</t>
        </is>
      </c>
      <c r="E3982" t="inlineStr">
        <is>
          <t>VILHELMINA</t>
        </is>
      </c>
      <c r="F3982" t="inlineStr">
        <is>
          <t>SCA</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68798-2020</t>
        </is>
      </c>
      <c r="B3983" s="1" t="n">
        <v>44186</v>
      </c>
      <c r="C3983" s="1" t="n">
        <v>45204</v>
      </c>
      <c r="D3983" t="inlineStr">
        <is>
          <t>VÄSTERBOTTENS LÄN</t>
        </is>
      </c>
      <c r="E3983" t="inlineStr">
        <is>
          <t>ÅSELE</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68957-2020</t>
        </is>
      </c>
      <c r="B3984" s="1" t="n">
        <v>44187</v>
      </c>
      <c r="C3984" s="1" t="n">
        <v>45204</v>
      </c>
      <c r="D3984" t="inlineStr">
        <is>
          <t>VÄSTERBOTTENS LÄN</t>
        </is>
      </c>
      <c r="E3984" t="inlineStr">
        <is>
          <t>ROBERTSFORS</t>
        </is>
      </c>
      <c r="G3984" t="n">
        <v>5.1</v>
      </c>
      <c r="H3984" t="n">
        <v>0</v>
      </c>
      <c r="I3984" t="n">
        <v>0</v>
      </c>
      <c r="J3984" t="n">
        <v>0</v>
      </c>
      <c r="K3984" t="n">
        <v>0</v>
      </c>
      <c r="L3984" t="n">
        <v>0</v>
      </c>
      <c r="M3984" t="n">
        <v>0</v>
      </c>
      <c r="N3984" t="n">
        <v>0</v>
      </c>
      <c r="O3984" t="n">
        <v>0</v>
      </c>
      <c r="P3984" t="n">
        <v>0</v>
      </c>
      <c r="Q3984" t="n">
        <v>0</v>
      </c>
      <c r="R3984" s="2" t="inlineStr"/>
    </row>
    <row r="3985" ht="15" customHeight="1">
      <c r="A3985" t="inlineStr">
        <is>
          <t>A 69038-2020</t>
        </is>
      </c>
      <c r="B3985" s="1" t="n">
        <v>44187</v>
      </c>
      <c r="C3985" s="1" t="n">
        <v>45204</v>
      </c>
      <c r="D3985" t="inlineStr">
        <is>
          <t>VÄSTERBOTTENS LÄN</t>
        </is>
      </c>
      <c r="E3985" t="inlineStr">
        <is>
          <t>VINDELN</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68827-2020</t>
        </is>
      </c>
      <c r="B3986" s="1" t="n">
        <v>44187</v>
      </c>
      <c r="C3986" s="1" t="n">
        <v>45204</v>
      </c>
      <c r="D3986" t="inlineStr">
        <is>
          <t>VÄSTERBOTTENS LÄN</t>
        </is>
      </c>
      <c r="E3986" t="inlineStr">
        <is>
          <t>STORUMAN</t>
        </is>
      </c>
      <c r="G3986" t="n">
        <v>5.1</v>
      </c>
      <c r="H3986" t="n">
        <v>0</v>
      </c>
      <c r="I3986" t="n">
        <v>0</v>
      </c>
      <c r="J3986" t="n">
        <v>0</v>
      </c>
      <c r="K3986" t="n">
        <v>0</v>
      </c>
      <c r="L3986" t="n">
        <v>0</v>
      </c>
      <c r="M3986" t="n">
        <v>0</v>
      </c>
      <c r="N3986" t="n">
        <v>0</v>
      </c>
      <c r="O3986" t="n">
        <v>0</v>
      </c>
      <c r="P3986" t="n">
        <v>0</v>
      </c>
      <c r="Q3986" t="n">
        <v>0</v>
      </c>
      <c r="R3986" s="2" t="inlineStr"/>
    </row>
    <row r="3987" ht="15" customHeight="1">
      <c r="A3987" t="inlineStr">
        <is>
          <t>A 69008-2020</t>
        </is>
      </c>
      <c r="B3987" s="1" t="n">
        <v>44187</v>
      </c>
      <c r="C3987" s="1" t="n">
        <v>45204</v>
      </c>
      <c r="D3987" t="inlineStr">
        <is>
          <t>VÄSTERBOTTENS LÄN</t>
        </is>
      </c>
      <c r="E3987" t="inlineStr">
        <is>
          <t>BJURHOLM</t>
        </is>
      </c>
      <c r="G3987" t="n">
        <v>4.7</v>
      </c>
      <c r="H3987" t="n">
        <v>0</v>
      </c>
      <c r="I3987" t="n">
        <v>0</v>
      </c>
      <c r="J3987" t="n">
        <v>0</v>
      </c>
      <c r="K3987" t="n">
        <v>0</v>
      </c>
      <c r="L3987" t="n">
        <v>0</v>
      </c>
      <c r="M3987" t="n">
        <v>0</v>
      </c>
      <c r="N3987" t="n">
        <v>0</v>
      </c>
      <c r="O3987" t="n">
        <v>0</v>
      </c>
      <c r="P3987" t="n">
        <v>0</v>
      </c>
      <c r="Q3987" t="n">
        <v>0</v>
      </c>
      <c r="R3987" s="2" t="inlineStr"/>
    </row>
    <row r="3988" ht="15" customHeight="1">
      <c r="A3988" t="inlineStr">
        <is>
          <t>A 68662-2020</t>
        </is>
      </c>
      <c r="B3988" s="1" t="n">
        <v>44187</v>
      </c>
      <c r="C3988" s="1" t="n">
        <v>45204</v>
      </c>
      <c r="D3988" t="inlineStr">
        <is>
          <t>VÄSTERBOTTENS LÄN</t>
        </is>
      </c>
      <c r="E3988" t="inlineStr">
        <is>
          <t>UMEÅ</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69423-2020</t>
        </is>
      </c>
      <c r="B3989" s="1" t="n">
        <v>44193</v>
      </c>
      <c r="C3989" s="1" t="n">
        <v>45204</v>
      </c>
      <c r="D3989" t="inlineStr">
        <is>
          <t>VÄSTERBOTTENS LÄN</t>
        </is>
      </c>
      <c r="E3989" t="inlineStr">
        <is>
          <t>ÅSELE</t>
        </is>
      </c>
      <c r="F3989" t="inlineStr">
        <is>
          <t>SCA</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69502-2020</t>
        </is>
      </c>
      <c r="B3990" s="1" t="n">
        <v>44193</v>
      </c>
      <c r="C3990" s="1" t="n">
        <v>45204</v>
      </c>
      <c r="D3990" t="inlineStr">
        <is>
          <t>VÄSTERBOTTENS LÄN</t>
        </is>
      </c>
      <c r="E3990" t="inlineStr">
        <is>
          <t>VILHELMINA</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69574-2020</t>
        </is>
      </c>
      <c r="B3991" s="1" t="n">
        <v>44194</v>
      </c>
      <c r="C3991" s="1" t="n">
        <v>45204</v>
      </c>
      <c r="D3991" t="inlineStr">
        <is>
          <t>VÄSTERBOTTENS LÄN</t>
        </is>
      </c>
      <c r="E3991" t="inlineStr">
        <is>
          <t>ROBERTSFORS</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69596-2020</t>
        </is>
      </c>
      <c r="B3992" s="1" t="n">
        <v>44194</v>
      </c>
      <c r="C3992" s="1" t="n">
        <v>45204</v>
      </c>
      <c r="D3992" t="inlineStr">
        <is>
          <t>VÄSTERBOTTENS LÄN</t>
        </is>
      </c>
      <c r="E3992" t="inlineStr">
        <is>
          <t>UMEÅ</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69585-2020</t>
        </is>
      </c>
      <c r="B3993" s="1" t="n">
        <v>44195</v>
      </c>
      <c r="C3993" s="1" t="n">
        <v>45204</v>
      </c>
      <c r="D3993" t="inlineStr">
        <is>
          <t>VÄSTERBOTTENS LÄN</t>
        </is>
      </c>
      <c r="E3993" t="inlineStr">
        <is>
          <t>SKELLEFTEÅ</t>
        </is>
      </c>
      <c r="G3993" t="n">
        <v>4.5</v>
      </c>
      <c r="H3993" t="n">
        <v>0</v>
      </c>
      <c r="I3993" t="n">
        <v>0</v>
      </c>
      <c r="J3993" t="n">
        <v>0</v>
      </c>
      <c r="K3993" t="n">
        <v>0</v>
      </c>
      <c r="L3993" t="n">
        <v>0</v>
      </c>
      <c r="M3993" t="n">
        <v>0</v>
      </c>
      <c r="N3993" t="n">
        <v>0</v>
      </c>
      <c r="O3993" t="n">
        <v>0</v>
      </c>
      <c r="P3993" t="n">
        <v>0</v>
      </c>
      <c r="Q3993" t="n">
        <v>0</v>
      </c>
      <c r="R3993" s="2" t="inlineStr"/>
    </row>
    <row r="3994" ht="15" customHeight="1">
      <c r="A3994" t="inlineStr">
        <is>
          <t>A 69621-2020</t>
        </is>
      </c>
      <c r="B3994" s="1" t="n">
        <v>44195</v>
      </c>
      <c r="C3994" s="1" t="n">
        <v>45204</v>
      </c>
      <c r="D3994" t="inlineStr">
        <is>
          <t>VÄSTERBOTTENS LÄN</t>
        </is>
      </c>
      <c r="E3994" t="inlineStr">
        <is>
          <t>VILHELMINA</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69583-2020</t>
        </is>
      </c>
      <c r="B3995" s="1" t="n">
        <v>44195</v>
      </c>
      <c r="C3995" s="1" t="n">
        <v>45204</v>
      </c>
      <c r="D3995" t="inlineStr">
        <is>
          <t>VÄSTERBOTTENS LÄN</t>
        </is>
      </c>
      <c r="E3995" t="inlineStr">
        <is>
          <t>SKELLEFTEÅ</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69668-2020</t>
        </is>
      </c>
      <c r="B3996" s="1" t="n">
        <v>44195</v>
      </c>
      <c r="C3996" s="1" t="n">
        <v>45204</v>
      </c>
      <c r="D3996" t="inlineStr">
        <is>
          <t>VÄSTERBOTTENS LÄN</t>
        </is>
      </c>
      <c r="E3996" t="inlineStr">
        <is>
          <t>ÅSELE</t>
        </is>
      </c>
      <c r="F3996" t="inlineStr">
        <is>
          <t>SCA</t>
        </is>
      </c>
      <c r="G3996" t="n">
        <v>8.4</v>
      </c>
      <c r="H3996" t="n">
        <v>0</v>
      </c>
      <c r="I3996" t="n">
        <v>0</v>
      </c>
      <c r="J3996" t="n">
        <v>0</v>
      </c>
      <c r="K3996" t="n">
        <v>0</v>
      </c>
      <c r="L3996" t="n">
        <v>0</v>
      </c>
      <c r="M3996" t="n">
        <v>0</v>
      </c>
      <c r="N3996" t="n">
        <v>0</v>
      </c>
      <c r="O3996" t="n">
        <v>0</v>
      </c>
      <c r="P3996" t="n">
        <v>0</v>
      </c>
      <c r="Q3996" t="n">
        <v>0</v>
      </c>
      <c r="R3996" s="2" t="inlineStr"/>
    </row>
    <row r="3997" ht="15" customHeight="1">
      <c r="A3997" t="inlineStr">
        <is>
          <t>A 69669-2020</t>
        </is>
      </c>
      <c r="B3997" s="1" t="n">
        <v>44195</v>
      </c>
      <c r="C3997" s="1" t="n">
        <v>45204</v>
      </c>
      <c r="D3997" t="inlineStr">
        <is>
          <t>VÄSTERBOTTENS LÄN</t>
        </is>
      </c>
      <c r="E3997" t="inlineStr">
        <is>
          <t>ÅSELE</t>
        </is>
      </c>
      <c r="F3997" t="inlineStr">
        <is>
          <t>SCA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69581-2020</t>
        </is>
      </c>
      <c r="B3998" s="1" t="n">
        <v>44195</v>
      </c>
      <c r="C3998" s="1" t="n">
        <v>45204</v>
      </c>
      <c r="D3998" t="inlineStr">
        <is>
          <t>VÄSTERBOTTENS LÄN</t>
        </is>
      </c>
      <c r="E3998" t="inlineStr">
        <is>
          <t>SKELLEFTEÅ</t>
        </is>
      </c>
      <c r="G3998" t="n">
        <v>2.7</v>
      </c>
      <c r="H3998" t="n">
        <v>0</v>
      </c>
      <c r="I3998" t="n">
        <v>0</v>
      </c>
      <c r="J3998" t="n">
        <v>0</v>
      </c>
      <c r="K3998" t="n">
        <v>0</v>
      </c>
      <c r="L3998" t="n">
        <v>0</v>
      </c>
      <c r="M3998" t="n">
        <v>0</v>
      </c>
      <c r="N3998" t="n">
        <v>0</v>
      </c>
      <c r="O3998" t="n">
        <v>0</v>
      </c>
      <c r="P3998" t="n">
        <v>0</v>
      </c>
      <c r="Q3998" t="n">
        <v>0</v>
      </c>
      <c r="R3998" s="2" t="inlineStr"/>
    </row>
    <row r="3999" ht="15" customHeight="1">
      <c r="A3999" t="inlineStr">
        <is>
          <t>A 169-2021</t>
        </is>
      </c>
      <c r="B3999" s="1" t="n">
        <v>44200</v>
      </c>
      <c r="C3999" s="1" t="n">
        <v>45204</v>
      </c>
      <c r="D3999" t="inlineStr">
        <is>
          <t>VÄSTERBOTTENS LÄN</t>
        </is>
      </c>
      <c r="E3999" t="inlineStr">
        <is>
          <t>ROBERTSFORS</t>
        </is>
      </c>
      <c r="F3999" t="inlineStr">
        <is>
          <t>Holmen skog AB</t>
        </is>
      </c>
      <c r="G3999" t="n">
        <v>2.9</v>
      </c>
      <c r="H3999" t="n">
        <v>0</v>
      </c>
      <c r="I3999" t="n">
        <v>0</v>
      </c>
      <c r="J3999" t="n">
        <v>0</v>
      </c>
      <c r="K3999" t="n">
        <v>0</v>
      </c>
      <c r="L3999" t="n">
        <v>0</v>
      </c>
      <c r="M3999" t="n">
        <v>0</v>
      </c>
      <c r="N3999" t="n">
        <v>0</v>
      </c>
      <c r="O3999" t="n">
        <v>0</v>
      </c>
      <c r="P3999" t="n">
        <v>0</v>
      </c>
      <c r="Q3999" t="n">
        <v>0</v>
      </c>
      <c r="R3999" s="2" t="inlineStr"/>
    </row>
    <row r="4000" ht="15" customHeight="1">
      <c r="A4000" t="inlineStr">
        <is>
          <t>A 316-2021</t>
        </is>
      </c>
      <c r="B4000" s="1" t="n">
        <v>44201</v>
      </c>
      <c r="C4000" s="1" t="n">
        <v>45204</v>
      </c>
      <c r="D4000" t="inlineStr">
        <is>
          <t>VÄSTERBOTTENS LÄN</t>
        </is>
      </c>
      <c r="E4000" t="inlineStr">
        <is>
          <t>VINDELN</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353-2021</t>
        </is>
      </c>
      <c r="B4001" s="1" t="n">
        <v>44201</v>
      </c>
      <c r="C4001" s="1" t="n">
        <v>45204</v>
      </c>
      <c r="D4001" t="inlineStr">
        <is>
          <t>VÄSTERBOTTENS LÄN</t>
        </is>
      </c>
      <c r="E4001" t="inlineStr">
        <is>
          <t>SKELLEFTEÅ</t>
        </is>
      </c>
      <c r="G4001" t="n">
        <v>37.7</v>
      </c>
      <c r="H4001" t="n">
        <v>0</v>
      </c>
      <c r="I4001" t="n">
        <v>0</v>
      </c>
      <c r="J4001" t="n">
        <v>0</v>
      </c>
      <c r="K4001" t="n">
        <v>0</v>
      </c>
      <c r="L4001" t="n">
        <v>0</v>
      </c>
      <c r="M4001" t="n">
        <v>0</v>
      </c>
      <c r="N4001" t="n">
        <v>0</v>
      </c>
      <c r="O4001" t="n">
        <v>0</v>
      </c>
      <c r="P4001" t="n">
        <v>0</v>
      </c>
      <c r="Q4001" t="n">
        <v>0</v>
      </c>
      <c r="R4001" s="2" t="inlineStr"/>
    </row>
    <row r="4002" ht="15" customHeight="1">
      <c r="A4002" t="inlineStr">
        <is>
          <t>A 441-2021</t>
        </is>
      </c>
      <c r="B4002" s="1" t="n">
        <v>44201</v>
      </c>
      <c r="C4002" s="1" t="n">
        <v>45204</v>
      </c>
      <c r="D4002" t="inlineStr">
        <is>
          <t>VÄSTERBOTTENS LÄN</t>
        </is>
      </c>
      <c r="E4002" t="inlineStr">
        <is>
          <t>LYCKSELE</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664-2021</t>
        </is>
      </c>
      <c r="B4003" s="1" t="n">
        <v>44203</v>
      </c>
      <c r="C4003" s="1" t="n">
        <v>45204</v>
      </c>
      <c r="D4003" t="inlineStr">
        <is>
          <t>VÄSTERBOTTENS LÄN</t>
        </is>
      </c>
      <c r="E4003" t="inlineStr">
        <is>
          <t>VINDELN</t>
        </is>
      </c>
      <c r="G4003" t="n">
        <v>7.1</v>
      </c>
      <c r="H4003" t="n">
        <v>0</v>
      </c>
      <c r="I4003" t="n">
        <v>0</v>
      </c>
      <c r="J4003" t="n">
        <v>0</v>
      </c>
      <c r="K4003" t="n">
        <v>0</v>
      </c>
      <c r="L4003" t="n">
        <v>0</v>
      </c>
      <c r="M4003" t="n">
        <v>0</v>
      </c>
      <c r="N4003" t="n">
        <v>0</v>
      </c>
      <c r="O4003" t="n">
        <v>0</v>
      </c>
      <c r="P4003" t="n">
        <v>0</v>
      </c>
      <c r="Q4003" t="n">
        <v>0</v>
      </c>
      <c r="R4003" s="2" t="inlineStr"/>
    </row>
    <row r="4004" ht="15" customHeight="1">
      <c r="A4004" t="inlineStr">
        <is>
          <t>A 617-2021</t>
        </is>
      </c>
      <c r="B4004" s="1" t="n">
        <v>44203</v>
      </c>
      <c r="C4004" s="1" t="n">
        <v>45204</v>
      </c>
      <c r="D4004" t="inlineStr">
        <is>
          <t>VÄSTERBOTTENS LÄN</t>
        </is>
      </c>
      <c r="E4004" t="inlineStr">
        <is>
          <t>SORSELE</t>
        </is>
      </c>
      <c r="G4004" t="n">
        <v>51.8</v>
      </c>
      <c r="H4004" t="n">
        <v>0</v>
      </c>
      <c r="I4004" t="n">
        <v>0</v>
      </c>
      <c r="J4004" t="n">
        <v>0</v>
      </c>
      <c r="K4004" t="n">
        <v>0</v>
      </c>
      <c r="L4004" t="n">
        <v>0</v>
      </c>
      <c r="M4004" t="n">
        <v>0</v>
      </c>
      <c r="N4004" t="n">
        <v>0</v>
      </c>
      <c r="O4004" t="n">
        <v>0</v>
      </c>
      <c r="P4004" t="n">
        <v>0</v>
      </c>
      <c r="Q4004" t="n">
        <v>0</v>
      </c>
      <c r="R4004" s="2" t="inlineStr"/>
    </row>
    <row r="4005" ht="15" customHeight="1">
      <c r="A4005" t="inlineStr">
        <is>
          <t>A 1141-2021</t>
        </is>
      </c>
      <c r="B4005" s="1" t="n">
        <v>44207</v>
      </c>
      <c r="C4005" s="1" t="n">
        <v>45204</v>
      </c>
      <c r="D4005" t="inlineStr">
        <is>
          <t>VÄSTERBOTTENS LÄN</t>
        </is>
      </c>
      <c r="E4005" t="inlineStr">
        <is>
          <t>NORDMALING</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1149-2021</t>
        </is>
      </c>
      <c r="B4006" s="1" t="n">
        <v>44207</v>
      </c>
      <c r="C4006" s="1" t="n">
        <v>45204</v>
      </c>
      <c r="D4006" t="inlineStr">
        <is>
          <t>VÄSTERBOTTENS LÄN</t>
        </is>
      </c>
      <c r="E4006" t="inlineStr">
        <is>
          <t>SKELLEFTEÅ</t>
        </is>
      </c>
      <c r="G4006" t="n">
        <v>3.1</v>
      </c>
      <c r="H4006" t="n">
        <v>0</v>
      </c>
      <c r="I4006" t="n">
        <v>0</v>
      </c>
      <c r="J4006" t="n">
        <v>0</v>
      </c>
      <c r="K4006" t="n">
        <v>0</v>
      </c>
      <c r="L4006" t="n">
        <v>0</v>
      </c>
      <c r="M4006" t="n">
        <v>0</v>
      </c>
      <c r="N4006" t="n">
        <v>0</v>
      </c>
      <c r="O4006" t="n">
        <v>0</v>
      </c>
      <c r="P4006" t="n">
        <v>0</v>
      </c>
      <c r="Q4006" t="n">
        <v>0</v>
      </c>
      <c r="R4006" s="2" t="inlineStr"/>
    </row>
    <row r="4007" ht="15" customHeight="1">
      <c r="A4007" t="inlineStr">
        <is>
          <t>A 933-2021</t>
        </is>
      </c>
      <c r="B4007" s="1" t="n">
        <v>44207</v>
      </c>
      <c r="C4007" s="1" t="n">
        <v>45204</v>
      </c>
      <c r="D4007" t="inlineStr">
        <is>
          <t>VÄSTERBOTTENS LÄN</t>
        </is>
      </c>
      <c r="E4007" t="inlineStr">
        <is>
          <t>SORSELE</t>
        </is>
      </c>
      <c r="F4007" t="inlineStr">
        <is>
          <t>Sveaskog</t>
        </is>
      </c>
      <c r="G4007" t="n">
        <v>12.4</v>
      </c>
      <c r="H4007" t="n">
        <v>0</v>
      </c>
      <c r="I4007" t="n">
        <v>0</v>
      </c>
      <c r="J4007" t="n">
        <v>0</v>
      </c>
      <c r="K4007" t="n">
        <v>0</v>
      </c>
      <c r="L4007" t="n">
        <v>0</v>
      </c>
      <c r="M4007" t="n">
        <v>0</v>
      </c>
      <c r="N4007" t="n">
        <v>0</v>
      </c>
      <c r="O4007" t="n">
        <v>0</v>
      </c>
      <c r="P4007" t="n">
        <v>0</v>
      </c>
      <c r="Q4007" t="n">
        <v>0</v>
      </c>
      <c r="R4007" s="2" t="inlineStr"/>
    </row>
    <row r="4008" ht="15" customHeight="1">
      <c r="A4008" t="inlineStr">
        <is>
          <t>A 1140-2021</t>
        </is>
      </c>
      <c r="B4008" s="1" t="n">
        <v>44207</v>
      </c>
      <c r="C4008" s="1" t="n">
        <v>45204</v>
      </c>
      <c r="D4008" t="inlineStr">
        <is>
          <t>VÄSTERBOTTENS LÄN</t>
        </is>
      </c>
      <c r="E4008" t="inlineStr">
        <is>
          <t>SKELLEFTEÅ</t>
        </is>
      </c>
      <c r="G4008" t="n">
        <v>8.699999999999999</v>
      </c>
      <c r="H4008" t="n">
        <v>0</v>
      </c>
      <c r="I4008" t="n">
        <v>0</v>
      </c>
      <c r="J4008" t="n">
        <v>0</v>
      </c>
      <c r="K4008" t="n">
        <v>0</v>
      </c>
      <c r="L4008" t="n">
        <v>0</v>
      </c>
      <c r="M4008" t="n">
        <v>0</v>
      </c>
      <c r="N4008" t="n">
        <v>0</v>
      </c>
      <c r="O4008" t="n">
        <v>0</v>
      </c>
      <c r="P4008" t="n">
        <v>0</v>
      </c>
      <c r="Q4008" t="n">
        <v>0</v>
      </c>
      <c r="R4008" s="2" t="inlineStr"/>
    </row>
    <row r="4009" ht="15" customHeight="1">
      <c r="A4009" t="inlineStr">
        <is>
          <t>A 974-2021</t>
        </is>
      </c>
      <c r="B4009" s="1" t="n">
        <v>44207</v>
      </c>
      <c r="C4009" s="1" t="n">
        <v>45204</v>
      </c>
      <c r="D4009" t="inlineStr">
        <is>
          <t>VÄSTERBOTTENS LÄN</t>
        </is>
      </c>
      <c r="E4009" t="inlineStr">
        <is>
          <t>ÅSELE</t>
        </is>
      </c>
      <c r="F4009" t="inlineStr">
        <is>
          <t>Sveaskog</t>
        </is>
      </c>
      <c r="G4009" t="n">
        <v>5.5</v>
      </c>
      <c r="H4009" t="n">
        <v>0</v>
      </c>
      <c r="I4009" t="n">
        <v>0</v>
      </c>
      <c r="J4009" t="n">
        <v>0</v>
      </c>
      <c r="K4009" t="n">
        <v>0</v>
      </c>
      <c r="L4009" t="n">
        <v>0</v>
      </c>
      <c r="M4009" t="n">
        <v>0</v>
      </c>
      <c r="N4009" t="n">
        <v>0</v>
      </c>
      <c r="O4009" t="n">
        <v>0</v>
      </c>
      <c r="P4009" t="n">
        <v>0</v>
      </c>
      <c r="Q4009" t="n">
        <v>0</v>
      </c>
      <c r="R4009" s="2" t="inlineStr"/>
    </row>
    <row r="4010" ht="15" customHeight="1">
      <c r="A4010" t="inlineStr">
        <is>
          <t>A 1076-2021</t>
        </is>
      </c>
      <c r="B4010" s="1" t="n">
        <v>44207</v>
      </c>
      <c r="C4010" s="1" t="n">
        <v>45204</v>
      </c>
      <c r="D4010" t="inlineStr">
        <is>
          <t>VÄSTERBOTTENS LÄN</t>
        </is>
      </c>
      <c r="E4010" t="inlineStr">
        <is>
          <t>SKELLEFTEÅ</t>
        </is>
      </c>
      <c r="F4010" t="inlineStr">
        <is>
          <t>Holmen skog AB</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1132-2021</t>
        </is>
      </c>
      <c r="B4011" s="1" t="n">
        <v>44207</v>
      </c>
      <c r="C4011" s="1" t="n">
        <v>45204</v>
      </c>
      <c r="D4011" t="inlineStr">
        <is>
          <t>VÄSTERBOTTENS LÄN</t>
        </is>
      </c>
      <c r="E4011" t="inlineStr">
        <is>
          <t>NORDMALING</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1153-2021</t>
        </is>
      </c>
      <c r="B4012" s="1" t="n">
        <v>44207</v>
      </c>
      <c r="C4012" s="1" t="n">
        <v>45204</v>
      </c>
      <c r="D4012" t="inlineStr">
        <is>
          <t>VÄSTERBOTTENS LÄN</t>
        </is>
      </c>
      <c r="E4012" t="inlineStr">
        <is>
          <t>VÄNNÄS</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1471-2021</t>
        </is>
      </c>
      <c r="B4013" s="1" t="n">
        <v>44208</v>
      </c>
      <c r="C4013" s="1" t="n">
        <v>45204</v>
      </c>
      <c r="D4013" t="inlineStr">
        <is>
          <t>VÄSTERBOTTENS LÄN</t>
        </is>
      </c>
      <c r="E4013" t="inlineStr">
        <is>
          <t>VILHELMINA</t>
        </is>
      </c>
      <c r="F4013" t="inlineStr">
        <is>
          <t>SCA</t>
        </is>
      </c>
      <c r="G4013" t="n">
        <v>2</v>
      </c>
      <c r="H4013" t="n">
        <v>0</v>
      </c>
      <c r="I4013" t="n">
        <v>0</v>
      </c>
      <c r="J4013" t="n">
        <v>0</v>
      </c>
      <c r="K4013" t="n">
        <v>0</v>
      </c>
      <c r="L4013" t="n">
        <v>0</v>
      </c>
      <c r="M4013" t="n">
        <v>0</v>
      </c>
      <c r="N4013" t="n">
        <v>0</v>
      </c>
      <c r="O4013" t="n">
        <v>0</v>
      </c>
      <c r="P4013" t="n">
        <v>0</v>
      </c>
      <c r="Q4013" t="n">
        <v>0</v>
      </c>
      <c r="R4013" s="2" t="inlineStr"/>
    </row>
    <row r="4014" ht="15" customHeight="1">
      <c r="A4014" t="inlineStr">
        <is>
          <t>A 1363-2021</t>
        </is>
      </c>
      <c r="B4014" s="1" t="n">
        <v>44208</v>
      </c>
      <c r="C4014" s="1" t="n">
        <v>45204</v>
      </c>
      <c r="D4014" t="inlineStr">
        <is>
          <t>VÄSTERBOTTENS LÄN</t>
        </is>
      </c>
      <c r="E4014" t="inlineStr">
        <is>
          <t>VINDELN</t>
        </is>
      </c>
      <c r="F4014" t="inlineStr">
        <is>
          <t>Holmen skog AB</t>
        </is>
      </c>
      <c r="G4014" t="n">
        <v>6.9</v>
      </c>
      <c r="H4014" t="n">
        <v>0</v>
      </c>
      <c r="I4014" t="n">
        <v>0</v>
      </c>
      <c r="J4014" t="n">
        <v>0</v>
      </c>
      <c r="K4014" t="n">
        <v>0</v>
      </c>
      <c r="L4014" t="n">
        <v>0</v>
      </c>
      <c r="M4014" t="n">
        <v>0</v>
      </c>
      <c r="N4014" t="n">
        <v>0</v>
      </c>
      <c r="O4014" t="n">
        <v>0</v>
      </c>
      <c r="P4014" t="n">
        <v>0</v>
      </c>
      <c r="Q4014" t="n">
        <v>0</v>
      </c>
      <c r="R4014" s="2" t="inlineStr"/>
    </row>
    <row r="4015" ht="15" customHeight="1">
      <c r="A4015" t="inlineStr">
        <is>
          <t>A 1406-2021</t>
        </is>
      </c>
      <c r="B4015" s="1" t="n">
        <v>44208</v>
      </c>
      <c r="C4015" s="1" t="n">
        <v>45204</v>
      </c>
      <c r="D4015" t="inlineStr">
        <is>
          <t>VÄSTERBOTTENS LÄN</t>
        </is>
      </c>
      <c r="E4015" t="inlineStr">
        <is>
          <t>NORDMALING</t>
        </is>
      </c>
      <c r="G4015" t="n">
        <v>4.2</v>
      </c>
      <c r="H4015" t="n">
        <v>0</v>
      </c>
      <c r="I4015" t="n">
        <v>0</v>
      </c>
      <c r="J4015" t="n">
        <v>0</v>
      </c>
      <c r="K4015" t="n">
        <v>0</v>
      </c>
      <c r="L4015" t="n">
        <v>0</v>
      </c>
      <c r="M4015" t="n">
        <v>0</v>
      </c>
      <c r="N4015" t="n">
        <v>0</v>
      </c>
      <c r="O4015" t="n">
        <v>0</v>
      </c>
      <c r="P4015" t="n">
        <v>0</v>
      </c>
      <c r="Q4015" t="n">
        <v>0</v>
      </c>
      <c r="R4015" s="2" t="inlineStr"/>
    </row>
    <row r="4016" ht="15" customHeight="1">
      <c r="A4016" t="inlineStr">
        <is>
          <t>A 1470-2021</t>
        </is>
      </c>
      <c r="B4016" s="1" t="n">
        <v>44208</v>
      </c>
      <c r="C4016" s="1" t="n">
        <v>45204</v>
      </c>
      <c r="D4016" t="inlineStr">
        <is>
          <t>VÄSTERBOTTENS LÄN</t>
        </is>
      </c>
      <c r="E4016" t="inlineStr">
        <is>
          <t>VILHELMINA</t>
        </is>
      </c>
      <c r="F4016" t="inlineStr">
        <is>
          <t>SCA</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1625-2021</t>
        </is>
      </c>
      <c r="B4017" s="1" t="n">
        <v>44209</v>
      </c>
      <c r="C4017" s="1" t="n">
        <v>45204</v>
      </c>
      <c r="D4017" t="inlineStr">
        <is>
          <t>VÄSTERBOTTENS LÄN</t>
        </is>
      </c>
      <c r="E4017" t="inlineStr">
        <is>
          <t>ROBERTSFORS</t>
        </is>
      </c>
      <c r="G4017" t="n">
        <v>3.8</v>
      </c>
      <c r="H4017" t="n">
        <v>0</v>
      </c>
      <c r="I4017" t="n">
        <v>0</v>
      </c>
      <c r="J4017" t="n">
        <v>0</v>
      </c>
      <c r="K4017" t="n">
        <v>0</v>
      </c>
      <c r="L4017" t="n">
        <v>0</v>
      </c>
      <c r="M4017" t="n">
        <v>0</v>
      </c>
      <c r="N4017" t="n">
        <v>0</v>
      </c>
      <c r="O4017" t="n">
        <v>0</v>
      </c>
      <c r="P4017" t="n">
        <v>0</v>
      </c>
      <c r="Q4017" t="n">
        <v>0</v>
      </c>
      <c r="R4017" s="2" t="inlineStr"/>
    </row>
    <row r="4018" ht="15" customHeight="1">
      <c r="A4018" t="inlineStr">
        <is>
          <t>A 1920-2021</t>
        </is>
      </c>
      <c r="B4018" s="1" t="n">
        <v>44210</v>
      </c>
      <c r="C4018" s="1" t="n">
        <v>45204</v>
      </c>
      <c r="D4018" t="inlineStr">
        <is>
          <t>VÄSTERBOTTENS LÄN</t>
        </is>
      </c>
      <c r="E4018" t="inlineStr">
        <is>
          <t>VÄNNÄS</t>
        </is>
      </c>
      <c r="G4018" t="n">
        <v>7.9</v>
      </c>
      <c r="H4018" t="n">
        <v>0</v>
      </c>
      <c r="I4018" t="n">
        <v>0</v>
      </c>
      <c r="J4018" t="n">
        <v>0</v>
      </c>
      <c r="K4018" t="n">
        <v>0</v>
      </c>
      <c r="L4018" t="n">
        <v>0</v>
      </c>
      <c r="M4018" t="n">
        <v>0</v>
      </c>
      <c r="N4018" t="n">
        <v>0</v>
      </c>
      <c r="O4018" t="n">
        <v>0</v>
      </c>
      <c r="P4018" t="n">
        <v>0</v>
      </c>
      <c r="Q4018" t="n">
        <v>0</v>
      </c>
      <c r="R4018" s="2" t="inlineStr"/>
    </row>
    <row r="4019" ht="15" customHeight="1">
      <c r="A4019" t="inlineStr">
        <is>
          <t>A 1891-2021</t>
        </is>
      </c>
      <c r="B4019" s="1" t="n">
        <v>44210</v>
      </c>
      <c r="C4019" s="1" t="n">
        <v>45204</v>
      </c>
      <c r="D4019" t="inlineStr">
        <is>
          <t>VÄSTERBOTTENS LÄN</t>
        </is>
      </c>
      <c r="E4019" t="inlineStr">
        <is>
          <t>SKELLEFTEÅ</t>
        </is>
      </c>
      <c r="G4019" t="n">
        <v>0.6</v>
      </c>
      <c r="H4019" t="n">
        <v>0</v>
      </c>
      <c r="I4019" t="n">
        <v>0</v>
      </c>
      <c r="J4019" t="n">
        <v>0</v>
      </c>
      <c r="K4019" t="n">
        <v>0</v>
      </c>
      <c r="L4019" t="n">
        <v>0</v>
      </c>
      <c r="M4019" t="n">
        <v>0</v>
      </c>
      <c r="N4019" t="n">
        <v>0</v>
      </c>
      <c r="O4019" t="n">
        <v>0</v>
      </c>
      <c r="P4019" t="n">
        <v>0</v>
      </c>
      <c r="Q4019" t="n">
        <v>0</v>
      </c>
      <c r="R4019" s="2" t="inlineStr"/>
    </row>
    <row r="4020" ht="15" customHeight="1">
      <c r="A4020" t="inlineStr">
        <is>
          <t>A 1820-2021</t>
        </is>
      </c>
      <c r="B4020" s="1" t="n">
        <v>44210</v>
      </c>
      <c r="C4020" s="1" t="n">
        <v>45204</v>
      </c>
      <c r="D4020" t="inlineStr">
        <is>
          <t>VÄSTERBOTTENS LÄN</t>
        </is>
      </c>
      <c r="E4020" t="inlineStr">
        <is>
          <t>ÅSELE</t>
        </is>
      </c>
      <c r="F4020" t="inlineStr">
        <is>
          <t>Sveaskog</t>
        </is>
      </c>
      <c r="G4020" t="n">
        <v>9.9</v>
      </c>
      <c r="H4020" t="n">
        <v>0</v>
      </c>
      <c r="I4020" t="n">
        <v>0</v>
      </c>
      <c r="J4020" t="n">
        <v>0</v>
      </c>
      <c r="K4020" t="n">
        <v>0</v>
      </c>
      <c r="L4020" t="n">
        <v>0</v>
      </c>
      <c r="M4020" t="n">
        <v>0</v>
      </c>
      <c r="N4020" t="n">
        <v>0</v>
      </c>
      <c r="O4020" t="n">
        <v>0</v>
      </c>
      <c r="P4020" t="n">
        <v>0</v>
      </c>
      <c r="Q4020" t="n">
        <v>0</v>
      </c>
      <c r="R4020" s="2" t="inlineStr"/>
    </row>
    <row r="4021" ht="15" customHeight="1">
      <c r="A4021" t="inlineStr">
        <is>
          <t>A 2189-2021</t>
        </is>
      </c>
      <c r="B4021" s="1" t="n">
        <v>44211</v>
      </c>
      <c r="C4021" s="1" t="n">
        <v>45204</v>
      </c>
      <c r="D4021" t="inlineStr">
        <is>
          <t>VÄSTERBOTTENS LÄN</t>
        </is>
      </c>
      <c r="E4021" t="inlineStr">
        <is>
          <t>VILHELMINA</t>
        </is>
      </c>
      <c r="F4021" t="inlineStr">
        <is>
          <t>Allmännings- och besparingsskogar</t>
        </is>
      </c>
      <c r="G4021" t="n">
        <v>20.1</v>
      </c>
      <c r="H4021" t="n">
        <v>0</v>
      </c>
      <c r="I4021" t="n">
        <v>0</v>
      </c>
      <c r="J4021" t="n">
        <v>0</v>
      </c>
      <c r="K4021" t="n">
        <v>0</v>
      </c>
      <c r="L4021" t="n">
        <v>0</v>
      </c>
      <c r="M4021" t="n">
        <v>0</v>
      </c>
      <c r="N4021" t="n">
        <v>0</v>
      </c>
      <c r="O4021" t="n">
        <v>0</v>
      </c>
      <c r="P4021" t="n">
        <v>0</v>
      </c>
      <c r="Q4021" t="n">
        <v>0</v>
      </c>
      <c r="R4021" s="2" t="inlineStr"/>
    </row>
    <row r="4022" ht="15" customHeight="1">
      <c r="A4022" t="inlineStr">
        <is>
          <t>A 2187-2021</t>
        </is>
      </c>
      <c r="B4022" s="1" t="n">
        <v>44211</v>
      </c>
      <c r="C4022" s="1" t="n">
        <v>45204</v>
      </c>
      <c r="D4022" t="inlineStr">
        <is>
          <t>VÄSTERBOTTENS LÄN</t>
        </is>
      </c>
      <c r="E4022" t="inlineStr">
        <is>
          <t>VILHELMINA</t>
        </is>
      </c>
      <c r="F4022" t="inlineStr">
        <is>
          <t>Allmännings- och besparingsskogar</t>
        </is>
      </c>
      <c r="G4022" t="n">
        <v>21.3</v>
      </c>
      <c r="H4022" t="n">
        <v>0</v>
      </c>
      <c r="I4022" t="n">
        <v>0</v>
      </c>
      <c r="J4022" t="n">
        <v>0</v>
      </c>
      <c r="K4022" t="n">
        <v>0</v>
      </c>
      <c r="L4022" t="n">
        <v>0</v>
      </c>
      <c r="M4022" t="n">
        <v>0</v>
      </c>
      <c r="N4022" t="n">
        <v>0</v>
      </c>
      <c r="O4022" t="n">
        <v>0</v>
      </c>
      <c r="P4022" t="n">
        <v>0</v>
      </c>
      <c r="Q4022" t="n">
        <v>0</v>
      </c>
      <c r="R4022" s="2" t="inlineStr"/>
    </row>
    <row r="4023" ht="15" customHeight="1">
      <c r="A4023" t="inlineStr">
        <is>
          <t>A 2193-2021</t>
        </is>
      </c>
      <c r="B4023" s="1" t="n">
        <v>44211</v>
      </c>
      <c r="C4023" s="1" t="n">
        <v>45204</v>
      </c>
      <c r="D4023" t="inlineStr">
        <is>
          <t>VÄSTERBOTTENS LÄN</t>
        </is>
      </c>
      <c r="E4023" t="inlineStr">
        <is>
          <t>VILHELMINA</t>
        </is>
      </c>
      <c r="F4023" t="inlineStr">
        <is>
          <t>Allmännings- och besparingsskogar</t>
        </is>
      </c>
      <c r="G4023" t="n">
        <v>157.8</v>
      </c>
      <c r="H4023" t="n">
        <v>0</v>
      </c>
      <c r="I4023" t="n">
        <v>0</v>
      </c>
      <c r="J4023" t="n">
        <v>0</v>
      </c>
      <c r="K4023" t="n">
        <v>0</v>
      </c>
      <c r="L4023" t="n">
        <v>0</v>
      </c>
      <c r="M4023" t="n">
        <v>0</v>
      </c>
      <c r="N4023" t="n">
        <v>0</v>
      </c>
      <c r="O4023" t="n">
        <v>0</v>
      </c>
      <c r="P4023" t="n">
        <v>0</v>
      </c>
      <c r="Q4023" t="n">
        <v>0</v>
      </c>
      <c r="R4023" s="2" t="inlineStr"/>
    </row>
    <row r="4024" ht="15" customHeight="1">
      <c r="A4024" t="inlineStr">
        <is>
          <t>A 2407-2021</t>
        </is>
      </c>
      <c r="B4024" s="1" t="n">
        <v>44211</v>
      </c>
      <c r="C4024" s="1" t="n">
        <v>45204</v>
      </c>
      <c r="D4024" t="inlineStr">
        <is>
          <t>VÄSTERBOTTENS LÄN</t>
        </is>
      </c>
      <c r="E4024" t="inlineStr">
        <is>
          <t>ÅSELE</t>
        </is>
      </c>
      <c r="G4024" t="n">
        <v>8.9</v>
      </c>
      <c r="H4024" t="n">
        <v>0</v>
      </c>
      <c r="I4024" t="n">
        <v>0</v>
      </c>
      <c r="J4024" t="n">
        <v>0</v>
      </c>
      <c r="K4024" t="n">
        <v>0</v>
      </c>
      <c r="L4024" t="n">
        <v>0</v>
      </c>
      <c r="M4024" t="n">
        <v>0</v>
      </c>
      <c r="N4024" t="n">
        <v>0</v>
      </c>
      <c r="O4024" t="n">
        <v>0</v>
      </c>
      <c r="P4024" t="n">
        <v>0</v>
      </c>
      <c r="Q4024" t="n">
        <v>0</v>
      </c>
      <c r="R4024" s="2" t="inlineStr"/>
    </row>
    <row r="4025" ht="15" customHeight="1">
      <c r="A4025" t="inlineStr">
        <is>
          <t>A 2148-2021</t>
        </is>
      </c>
      <c r="B4025" s="1" t="n">
        <v>44211</v>
      </c>
      <c r="C4025" s="1" t="n">
        <v>45204</v>
      </c>
      <c r="D4025" t="inlineStr">
        <is>
          <t>VÄSTERBOTTENS LÄN</t>
        </is>
      </c>
      <c r="E4025" t="inlineStr">
        <is>
          <t>NORSJÖ</t>
        </is>
      </c>
      <c r="G4025" t="n">
        <v>2.7</v>
      </c>
      <c r="H4025" t="n">
        <v>0</v>
      </c>
      <c r="I4025" t="n">
        <v>0</v>
      </c>
      <c r="J4025" t="n">
        <v>0</v>
      </c>
      <c r="K4025" t="n">
        <v>0</v>
      </c>
      <c r="L4025" t="n">
        <v>0</v>
      </c>
      <c r="M4025" t="n">
        <v>0</v>
      </c>
      <c r="N4025" t="n">
        <v>0</v>
      </c>
      <c r="O4025" t="n">
        <v>0</v>
      </c>
      <c r="P4025" t="n">
        <v>0</v>
      </c>
      <c r="Q4025" t="n">
        <v>0</v>
      </c>
      <c r="R4025" s="2" t="inlineStr"/>
    </row>
    <row r="4026" ht="15" customHeight="1">
      <c r="A4026" t="inlineStr">
        <is>
          <t>A 2516-2021</t>
        </is>
      </c>
      <c r="B4026" s="1" t="n">
        <v>44214</v>
      </c>
      <c r="C4026" s="1" t="n">
        <v>45204</v>
      </c>
      <c r="D4026" t="inlineStr">
        <is>
          <t>VÄSTERBOTTENS LÄN</t>
        </is>
      </c>
      <c r="E4026" t="inlineStr">
        <is>
          <t>ROBERTSFORS</t>
        </is>
      </c>
      <c r="F4026" t="inlineStr">
        <is>
          <t>Holmen skog AB</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2588-2021</t>
        </is>
      </c>
      <c r="B4027" s="1" t="n">
        <v>44214</v>
      </c>
      <c r="C4027" s="1" t="n">
        <v>45204</v>
      </c>
      <c r="D4027" t="inlineStr">
        <is>
          <t>VÄSTERBOTTENS LÄN</t>
        </is>
      </c>
      <c r="E4027" t="inlineStr">
        <is>
          <t>ROBERTSFORS</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2505-2021</t>
        </is>
      </c>
      <c r="B4028" s="1" t="n">
        <v>44214</v>
      </c>
      <c r="C4028" s="1" t="n">
        <v>45204</v>
      </c>
      <c r="D4028" t="inlineStr">
        <is>
          <t>VÄSTERBOTTENS LÄN</t>
        </is>
      </c>
      <c r="E4028" t="inlineStr">
        <is>
          <t>UMEÅ</t>
        </is>
      </c>
      <c r="F4028" t="inlineStr">
        <is>
          <t>Kommuner</t>
        </is>
      </c>
      <c r="G4028" t="n">
        <v>4.8</v>
      </c>
      <c r="H4028" t="n">
        <v>0</v>
      </c>
      <c r="I4028" t="n">
        <v>0</v>
      </c>
      <c r="J4028" t="n">
        <v>0</v>
      </c>
      <c r="K4028" t="n">
        <v>0</v>
      </c>
      <c r="L4028" t="n">
        <v>0</v>
      </c>
      <c r="M4028" t="n">
        <v>0</v>
      </c>
      <c r="N4028" t="n">
        <v>0</v>
      </c>
      <c r="O4028" t="n">
        <v>0</v>
      </c>
      <c r="P4028" t="n">
        <v>0</v>
      </c>
      <c r="Q4028" t="n">
        <v>0</v>
      </c>
      <c r="R4028" s="2" t="inlineStr"/>
    </row>
    <row r="4029" ht="15" customHeight="1">
      <c r="A4029" t="inlineStr">
        <is>
          <t>A 2594-2021</t>
        </is>
      </c>
      <c r="B4029" s="1" t="n">
        <v>44214</v>
      </c>
      <c r="C4029" s="1" t="n">
        <v>45204</v>
      </c>
      <c r="D4029" t="inlineStr">
        <is>
          <t>VÄSTERBOTTENS LÄN</t>
        </is>
      </c>
      <c r="E4029" t="inlineStr">
        <is>
          <t>VÄNNÄS</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2947-2021</t>
        </is>
      </c>
      <c r="B4030" s="1" t="n">
        <v>44214</v>
      </c>
      <c r="C4030" s="1" t="n">
        <v>45204</v>
      </c>
      <c r="D4030" t="inlineStr">
        <is>
          <t>VÄSTERBOTTENS LÄN</t>
        </is>
      </c>
      <c r="E4030" t="inlineStr">
        <is>
          <t>UMEÅ</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2575-2021</t>
        </is>
      </c>
      <c r="B4031" s="1" t="n">
        <v>44214</v>
      </c>
      <c r="C4031" s="1" t="n">
        <v>45204</v>
      </c>
      <c r="D4031" t="inlineStr">
        <is>
          <t>VÄSTERBOTTENS LÄN</t>
        </is>
      </c>
      <c r="E4031" t="inlineStr">
        <is>
          <t>SKELLEFTEÅ</t>
        </is>
      </c>
      <c r="G4031" t="n">
        <v>1.6</v>
      </c>
      <c r="H4031" t="n">
        <v>0</v>
      </c>
      <c r="I4031" t="n">
        <v>0</v>
      </c>
      <c r="J4031" t="n">
        <v>0</v>
      </c>
      <c r="K4031" t="n">
        <v>0</v>
      </c>
      <c r="L4031" t="n">
        <v>0</v>
      </c>
      <c r="M4031" t="n">
        <v>0</v>
      </c>
      <c r="N4031" t="n">
        <v>0</v>
      </c>
      <c r="O4031" t="n">
        <v>0</v>
      </c>
      <c r="P4031" t="n">
        <v>0</v>
      </c>
      <c r="Q4031" t="n">
        <v>0</v>
      </c>
      <c r="R4031" s="2" t="inlineStr"/>
    </row>
    <row r="4032" ht="15" customHeight="1">
      <c r="A4032" t="inlineStr">
        <is>
          <t>A 2789-2021</t>
        </is>
      </c>
      <c r="B4032" s="1" t="n">
        <v>44214</v>
      </c>
      <c r="C4032" s="1" t="n">
        <v>45204</v>
      </c>
      <c r="D4032" t="inlineStr">
        <is>
          <t>VÄSTERBOTTENS LÄN</t>
        </is>
      </c>
      <c r="E4032" t="inlineStr">
        <is>
          <t>UMEÅ</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2943-2021</t>
        </is>
      </c>
      <c r="B4033" s="1" t="n">
        <v>44214</v>
      </c>
      <c r="C4033" s="1" t="n">
        <v>45204</v>
      </c>
      <c r="D4033" t="inlineStr">
        <is>
          <t>VÄSTERBOTTENS LÄN</t>
        </is>
      </c>
      <c r="E4033" t="inlineStr">
        <is>
          <t>UMEÅ</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3048-2021</t>
        </is>
      </c>
      <c r="B4034" s="1" t="n">
        <v>44215</v>
      </c>
      <c r="C4034" s="1" t="n">
        <v>45204</v>
      </c>
      <c r="D4034" t="inlineStr">
        <is>
          <t>VÄSTERBOTTENS LÄN</t>
        </is>
      </c>
      <c r="E4034" t="inlineStr">
        <is>
          <t>VINDELN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3042-2021</t>
        </is>
      </c>
      <c r="B4035" s="1" t="n">
        <v>44215</v>
      </c>
      <c r="C4035" s="1" t="n">
        <v>45204</v>
      </c>
      <c r="D4035" t="inlineStr">
        <is>
          <t>VÄSTERBOTTENS LÄN</t>
        </is>
      </c>
      <c r="E4035" t="inlineStr">
        <is>
          <t>VINDELN</t>
        </is>
      </c>
      <c r="G4035" t="n">
        <v>7.7</v>
      </c>
      <c r="H4035" t="n">
        <v>0</v>
      </c>
      <c r="I4035" t="n">
        <v>0</v>
      </c>
      <c r="J4035" t="n">
        <v>0</v>
      </c>
      <c r="K4035" t="n">
        <v>0</v>
      </c>
      <c r="L4035" t="n">
        <v>0</v>
      </c>
      <c r="M4035" t="n">
        <v>0</v>
      </c>
      <c r="N4035" t="n">
        <v>0</v>
      </c>
      <c r="O4035" t="n">
        <v>0</v>
      </c>
      <c r="P4035" t="n">
        <v>0</v>
      </c>
      <c r="Q4035" t="n">
        <v>0</v>
      </c>
      <c r="R4035" s="2" t="inlineStr"/>
    </row>
    <row r="4036" ht="15" customHeight="1">
      <c r="A4036" t="inlineStr">
        <is>
          <t>A 3031-2021</t>
        </is>
      </c>
      <c r="B4036" s="1" t="n">
        <v>44216</v>
      </c>
      <c r="C4036" s="1" t="n">
        <v>45204</v>
      </c>
      <c r="D4036" t="inlineStr">
        <is>
          <t>VÄSTERBOTTENS LÄN</t>
        </is>
      </c>
      <c r="E4036" t="inlineStr">
        <is>
          <t>SKELLEFTEÅ</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3435-2021</t>
        </is>
      </c>
      <c r="B4037" s="1" t="n">
        <v>44216</v>
      </c>
      <c r="C4037" s="1" t="n">
        <v>45204</v>
      </c>
      <c r="D4037" t="inlineStr">
        <is>
          <t>VÄSTERBOTTENS LÄN</t>
        </is>
      </c>
      <c r="E4037" t="inlineStr">
        <is>
          <t>VILHELMINA</t>
        </is>
      </c>
      <c r="G4037" t="n">
        <v>20.5</v>
      </c>
      <c r="H4037" t="n">
        <v>0</v>
      </c>
      <c r="I4037" t="n">
        <v>0</v>
      </c>
      <c r="J4037" t="n">
        <v>0</v>
      </c>
      <c r="K4037" t="n">
        <v>0</v>
      </c>
      <c r="L4037" t="n">
        <v>0</v>
      </c>
      <c r="M4037" t="n">
        <v>0</v>
      </c>
      <c r="N4037" t="n">
        <v>0</v>
      </c>
      <c r="O4037" t="n">
        <v>0</v>
      </c>
      <c r="P4037" t="n">
        <v>0</v>
      </c>
      <c r="Q4037" t="n">
        <v>0</v>
      </c>
      <c r="R4037" s="2" t="inlineStr"/>
    </row>
    <row r="4038" ht="15" customHeight="1">
      <c r="A4038" t="inlineStr">
        <is>
          <t>A 2963-2021</t>
        </is>
      </c>
      <c r="B4038" s="1" t="n">
        <v>44216</v>
      </c>
      <c r="C4038" s="1" t="n">
        <v>45204</v>
      </c>
      <c r="D4038" t="inlineStr">
        <is>
          <t>VÄSTERBOTTENS LÄN</t>
        </is>
      </c>
      <c r="E4038" t="inlineStr">
        <is>
          <t>ROBERTSFORS</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3844-2021</t>
        </is>
      </c>
      <c r="B4039" s="1" t="n">
        <v>44216</v>
      </c>
      <c r="C4039" s="1" t="n">
        <v>45204</v>
      </c>
      <c r="D4039" t="inlineStr">
        <is>
          <t>VÄSTERBOTTENS LÄN</t>
        </is>
      </c>
      <c r="E4039" t="inlineStr">
        <is>
          <t>SKELLEFTEÅ</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3914-2021</t>
        </is>
      </c>
      <c r="B4040" s="1" t="n">
        <v>44217</v>
      </c>
      <c r="C4040" s="1" t="n">
        <v>45204</v>
      </c>
      <c r="D4040" t="inlineStr">
        <is>
          <t>VÄSTERBOTTENS LÄN</t>
        </is>
      </c>
      <c r="E4040" t="inlineStr">
        <is>
          <t>UMEÅ</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3951-2021</t>
        </is>
      </c>
      <c r="B4041" s="1" t="n">
        <v>44217</v>
      </c>
      <c r="C4041" s="1" t="n">
        <v>45204</v>
      </c>
      <c r="D4041" t="inlineStr">
        <is>
          <t>VÄSTERBOTTENS LÄN</t>
        </is>
      </c>
      <c r="E4041" t="inlineStr">
        <is>
          <t>SKELLEFTEÅ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3567-2021</t>
        </is>
      </c>
      <c r="B4042" s="1" t="n">
        <v>44218</v>
      </c>
      <c r="C4042" s="1" t="n">
        <v>45204</v>
      </c>
      <c r="D4042" t="inlineStr">
        <is>
          <t>VÄSTERBOTTENS LÄN</t>
        </is>
      </c>
      <c r="E4042" t="inlineStr">
        <is>
          <t>ÅSELE</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4054-2021</t>
        </is>
      </c>
      <c r="B4043" s="1" t="n">
        <v>44218</v>
      </c>
      <c r="C4043" s="1" t="n">
        <v>45204</v>
      </c>
      <c r="D4043" t="inlineStr">
        <is>
          <t>VÄSTERBOTTENS LÄN</t>
        </is>
      </c>
      <c r="E4043" t="inlineStr">
        <is>
          <t>SORSELE</t>
        </is>
      </c>
      <c r="F4043" t="inlineStr">
        <is>
          <t>Övriga Aktiebolag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4131-2021</t>
        </is>
      </c>
      <c r="B4044" s="1" t="n">
        <v>44218</v>
      </c>
      <c r="C4044" s="1" t="n">
        <v>45204</v>
      </c>
      <c r="D4044" t="inlineStr">
        <is>
          <t>VÄSTERBOTTENS LÄN</t>
        </is>
      </c>
      <c r="E4044" t="inlineStr">
        <is>
          <t>NORDMALING</t>
        </is>
      </c>
      <c r="G4044" t="n">
        <v>2.8</v>
      </c>
      <c r="H4044" t="n">
        <v>0</v>
      </c>
      <c r="I4044" t="n">
        <v>0</v>
      </c>
      <c r="J4044" t="n">
        <v>0</v>
      </c>
      <c r="K4044" t="n">
        <v>0</v>
      </c>
      <c r="L4044" t="n">
        <v>0</v>
      </c>
      <c r="M4044" t="n">
        <v>0</v>
      </c>
      <c r="N4044" t="n">
        <v>0</v>
      </c>
      <c r="O4044" t="n">
        <v>0</v>
      </c>
      <c r="P4044" t="n">
        <v>0</v>
      </c>
      <c r="Q4044" t="n">
        <v>0</v>
      </c>
      <c r="R4044" s="2" t="inlineStr"/>
    </row>
    <row r="4045" ht="15" customHeight="1">
      <c r="A4045" t="inlineStr">
        <is>
          <t>A 4053-2021</t>
        </is>
      </c>
      <c r="B4045" s="1" t="n">
        <v>44218</v>
      </c>
      <c r="C4045" s="1" t="n">
        <v>45204</v>
      </c>
      <c r="D4045" t="inlineStr">
        <is>
          <t>VÄSTERBOTTENS LÄN</t>
        </is>
      </c>
      <c r="E4045" t="inlineStr">
        <is>
          <t>SORSELE</t>
        </is>
      </c>
      <c r="F4045" t="inlineStr">
        <is>
          <t>Övriga Aktiebolag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4202-2021</t>
        </is>
      </c>
      <c r="B4046" s="1" t="n">
        <v>44218</v>
      </c>
      <c r="C4046" s="1" t="n">
        <v>45204</v>
      </c>
      <c r="D4046" t="inlineStr">
        <is>
          <t>VÄSTERBOTTENS LÄN</t>
        </is>
      </c>
      <c r="E4046" t="inlineStr">
        <is>
          <t>SKELLEFTEÅ</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3575-2021</t>
        </is>
      </c>
      <c r="B4047" s="1" t="n">
        <v>44218</v>
      </c>
      <c r="C4047" s="1" t="n">
        <v>45204</v>
      </c>
      <c r="D4047" t="inlineStr">
        <is>
          <t>VÄSTERBOTTENS LÄN</t>
        </is>
      </c>
      <c r="E4047" t="inlineStr">
        <is>
          <t>SKELLEFTEÅ</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4381-2021</t>
        </is>
      </c>
      <c r="B4048" s="1" t="n">
        <v>44221</v>
      </c>
      <c r="C4048" s="1" t="n">
        <v>45204</v>
      </c>
      <c r="D4048" t="inlineStr">
        <is>
          <t>VÄSTERBOTTENS LÄN</t>
        </is>
      </c>
      <c r="E4048" t="inlineStr">
        <is>
          <t>VINDELN</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3803-2021</t>
        </is>
      </c>
      <c r="B4049" s="1" t="n">
        <v>44221</v>
      </c>
      <c r="C4049" s="1" t="n">
        <v>45204</v>
      </c>
      <c r="D4049" t="inlineStr">
        <is>
          <t>VÄSTERBOTTENS LÄN</t>
        </is>
      </c>
      <c r="E4049" t="inlineStr">
        <is>
          <t>STORUMAN</t>
        </is>
      </c>
      <c r="F4049" t="inlineStr">
        <is>
          <t>Övriga statliga verk och myndigheter</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3748-2021</t>
        </is>
      </c>
      <c r="B4050" s="1" t="n">
        <v>44221</v>
      </c>
      <c r="C4050" s="1" t="n">
        <v>45204</v>
      </c>
      <c r="D4050" t="inlineStr">
        <is>
          <t>VÄSTERBOTTENS LÄN</t>
        </is>
      </c>
      <c r="E4050" t="inlineStr">
        <is>
          <t>UMEÅ</t>
        </is>
      </c>
      <c r="G4050" t="n">
        <v>9.5</v>
      </c>
      <c r="H4050" t="n">
        <v>0</v>
      </c>
      <c r="I4050" t="n">
        <v>0</v>
      </c>
      <c r="J4050" t="n">
        <v>0</v>
      </c>
      <c r="K4050" t="n">
        <v>0</v>
      </c>
      <c r="L4050" t="n">
        <v>0</v>
      </c>
      <c r="M4050" t="n">
        <v>0</v>
      </c>
      <c r="N4050" t="n">
        <v>0</v>
      </c>
      <c r="O4050" t="n">
        <v>0</v>
      </c>
      <c r="P4050" t="n">
        <v>0</v>
      </c>
      <c r="Q4050" t="n">
        <v>0</v>
      </c>
      <c r="R4050" s="2" t="inlineStr"/>
    </row>
    <row r="4051" ht="15" customHeight="1">
      <c r="A4051" t="inlineStr">
        <is>
          <t>A 3934-2021</t>
        </is>
      </c>
      <c r="B4051" s="1" t="n">
        <v>44221</v>
      </c>
      <c r="C4051" s="1" t="n">
        <v>45204</v>
      </c>
      <c r="D4051" t="inlineStr">
        <is>
          <t>VÄSTERBOTTENS LÄN</t>
        </is>
      </c>
      <c r="E4051" t="inlineStr">
        <is>
          <t>SKELLEFTEÅ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4473-2021</t>
        </is>
      </c>
      <c r="B4052" s="1" t="n">
        <v>44222</v>
      </c>
      <c r="C4052" s="1" t="n">
        <v>45204</v>
      </c>
      <c r="D4052" t="inlineStr">
        <is>
          <t>VÄSTERBOTTENS LÄN</t>
        </is>
      </c>
      <c r="E4052" t="inlineStr">
        <is>
          <t>UMEÅ</t>
        </is>
      </c>
      <c r="G4052" t="n">
        <v>4.9</v>
      </c>
      <c r="H4052" t="n">
        <v>0</v>
      </c>
      <c r="I4052" t="n">
        <v>0</v>
      </c>
      <c r="J4052" t="n">
        <v>0</v>
      </c>
      <c r="K4052" t="n">
        <v>0</v>
      </c>
      <c r="L4052" t="n">
        <v>0</v>
      </c>
      <c r="M4052" t="n">
        <v>0</v>
      </c>
      <c r="N4052" t="n">
        <v>0</v>
      </c>
      <c r="O4052" t="n">
        <v>0</v>
      </c>
      <c r="P4052" t="n">
        <v>0</v>
      </c>
      <c r="Q4052" t="n">
        <v>0</v>
      </c>
      <c r="R4052" s="2" t="inlineStr"/>
    </row>
    <row r="4053" ht="15" customHeight="1">
      <c r="A4053" t="inlineStr">
        <is>
          <t>A 3878-2021</t>
        </is>
      </c>
      <c r="B4053" s="1" t="n">
        <v>44222</v>
      </c>
      <c r="C4053" s="1" t="n">
        <v>45204</v>
      </c>
      <c r="D4053" t="inlineStr">
        <is>
          <t>VÄSTERBOTTENS LÄN</t>
        </is>
      </c>
      <c r="E4053" t="inlineStr">
        <is>
          <t>NORSJÖ</t>
        </is>
      </c>
      <c r="F4053" t="inlineStr">
        <is>
          <t>Holmen skog AB</t>
        </is>
      </c>
      <c r="G4053" t="n">
        <v>8.699999999999999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4302-2021</t>
        </is>
      </c>
      <c r="B4054" s="1" t="n">
        <v>44222</v>
      </c>
      <c r="C4054" s="1" t="n">
        <v>45204</v>
      </c>
      <c r="D4054" t="inlineStr">
        <is>
          <t>VÄSTERBOTTENS LÄN</t>
        </is>
      </c>
      <c r="E4054" t="inlineStr">
        <is>
          <t>VINDELN</t>
        </is>
      </c>
      <c r="G4054" t="n">
        <v>5.7</v>
      </c>
      <c r="H4054" t="n">
        <v>0</v>
      </c>
      <c r="I4054" t="n">
        <v>0</v>
      </c>
      <c r="J4054" t="n">
        <v>0</v>
      </c>
      <c r="K4054" t="n">
        <v>0</v>
      </c>
      <c r="L4054" t="n">
        <v>0</v>
      </c>
      <c r="M4054" t="n">
        <v>0</v>
      </c>
      <c r="N4054" t="n">
        <v>0</v>
      </c>
      <c r="O4054" t="n">
        <v>0</v>
      </c>
      <c r="P4054" t="n">
        <v>0</v>
      </c>
      <c r="Q4054" t="n">
        <v>0</v>
      </c>
      <c r="R4054" s="2" t="inlineStr"/>
    </row>
    <row r="4055" ht="15" customHeight="1">
      <c r="A4055" t="inlineStr">
        <is>
          <t>A 4478-2021</t>
        </is>
      </c>
      <c r="B4055" s="1" t="n">
        <v>44222</v>
      </c>
      <c r="C4055" s="1" t="n">
        <v>45204</v>
      </c>
      <c r="D4055" t="inlineStr">
        <is>
          <t>VÄSTERBOTTENS LÄN</t>
        </is>
      </c>
      <c r="E4055" t="inlineStr">
        <is>
          <t>UMEÅ</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4490-2021</t>
        </is>
      </c>
      <c r="B4056" s="1" t="n">
        <v>44222</v>
      </c>
      <c r="C4056" s="1" t="n">
        <v>45204</v>
      </c>
      <c r="D4056" t="inlineStr">
        <is>
          <t>VÄSTERBOTTENS LÄN</t>
        </is>
      </c>
      <c r="E4056" t="inlineStr">
        <is>
          <t>SORSELE</t>
        </is>
      </c>
      <c r="F4056" t="inlineStr">
        <is>
          <t>Övriga Aktiebolag</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4164-2021</t>
        </is>
      </c>
      <c r="B4057" s="1" t="n">
        <v>44223</v>
      </c>
      <c r="C4057" s="1" t="n">
        <v>45204</v>
      </c>
      <c r="D4057" t="inlineStr">
        <is>
          <t>VÄSTERBOTTENS LÄN</t>
        </is>
      </c>
      <c r="E4057" t="inlineStr">
        <is>
          <t>DOROTEA</t>
        </is>
      </c>
      <c r="G4057" t="n">
        <v>4.1</v>
      </c>
      <c r="H4057" t="n">
        <v>0</v>
      </c>
      <c r="I4057" t="n">
        <v>0</v>
      </c>
      <c r="J4057" t="n">
        <v>0</v>
      </c>
      <c r="K4057" t="n">
        <v>0</v>
      </c>
      <c r="L4057" t="n">
        <v>0</v>
      </c>
      <c r="M4057" t="n">
        <v>0</v>
      </c>
      <c r="N4057" t="n">
        <v>0</v>
      </c>
      <c r="O4057" t="n">
        <v>0</v>
      </c>
      <c r="P4057" t="n">
        <v>0</v>
      </c>
      <c r="Q4057" t="n">
        <v>0</v>
      </c>
      <c r="R4057" s="2" t="inlineStr"/>
    </row>
    <row r="4058" ht="15" customHeight="1">
      <c r="A4058" t="inlineStr">
        <is>
          <t>A 4299-2021</t>
        </is>
      </c>
      <c r="B4058" s="1" t="n">
        <v>44223</v>
      </c>
      <c r="C4058" s="1" t="n">
        <v>45204</v>
      </c>
      <c r="D4058" t="inlineStr">
        <is>
          <t>VÄSTERBOTTENS LÄN</t>
        </is>
      </c>
      <c r="E4058" t="inlineStr">
        <is>
          <t>SKELLEFTEÅ</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4449-2021</t>
        </is>
      </c>
      <c r="B4059" s="1" t="n">
        <v>44224</v>
      </c>
      <c r="C4059" s="1" t="n">
        <v>45204</v>
      </c>
      <c r="D4059" t="inlineStr">
        <is>
          <t>VÄSTERBOTTENS LÄN</t>
        </is>
      </c>
      <c r="E4059" t="inlineStr">
        <is>
          <t>UMEÅ</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5095-2021</t>
        </is>
      </c>
      <c r="B4060" s="1" t="n">
        <v>44224</v>
      </c>
      <c r="C4060" s="1" t="n">
        <v>45204</v>
      </c>
      <c r="D4060" t="inlineStr">
        <is>
          <t>VÄSTERBOTTENS LÄN</t>
        </is>
      </c>
      <c r="E4060" t="inlineStr">
        <is>
          <t>SKELLEFTEÅ</t>
        </is>
      </c>
      <c r="G4060" t="n">
        <v>5.6</v>
      </c>
      <c r="H4060" t="n">
        <v>0</v>
      </c>
      <c r="I4060" t="n">
        <v>0</v>
      </c>
      <c r="J4060" t="n">
        <v>0</v>
      </c>
      <c r="K4060" t="n">
        <v>0</v>
      </c>
      <c r="L4060" t="n">
        <v>0</v>
      </c>
      <c r="M4060" t="n">
        <v>0</v>
      </c>
      <c r="N4060" t="n">
        <v>0</v>
      </c>
      <c r="O4060" t="n">
        <v>0</v>
      </c>
      <c r="P4060" t="n">
        <v>0</v>
      </c>
      <c r="Q4060" t="n">
        <v>0</v>
      </c>
      <c r="R4060" s="2" t="inlineStr"/>
    </row>
    <row r="4061" ht="15" customHeight="1">
      <c r="A4061" t="inlineStr">
        <is>
          <t>A 6650-2021</t>
        </is>
      </c>
      <c r="B4061" s="1" t="n">
        <v>44227</v>
      </c>
      <c r="C4061" s="1" t="n">
        <v>45204</v>
      </c>
      <c r="D4061" t="inlineStr">
        <is>
          <t>VÄSTERBOTTENS LÄN</t>
        </is>
      </c>
      <c r="E4061" t="inlineStr">
        <is>
          <t>SORSELE</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5143-2021</t>
        </is>
      </c>
      <c r="B4062" s="1" t="n">
        <v>44228</v>
      </c>
      <c r="C4062" s="1" t="n">
        <v>45204</v>
      </c>
      <c r="D4062" t="inlineStr">
        <is>
          <t>VÄSTERBOTTENS LÄN</t>
        </is>
      </c>
      <c r="E4062" t="inlineStr">
        <is>
          <t>SKELLEFTEÅ</t>
        </is>
      </c>
      <c r="G4062" t="n">
        <v>5.3</v>
      </c>
      <c r="H4062" t="n">
        <v>0</v>
      </c>
      <c r="I4062" t="n">
        <v>0</v>
      </c>
      <c r="J4062" t="n">
        <v>0</v>
      </c>
      <c r="K4062" t="n">
        <v>0</v>
      </c>
      <c r="L4062" t="n">
        <v>0</v>
      </c>
      <c r="M4062" t="n">
        <v>0</v>
      </c>
      <c r="N4062" t="n">
        <v>0</v>
      </c>
      <c r="O4062" t="n">
        <v>0</v>
      </c>
      <c r="P4062" t="n">
        <v>0</v>
      </c>
      <c r="Q4062" t="n">
        <v>0</v>
      </c>
      <c r="R4062" s="2" t="inlineStr"/>
    </row>
    <row r="4063" ht="15" customHeight="1">
      <c r="A4063" t="inlineStr">
        <is>
          <t>A 5316-2021</t>
        </is>
      </c>
      <c r="B4063" s="1" t="n">
        <v>44229</v>
      </c>
      <c r="C4063" s="1" t="n">
        <v>45204</v>
      </c>
      <c r="D4063" t="inlineStr">
        <is>
          <t>VÄSTERBOTTENS LÄN</t>
        </is>
      </c>
      <c r="E4063" t="inlineStr">
        <is>
          <t>LYCKSELE</t>
        </is>
      </c>
      <c r="F4063" t="inlineStr">
        <is>
          <t>Sveaskog</t>
        </is>
      </c>
      <c r="G4063" t="n">
        <v>3.3</v>
      </c>
      <c r="H4063" t="n">
        <v>0</v>
      </c>
      <c r="I4063" t="n">
        <v>0</v>
      </c>
      <c r="J4063" t="n">
        <v>0</v>
      </c>
      <c r="K4063" t="n">
        <v>0</v>
      </c>
      <c r="L4063" t="n">
        <v>0</v>
      </c>
      <c r="M4063" t="n">
        <v>0</v>
      </c>
      <c r="N4063" t="n">
        <v>0</v>
      </c>
      <c r="O4063" t="n">
        <v>0</v>
      </c>
      <c r="P4063" t="n">
        <v>0</v>
      </c>
      <c r="Q4063" t="n">
        <v>0</v>
      </c>
      <c r="R4063" s="2" t="inlineStr"/>
    </row>
    <row r="4064" ht="15" customHeight="1">
      <c r="A4064" t="inlineStr">
        <is>
          <t>A 5456-2021</t>
        </is>
      </c>
      <c r="B4064" s="1" t="n">
        <v>44229</v>
      </c>
      <c r="C4064" s="1" t="n">
        <v>45204</v>
      </c>
      <c r="D4064" t="inlineStr">
        <is>
          <t>VÄSTERBOTTENS LÄN</t>
        </is>
      </c>
      <c r="E4064" t="inlineStr">
        <is>
          <t>NORDMALING</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5597-2021</t>
        </is>
      </c>
      <c r="B4065" s="1" t="n">
        <v>44230</v>
      </c>
      <c r="C4065" s="1" t="n">
        <v>45204</v>
      </c>
      <c r="D4065" t="inlineStr">
        <is>
          <t>VÄSTERBOTTENS LÄN</t>
        </is>
      </c>
      <c r="E4065" t="inlineStr">
        <is>
          <t>ÅSELE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5661-2021</t>
        </is>
      </c>
      <c r="B4066" s="1" t="n">
        <v>44230</v>
      </c>
      <c r="C4066" s="1" t="n">
        <v>45204</v>
      </c>
      <c r="D4066" t="inlineStr">
        <is>
          <t>VÄSTERBOTTENS LÄN</t>
        </is>
      </c>
      <c r="E4066" t="inlineStr">
        <is>
          <t>VINDELN</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5603-2021</t>
        </is>
      </c>
      <c r="B4067" s="1" t="n">
        <v>44230</v>
      </c>
      <c r="C4067" s="1" t="n">
        <v>45204</v>
      </c>
      <c r="D4067" t="inlineStr">
        <is>
          <t>VÄSTERBOTTENS LÄN</t>
        </is>
      </c>
      <c r="E4067" t="inlineStr">
        <is>
          <t>SKELLEFTEÅ</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6022-2021</t>
        </is>
      </c>
      <c r="B4068" s="1" t="n">
        <v>44231</v>
      </c>
      <c r="C4068" s="1" t="n">
        <v>45204</v>
      </c>
      <c r="D4068" t="inlineStr">
        <is>
          <t>VÄSTERBOTTENS LÄN</t>
        </is>
      </c>
      <c r="E4068" t="inlineStr">
        <is>
          <t>ÅSELE</t>
        </is>
      </c>
      <c r="F4068" t="inlineStr">
        <is>
          <t>SCA</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6023-2021</t>
        </is>
      </c>
      <c r="B4069" s="1" t="n">
        <v>44231</v>
      </c>
      <c r="C4069" s="1" t="n">
        <v>45204</v>
      </c>
      <c r="D4069" t="inlineStr">
        <is>
          <t>VÄSTERBOTTENS LÄN</t>
        </is>
      </c>
      <c r="E4069" t="inlineStr">
        <is>
          <t>ÅSELE</t>
        </is>
      </c>
      <c r="F4069" t="inlineStr">
        <is>
          <t>SCA</t>
        </is>
      </c>
      <c r="G4069" t="n">
        <v>4.5</v>
      </c>
      <c r="H4069" t="n">
        <v>0</v>
      </c>
      <c r="I4069" t="n">
        <v>0</v>
      </c>
      <c r="J4069" t="n">
        <v>0</v>
      </c>
      <c r="K4069" t="n">
        <v>0</v>
      </c>
      <c r="L4069" t="n">
        <v>0</v>
      </c>
      <c r="M4069" t="n">
        <v>0</v>
      </c>
      <c r="N4069" t="n">
        <v>0</v>
      </c>
      <c r="O4069" t="n">
        <v>0</v>
      </c>
      <c r="P4069" t="n">
        <v>0</v>
      </c>
      <c r="Q4069" t="n">
        <v>0</v>
      </c>
      <c r="R4069" s="2" t="inlineStr"/>
    </row>
    <row r="4070" ht="15" customHeight="1">
      <c r="A4070" t="inlineStr">
        <is>
          <t>A 6074-2021</t>
        </is>
      </c>
      <c r="B4070" s="1" t="n">
        <v>44231</v>
      </c>
      <c r="C4070" s="1" t="n">
        <v>45204</v>
      </c>
      <c r="D4070" t="inlineStr">
        <is>
          <t>VÄSTERBOTTENS LÄN</t>
        </is>
      </c>
      <c r="E4070" t="inlineStr">
        <is>
          <t>VILHELMINA</t>
        </is>
      </c>
      <c r="G4070" t="n">
        <v>49.4</v>
      </c>
      <c r="H4070" t="n">
        <v>0</v>
      </c>
      <c r="I4070" t="n">
        <v>0</v>
      </c>
      <c r="J4070" t="n">
        <v>0</v>
      </c>
      <c r="K4070" t="n">
        <v>0</v>
      </c>
      <c r="L4070" t="n">
        <v>0</v>
      </c>
      <c r="M4070" t="n">
        <v>0</v>
      </c>
      <c r="N4070" t="n">
        <v>0</v>
      </c>
      <c r="O4070" t="n">
        <v>0</v>
      </c>
      <c r="P4070" t="n">
        <v>0</v>
      </c>
      <c r="Q4070" t="n">
        <v>0</v>
      </c>
      <c r="R4070" s="2" t="inlineStr"/>
    </row>
    <row r="4071" ht="15" customHeight="1">
      <c r="A4071" t="inlineStr">
        <is>
          <t>A 6011-2021</t>
        </is>
      </c>
      <c r="B4071" s="1" t="n">
        <v>44231</v>
      </c>
      <c r="C4071" s="1" t="n">
        <v>45204</v>
      </c>
      <c r="D4071" t="inlineStr">
        <is>
          <t>VÄSTERBOTTENS LÄN</t>
        </is>
      </c>
      <c r="E4071" t="inlineStr">
        <is>
          <t>ÅSELE</t>
        </is>
      </c>
      <c r="F4071" t="inlineStr">
        <is>
          <t>SCA</t>
        </is>
      </c>
      <c r="G4071" t="n">
        <v>2.1</v>
      </c>
      <c r="H4071" t="n">
        <v>0</v>
      </c>
      <c r="I4071" t="n">
        <v>0</v>
      </c>
      <c r="J4071" t="n">
        <v>0</v>
      </c>
      <c r="K4071" t="n">
        <v>0</v>
      </c>
      <c r="L4071" t="n">
        <v>0</v>
      </c>
      <c r="M4071" t="n">
        <v>0</v>
      </c>
      <c r="N4071" t="n">
        <v>0</v>
      </c>
      <c r="O4071" t="n">
        <v>0</v>
      </c>
      <c r="P4071" t="n">
        <v>0</v>
      </c>
      <c r="Q4071" t="n">
        <v>0</v>
      </c>
      <c r="R4071" s="2" t="inlineStr"/>
    </row>
    <row r="4072" ht="15" customHeight="1">
      <c r="A4072" t="inlineStr">
        <is>
          <t>A 6046-2021</t>
        </is>
      </c>
      <c r="B4072" s="1" t="n">
        <v>44231</v>
      </c>
      <c r="C4072" s="1" t="n">
        <v>45204</v>
      </c>
      <c r="D4072" t="inlineStr">
        <is>
          <t>VÄSTERBOTTENS LÄN</t>
        </is>
      </c>
      <c r="E4072" t="inlineStr">
        <is>
          <t>MALÅ</t>
        </is>
      </c>
      <c r="G4072" t="n">
        <v>8.4</v>
      </c>
      <c r="H4072" t="n">
        <v>0</v>
      </c>
      <c r="I4072" t="n">
        <v>0</v>
      </c>
      <c r="J4072" t="n">
        <v>0</v>
      </c>
      <c r="K4072" t="n">
        <v>0</v>
      </c>
      <c r="L4072" t="n">
        <v>0</v>
      </c>
      <c r="M4072" t="n">
        <v>0</v>
      </c>
      <c r="N4072" t="n">
        <v>0</v>
      </c>
      <c r="O4072" t="n">
        <v>0</v>
      </c>
      <c r="P4072" t="n">
        <v>0</v>
      </c>
      <c r="Q4072" t="n">
        <v>0</v>
      </c>
      <c r="R4072" s="2" t="inlineStr"/>
    </row>
    <row r="4073" ht="15" customHeight="1">
      <c r="A4073" t="inlineStr">
        <is>
          <t>A 6139-2021</t>
        </is>
      </c>
      <c r="B4073" s="1" t="n">
        <v>44232</v>
      </c>
      <c r="C4073" s="1" t="n">
        <v>45204</v>
      </c>
      <c r="D4073" t="inlineStr">
        <is>
          <t>VÄSTERBOTTENS LÄN</t>
        </is>
      </c>
      <c r="E4073" t="inlineStr">
        <is>
          <t>DOROTEA</t>
        </is>
      </c>
      <c r="G4073" t="n">
        <v>2.8</v>
      </c>
      <c r="H4073" t="n">
        <v>0</v>
      </c>
      <c r="I4073" t="n">
        <v>0</v>
      </c>
      <c r="J4073" t="n">
        <v>0</v>
      </c>
      <c r="K4073" t="n">
        <v>0</v>
      </c>
      <c r="L4073" t="n">
        <v>0</v>
      </c>
      <c r="M4073" t="n">
        <v>0</v>
      </c>
      <c r="N4073" t="n">
        <v>0</v>
      </c>
      <c r="O4073" t="n">
        <v>0</v>
      </c>
      <c r="P4073" t="n">
        <v>0</v>
      </c>
      <c r="Q4073" t="n">
        <v>0</v>
      </c>
      <c r="R4073" s="2" t="inlineStr"/>
    </row>
    <row r="4074" ht="15" customHeight="1">
      <c r="A4074" t="inlineStr">
        <is>
          <t>A 6174-2021</t>
        </is>
      </c>
      <c r="B4074" s="1" t="n">
        <v>44232</v>
      </c>
      <c r="C4074" s="1" t="n">
        <v>45204</v>
      </c>
      <c r="D4074" t="inlineStr">
        <is>
          <t>VÄSTERBOTTENS LÄN</t>
        </is>
      </c>
      <c r="E4074" t="inlineStr">
        <is>
          <t>UMEÅ</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6116-2021</t>
        </is>
      </c>
      <c r="B4075" s="1" t="n">
        <v>44232</v>
      </c>
      <c r="C4075" s="1" t="n">
        <v>45204</v>
      </c>
      <c r="D4075" t="inlineStr">
        <is>
          <t>VÄSTERBOTTENS LÄN</t>
        </is>
      </c>
      <c r="E4075" t="inlineStr">
        <is>
          <t>UMEÅ</t>
        </is>
      </c>
      <c r="G4075" t="n">
        <v>3.5</v>
      </c>
      <c r="H4075" t="n">
        <v>0</v>
      </c>
      <c r="I4075" t="n">
        <v>0</v>
      </c>
      <c r="J4075" t="n">
        <v>0</v>
      </c>
      <c r="K4075" t="n">
        <v>0</v>
      </c>
      <c r="L4075" t="n">
        <v>0</v>
      </c>
      <c r="M4075" t="n">
        <v>0</v>
      </c>
      <c r="N4075" t="n">
        <v>0</v>
      </c>
      <c r="O4075" t="n">
        <v>0</v>
      </c>
      <c r="P4075" t="n">
        <v>0</v>
      </c>
      <c r="Q4075" t="n">
        <v>0</v>
      </c>
      <c r="R4075" s="2" t="inlineStr"/>
    </row>
    <row r="4076" ht="15" customHeight="1">
      <c r="A4076" t="inlineStr">
        <is>
          <t>A 6197-2021</t>
        </is>
      </c>
      <c r="B4076" s="1" t="n">
        <v>44234</v>
      </c>
      <c r="C4076" s="1" t="n">
        <v>45204</v>
      </c>
      <c r="D4076" t="inlineStr">
        <is>
          <t>VÄSTERBOTTENS LÄN</t>
        </is>
      </c>
      <c r="E4076" t="inlineStr">
        <is>
          <t>SORSELE</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6198-2021</t>
        </is>
      </c>
      <c r="B4077" s="1" t="n">
        <v>44234</v>
      </c>
      <c r="C4077" s="1" t="n">
        <v>45204</v>
      </c>
      <c r="D4077" t="inlineStr">
        <is>
          <t>VÄSTERBOTTENS LÄN</t>
        </is>
      </c>
      <c r="E4077" t="inlineStr">
        <is>
          <t>SORSELE</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6288-2021</t>
        </is>
      </c>
      <c r="B4078" s="1" t="n">
        <v>44235</v>
      </c>
      <c r="C4078" s="1" t="n">
        <v>45204</v>
      </c>
      <c r="D4078" t="inlineStr">
        <is>
          <t>VÄSTERBOTTENS LÄN</t>
        </is>
      </c>
      <c r="E4078" t="inlineStr">
        <is>
          <t>VÄNNÄS</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6664-2021</t>
        </is>
      </c>
      <c r="B4079" s="1" t="n">
        <v>44235</v>
      </c>
      <c r="C4079" s="1" t="n">
        <v>45204</v>
      </c>
      <c r="D4079" t="inlineStr">
        <is>
          <t>VÄSTERBOTTENS LÄN</t>
        </is>
      </c>
      <c r="E4079" t="inlineStr">
        <is>
          <t>VILHELMINA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6340-2021</t>
        </is>
      </c>
      <c r="B4080" s="1" t="n">
        <v>44235</v>
      </c>
      <c r="C4080" s="1" t="n">
        <v>45204</v>
      </c>
      <c r="D4080" t="inlineStr">
        <is>
          <t>VÄSTERBOTTENS LÄN</t>
        </is>
      </c>
      <c r="E4080" t="inlineStr">
        <is>
          <t>SORSELE</t>
        </is>
      </c>
      <c r="G4080" t="n">
        <v>5</v>
      </c>
      <c r="H4080" t="n">
        <v>0</v>
      </c>
      <c r="I4080" t="n">
        <v>0</v>
      </c>
      <c r="J4080" t="n">
        <v>0</v>
      </c>
      <c r="K4080" t="n">
        <v>0</v>
      </c>
      <c r="L4080" t="n">
        <v>0</v>
      </c>
      <c r="M4080" t="n">
        <v>0</v>
      </c>
      <c r="N4080" t="n">
        <v>0</v>
      </c>
      <c r="O4080" t="n">
        <v>0</v>
      </c>
      <c r="P4080" t="n">
        <v>0</v>
      </c>
      <c r="Q4080" t="n">
        <v>0</v>
      </c>
      <c r="R4080" s="2" t="inlineStr"/>
    </row>
    <row r="4081" ht="15" customHeight="1">
      <c r="A4081" t="inlineStr">
        <is>
          <t>A 6489-2021</t>
        </is>
      </c>
      <c r="B4081" s="1" t="n">
        <v>44235</v>
      </c>
      <c r="C4081" s="1" t="n">
        <v>45204</v>
      </c>
      <c r="D4081" t="inlineStr">
        <is>
          <t>VÄSTERBOTTENS LÄN</t>
        </is>
      </c>
      <c r="E4081" t="inlineStr">
        <is>
          <t>DOROTEA</t>
        </is>
      </c>
      <c r="F4081" t="inlineStr">
        <is>
          <t>SCA</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6658-2021</t>
        </is>
      </c>
      <c r="B4082" s="1" t="n">
        <v>44235</v>
      </c>
      <c r="C4082" s="1" t="n">
        <v>45204</v>
      </c>
      <c r="D4082" t="inlineStr">
        <is>
          <t>VÄSTERBOTTENS LÄN</t>
        </is>
      </c>
      <c r="E4082" t="inlineStr">
        <is>
          <t>VILHELMINA</t>
        </is>
      </c>
      <c r="G4082" t="n">
        <v>6.7</v>
      </c>
      <c r="H4082" t="n">
        <v>0</v>
      </c>
      <c r="I4082" t="n">
        <v>0</v>
      </c>
      <c r="J4082" t="n">
        <v>0</v>
      </c>
      <c r="K4082" t="n">
        <v>0</v>
      </c>
      <c r="L4082" t="n">
        <v>0</v>
      </c>
      <c r="M4082" t="n">
        <v>0</v>
      </c>
      <c r="N4082" t="n">
        <v>0</v>
      </c>
      <c r="O4082" t="n">
        <v>0</v>
      </c>
      <c r="P4082" t="n">
        <v>0</v>
      </c>
      <c r="Q4082" t="n">
        <v>0</v>
      </c>
      <c r="R4082" s="2" t="inlineStr"/>
    </row>
    <row r="4083" ht="15" customHeight="1">
      <c r="A4083" t="inlineStr">
        <is>
          <t>A 6699-2021</t>
        </is>
      </c>
      <c r="B4083" s="1" t="n">
        <v>44235</v>
      </c>
      <c r="C4083" s="1" t="n">
        <v>45204</v>
      </c>
      <c r="D4083" t="inlineStr">
        <is>
          <t>VÄSTERBOTTENS LÄN</t>
        </is>
      </c>
      <c r="E4083" t="inlineStr">
        <is>
          <t>VILHELMINA</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6292-2021</t>
        </is>
      </c>
      <c r="B4084" s="1" t="n">
        <v>44235</v>
      </c>
      <c r="C4084" s="1" t="n">
        <v>45204</v>
      </c>
      <c r="D4084" t="inlineStr">
        <is>
          <t>VÄSTERBOTTENS LÄN</t>
        </is>
      </c>
      <c r="E4084" t="inlineStr">
        <is>
          <t>VÄNNÄS</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6356-2021</t>
        </is>
      </c>
      <c r="B4085" s="1" t="n">
        <v>44235</v>
      </c>
      <c r="C4085" s="1" t="n">
        <v>45204</v>
      </c>
      <c r="D4085" t="inlineStr">
        <is>
          <t>VÄSTERBOTTENS LÄN</t>
        </is>
      </c>
      <c r="E4085" t="inlineStr">
        <is>
          <t>SKELLEFTEÅ</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6653-2021</t>
        </is>
      </c>
      <c r="B4086" s="1" t="n">
        <v>44235</v>
      </c>
      <c r="C4086" s="1" t="n">
        <v>45204</v>
      </c>
      <c r="D4086" t="inlineStr">
        <is>
          <t>VÄSTERBOTTENS LÄN</t>
        </is>
      </c>
      <c r="E4086" t="inlineStr">
        <is>
          <t>VILHELMINA</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6669-2021</t>
        </is>
      </c>
      <c r="B4087" s="1" t="n">
        <v>44235</v>
      </c>
      <c r="C4087" s="1" t="n">
        <v>45204</v>
      </c>
      <c r="D4087" t="inlineStr">
        <is>
          <t>VÄSTERBOTTENS LÄN</t>
        </is>
      </c>
      <c r="E4087" t="inlineStr">
        <is>
          <t>VILHELMINA</t>
        </is>
      </c>
      <c r="G4087" t="n">
        <v>19.8</v>
      </c>
      <c r="H4087" t="n">
        <v>0</v>
      </c>
      <c r="I4087" t="n">
        <v>0</v>
      </c>
      <c r="J4087" t="n">
        <v>0</v>
      </c>
      <c r="K4087" t="n">
        <v>0</v>
      </c>
      <c r="L4087" t="n">
        <v>0</v>
      </c>
      <c r="M4087" t="n">
        <v>0</v>
      </c>
      <c r="N4087" t="n">
        <v>0</v>
      </c>
      <c r="O4087" t="n">
        <v>0</v>
      </c>
      <c r="P4087" t="n">
        <v>0</v>
      </c>
      <c r="Q4087" t="n">
        <v>0</v>
      </c>
      <c r="R4087" s="2" t="inlineStr"/>
    </row>
    <row r="4088" ht="15" customHeight="1">
      <c r="A4088" t="inlineStr">
        <is>
          <t>A 6323-2021</t>
        </is>
      </c>
      <c r="B4088" s="1" t="n">
        <v>44235</v>
      </c>
      <c r="C4088" s="1" t="n">
        <v>45204</v>
      </c>
      <c r="D4088" t="inlineStr">
        <is>
          <t>VÄSTERBOTTENS LÄN</t>
        </is>
      </c>
      <c r="E4088" t="inlineStr">
        <is>
          <t>BJURHOLM</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6665-2021</t>
        </is>
      </c>
      <c r="B4089" s="1" t="n">
        <v>44235</v>
      </c>
      <c r="C4089" s="1" t="n">
        <v>45204</v>
      </c>
      <c r="D4089" t="inlineStr">
        <is>
          <t>VÄSTERBOTTENS LÄN</t>
        </is>
      </c>
      <c r="E4089" t="inlineStr">
        <is>
          <t>VILHELMINA</t>
        </is>
      </c>
      <c r="G4089" t="n">
        <v>20</v>
      </c>
      <c r="H4089" t="n">
        <v>0</v>
      </c>
      <c r="I4089" t="n">
        <v>0</v>
      </c>
      <c r="J4089" t="n">
        <v>0</v>
      </c>
      <c r="K4089" t="n">
        <v>0</v>
      </c>
      <c r="L4089" t="n">
        <v>0</v>
      </c>
      <c r="M4089" t="n">
        <v>0</v>
      </c>
      <c r="N4089" t="n">
        <v>0</v>
      </c>
      <c r="O4089" t="n">
        <v>0</v>
      </c>
      <c r="P4089" t="n">
        <v>0</v>
      </c>
      <c r="Q4089" t="n">
        <v>0</v>
      </c>
      <c r="R4089" s="2" t="inlineStr"/>
    </row>
    <row r="4090" ht="15" customHeight="1">
      <c r="A4090" t="inlineStr">
        <is>
          <t>A 6706-2021</t>
        </is>
      </c>
      <c r="B4090" s="1" t="n">
        <v>44235</v>
      </c>
      <c r="C4090" s="1" t="n">
        <v>45204</v>
      </c>
      <c r="D4090" t="inlineStr">
        <is>
          <t>VÄSTERBOTTENS LÄN</t>
        </is>
      </c>
      <c r="E4090" t="inlineStr">
        <is>
          <t>VILHELMINA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6557-2021</t>
        </is>
      </c>
      <c r="B4091" s="1" t="n">
        <v>44236</v>
      </c>
      <c r="C4091" s="1" t="n">
        <v>45204</v>
      </c>
      <c r="D4091" t="inlineStr">
        <is>
          <t>VÄSTERBOTTENS LÄN</t>
        </is>
      </c>
      <c r="E4091" t="inlineStr">
        <is>
          <t>SKELLEFTEÅ</t>
        </is>
      </c>
      <c r="G4091" t="n">
        <v>6.4</v>
      </c>
      <c r="H4091" t="n">
        <v>0</v>
      </c>
      <c r="I4091" t="n">
        <v>0</v>
      </c>
      <c r="J4091" t="n">
        <v>0</v>
      </c>
      <c r="K4091" t="n">
        <v>0</v>
      </c>
      <c r="L4091" t="n">
        <v>0</v>
      </c>
      <c r="M4091" t="n">
        <v>0</v>
      </c>
      <c r="N4091" t="n">
        <v>0</v>
      </c>
      <c r="O4091" t="n">
        <v>0</v>
      </c>
      <c r="P4091" t="n">
        <v>0</v>
      </c>
      <c r="Q4091" t="n">
        <v>0</v>
      </c>
      <c r="R4091" s="2" t="inlineStr"/>
    </row>
    <row r="4092" ht="15" customHeight="1">
      <c r="A4092" t="inlineStr">
        <is>
          <t>A 6745-2021</t>
        </is>
      </c>
      <c r="B4092" s="1" t="n">
        <v>44236</v>
      </c>
      <c r="C4092" s="1" t="n">
        <v>45204</v>
      </c>
      <c r="D4092" t="inlineStr">
        <is>
          <t>VÄSTERBOTTENS LÄN</t>
        </is>
      </c>
      <c r="E4092" t="inlineStr">
        <is>
          <t>ROBERTSFORS</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6635-2021</t>
        </is>
      </c>
      <c r="B4093" s="1" t="n">
        <v>44236</v>
      </c>
      <c r="C4093" s="1" t="n">
        <v>45204</v>
      </c>
      <c r="D4093" t="inlineStr">
        <is>
          <t>VÄSTERBOTTENS LÄN</t>
        </is>
      </c>
      <c r="E4093" t="inlineStr">
        <is>
          <t>SKELLEFTEÅ</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7034-2021</t>
        </is>
      </c>
      <c r="B4094" s="1" t="n">
        <v>44237</v>
      </c>
      <c r="C4094" s="1" t="n">
        <v>45204</v>
      </c>
      <c r="D4094" t="inlineStr">
        <is>
          <t>VÄSTERBOTTENS LÄN</t>
        </is>
      </c>
      <c r="E4094" t="inlineStr">
        <is>
          <t>SKELLEFTEÅ</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7225-2021</t>
        </is>
      </c>
      <c r="B4095" s="1" t="n">
        <v>44237</v>
      </c>
      <c r="C4095" s="1" t="n">
        <v>45204</v>
      </c>
      <c r="D4095" t="inlineStr">
        <is>
          <t>VÄSTERBOTTENS LÄN</t>
        </is>
      </c>
      <c r="E4095" t="inlineStr">
        <is>
          <t>NORDMALING</t>
        </is>
      </c>
      <c r="G4095" t="n">
        <v>7.1</v>
      </c>
      <c r="H4095" t="n">
        <v>0</v>
      </c>
      <c r="I4095" t="n">
        <v>0</v>
      </c>
      <c r="J4095" t="n">
        <v>0</v>
      </c>
      <c r="K4095" t="n">
        <v>0</v>
      </c>
      <c r="L4095" t="n">
        <v>0</v>
      </c>
      <c r="M4095" t="n">
        <v>0</v>
      </c>
      <c r="N4095" t="n">
        <v>0</v>
      </c>
      <c r="O4095" t="n">
        <v>0</v>
      </c>
      <c r="P4095" t="n">
        <v>0</v>
      </c>
      <c r="Q4095" t="n">
        <v>0</v>
      </c>
      <c r="R4095" s="2" t="inlineStr"/>
    </row>
    <row r="4096" ht="15" customHeight="1">
      <c r="A4096" t="inlineStr">
        <is>
          <t>A 6981-2021</t>
        </is>
      </c>
      <c r="B4096" s="1" t="n">
        <v>44237</v>
      </c>
      <c r="C4096" s="1" t="n">
        <v>45204</v>
      </c>
      <c r="D4096" t="inlineStr">
        <is>
          <t>VÄSTERBOTTENS LÄN</t>
        </is>
      </c>
      <c r="E4096" t="inlineStr">
        <is>
          <t>ROBERTSFORS</t>
        </is>
      </c>
      <c r="G4096" t="n">
        <v>0.7</v>
      </c>
      <c r="H4096" t="n">
        <v>0</v>
      </c>
      <c r="I4096" t="n">
        <v>0</v>
      </c>
      <c r="J4096" t="n">
        <v>0</v>
      </c>
      <c r="K4096" t="n">
        <v>0</v>
      </c>
      <c r="L4096" t="n">
        <v>0</v>
      </c>
      <c r="M4096" t="n">
        <v>0</v>
      </c>
      <c r="N4096" t="n">
        <v>0</v>
      </c>
      <c r="O4096" t="n">
        <v>0</v>
      </c>
      <c r="P4096" t="n">
        <v>0</v>
      </c>
      <c r="Q4096" t="n">
        <v>0</v>
      </c>
      <c r="R4096" s="2" t="inlineStr"/>
    </row>
    <row r="4097" ht="15" customHeight="1">
      <c r="A4097" t="inlineStr">
        <is>
          <t>A 7025-2021</t>
        </is>
      </c>
      <c r="B4097" s="1" t="n">
        <v>44237</v>
      </c>
      <c r="C4097" s="1" t="n">
        <v>45204</v>
      </c>
      <c r="D4097" t="inlineStr">
        <is>
          <t>VÄSTERBOTTENS LÄN</t>
        </is>
      </c>
      <c r="E4097" t="inlineStr">
        <is>
          <t>NORSJÖ</t>
        </is>
      </c>
      <c r="G4097" t="n">
        <v>10.9</v>
      </c>
      <c r="H4097" t="n">
        <v>0</v>
      </c>
      <c r="I4097" t="n">
        <v>0</v>
      </c>
      <c r="J4097" t="n">
        <v>0</v>
      </c>
      <c r="K4097" t="n">
        <v>0</v>
      </c>
      <c r="L4097" t="n">
        <v>0</v>
      </c>
      <c r="M4097" t="n">
        <v>0</v>
      </c>
      <c r="N4097" t="n">
        <v>0</v>
      </c>
      <c r="O4097" t="n">
        <v>0</v>
      </c>
      <c r="P4097" t="n">
        <v>0</v>
      </c>
      <c r="Q4097" t="n">
        <v>0</v>
      </c>
      <c r="R4097" s="2" t="inlineStr"/>
    </row>
    <row r="4098" ht="15" customHeight="1">
      <c r="A4098" t="inlineStr">
        <is>
          <t>A 6869-2021</t>
        </is>
      </c>
      <c r="B4098" s="1" t="n">
        <v>44237</v>
      </c>
      <c r="C4098" s="1" t="n">
        <v>45204</v>
      </c>
      <c r="D4098" t="inlineStr">
        <is>
          <t>VÄSTERBOTTENS LÄN</t>
        </is>
      </c>
      <c r="E4098" t="inlineStr">
        <is>
          <t>STORUMAN</t>
        </is>
      </c>
      <c r="F4098" t="inlineStr">
        <is>
          <t>Sveaskog</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7078-2021</t>
        </is>
      </c>
      <c r="B4099" s="1" t="n">
        <v>44237</v>
      </c>
      <c r="C4099" s="1" t="n">
        <v>45204</v>
      </c>
      <c r="D4099" t="inlineStr">
        <is>
          <t>VÄSTERBOTTENS LÄN</t>
        </is>
      </c>
      <c r="E4099" t="inlineStr">
        <is>
          <t>VILHELMINA</t>
        </is>
      </c>
      <c r="F4099" t="inlineStr">
        <is>
          <t>SCA</t>
        </is>
      </c>
      <c r="G4099" t="n">
        <v>28.4</v>
      </c>
      <c r="H4099" t="n">
        <v>0</v>
      </c>
      <c r="I4099" t="n">
        <v>0</v>
      </c>
      <c r="J4099" t="n">
        <v>0</v>
      </c>
      <c r="K4099" t="n">
        <v>0</v>
      </c>
      <c r="L4099" t="n">
        <v>0</v>
      </c>
      <c r="M4099" t="n">
        <v>0</v>
      </c>
      <c r="N4099" t="n">
        <v>0</v>
      </c>
      <c r="O4099" t="n">
        <v>0</v>
      </c>
      <c r="P4099" t="n">
        <v>0</v>
      </c>
      <c r="Q4099" t="n">
        <v>0</v>
      </c>
      <c r="R4099" s="2" t="inlineStr"/>
    </row>
    <row r="4100" ht="15" customHeight="1">
      <c r="A4100" t="inlineStr">
        <is>
          <t>A 7038-2021</t>
        </is>
      </c>
      <c r="B4100" s="1" t="n">
        <v>44237</v>
      </c>
      <c r="C4100" s="1" t="n">
        <v>45204</v>
      </c>
      <c r="D4100" t="inlineStr">
        <is>
          <t>VÄSTERBOTTENS LÄN</t>
        </is>
      </c>
      <c r="E4100" t="inlineStr">
        <is>
          <t>SKELLEFTEÅ</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7519-2021</t>
        </is>
      </c>
      <c r="B4101" s="1" t="n">
        <v>44238</v>
      </c>
      <c r="C4101" s="1" t="n">
        <v>45204</v>
      </c>
      <c r="D4101" t="inlineStr">
        <is>
          <t>VÄSTERBOTTENS LÄN</t>
        </is>
      </c>
      <c r="E4101" t="inlineStr">
        <is>
          <t>STORUMAN</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7475-2021</t>
        </is>
      </c>
      <c r="B4102" s="1" t="n">
        <v>44239</v>
      </c>
      <c r="C4102" s="1" t="n">
        <v>45204</v>
      </c>
      <c r="D4102" t="inlineStr">
        <is>
          <t>VÄSTERBOTTENS LÄN</t>
        </is>
      </c>
      <c r="E4102" t="inlineStr">
        <is>
          <t>ROBERTSFORS</t>
        </is>
      </c>
      <c r="F4102" t="inlineStr">
        <is>
          <t>Sveaskog</t>
        </is>
      </c>
      <c r="G4102" t="n">
        <v>3.6</v>
      </c>
      <c r="H4102" t="n">
        <v>0</v>
      </c>
      <c r="I4102" t="n">
        <v>0</v>
      </c>
      <c r="J4102" t="n">
        <v>0</v>
      </c>
      <c r="K4102" t="n">
        <v>0</v>
      </c>
      <c r="L4102" t="n">
        <v>0</v>
      </c>
      <c r="M4102" t="n">
        <v>0</v>
      </c>
      <c r="N4102" t="n">
        <v>0</v>
      </c>
      <c r="O4102" t="n">
        <v>0</v>
      </c>
      <c r="P4102" t="n">
        <v>0</v>
      </c>
      <c r="Q4102" t="n">
        <v>0</v>
      </c>
      <c r="R4102" s="2" t="inlineStr"/>
    </row>
    <row r="4103" ht="15" customHeight="1">
      <c r="A4103" t="inlineStr">
        <is>
          <t>A 7476-2021</t>
        </is>
      </c>
      <c r="B4103" s="1" t="n">
        <v>44239</v>
      </c>
      <c r="C4103" s="1" t="n">
        <v>45204</v>
      </c>
      <c r="D4103" t="inlineStr">
        <is>
          <t>VÄSTERBOTTENS LÄN</t>
        </is>
      </c>
      <c r="E4103" t="inlineStr">
        <is>
          <t>ROBERTSFORS</t>
        </is>
      </c>
      <c r="F4103" t="inlineStr">
        <is>
          <t>Sveaskog</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7607-2021</t>
        </is>
      </c>
      <c r="B4104" s="1" t="n">
        <v>44242</v>
      </c>
      <c r="C4104" s="1" t="n">
        <v>45204</v>
      </c>
      <c r="D4104" t="inlineStr">
        <is>
          <t>VÄSTERBOTTENS LÄN</t>
        </is>
      </c>
      <c r="E4104" t="inlineStr">
        <is>
          <t>SKELLEFTEÅ</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7950-2021</t>
        </is>
      </c>
      <c r="B4105" s="1" t="n">
        <v>44242</v>
      </c>
      <c r="C4105" s="1" t="n">
        <v>45204</v>
      </c>
      <c r="D4105" t="inlineStr">
        <is>
          <t>VÄSTERBOTTENS LÄN</t>
        </is>
      </c>
      <c r="E4105" t="inlineStr">
        <is>
          <t>SKELLEFTEÅ</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7880-2021</t>
        </is>
      </c>
      <c r="B4106" s="1" t="n">
        <v>44242</v>
      </c>
      <c r="C4106" s="1" t="n">
        <v>45204</v>
      </c>
      <c r="D4106" t="inlineStr">
        <is>
          <t>VÄSTERBOTTENS LÄN</t>
        </is>
      </c>
      <c r="E4106" t="inlineStr">
        <is>
          <t>ROBERTSFORS</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8726-2021</t>
        </is>
      </c>
      <c r="B4107" s="1" t="n">
        <v>44242</v>
      </c>
      <c r="C4107" s="1" t="n">
        <v>45204</v>
      </c>
      <c r="D4107" t="inlineStr">
        <is>
          <t>VÄSTERBOTTENS LÄN</t>
        </is>
      </c>
      <c r="E4107" t="inlineStr">
        <is>
          <t>MALÅ</t>
        </is>
      </c>
      <c r="G4107" t="n">
        <v>8.4</v>
      </c>
      <c r="H4107" t="n">
        <v>0</v>
      </c>
      <c r="I4107" t="n">
        <v>0</v>
      </c>
      <c r="J4107" t="n">
        <v>0</v>
      </c>
      <c r="K4107" t="n">
        <v>0</v>
      </c>
      <c r="L4107" t="n">
        <v>0</v>
      </c>
      <c r="M4107" t="n">
        <v>0</v>
      </c>
      <c r="N4107" t="n">
        <v>0</v>
      </c>
      <c r="O4107" t="n">
        <v>0</v>
      </c>
      <c r="P4107" t="n">
        <v>0</v>
      </c>
      <c r="Q4107" t="n">
        <v>0</v>
      </c>
      <c r="R4107" s="2" t="inlineStr"/>
    </row>
    <row r="4108" ht="15" customHeight="1">
      <c r="A4108" t="inlineStr">
        <is>
          <t>A 7823-2021</t>
        </is>
      </c>
      <c r="B4108" s="1" t="n">
        <v>44242</v>
      </c>
      <c r="C4108" s="1" t="n">
        <v>45204</v>
      </c>
      <c r="D4108" t="inlineStr">
        <is>
          <t>VÄSTERBOTTENS LÄN</t>
        </is>
      </c>
      <c r="E4108" t="inlineStr">
        <is>
          <t>SKELLEFTEÅ</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8003-2021</t>
        </is>
      </c>
      <c r="B4109" s="1" t="n">
        <v>44243</v>
      </c>
      <c r="C4109" s="1" t="n">
        <v>45204</v>
      </c>
      <c r="D4109" t="inlineStr">
        <is>
          <t>VÄSTERBOTTENS LÄN</t>
        </is>
      </c>
      <c r="E4109" t="inlineStr">
        <is>
          <t>VILHELMINA</t>
        </is>
      </c>
      <c r="G4109" t="n">
        <v>5.1</v>
      </c>
      <c r="H4109" t="n">
        <v>0</v>
      </c>
      <c r="I4109" t="n">
        <v>0</v>
      </c>
      <c r="J4109" t="n">
        <v>0</v>
      </c>
      <c r="K4109" t="n">
        <v>0</v>
      </c>
      <c r="L4109" t="n">
        <v>0</v>
      </c>
      <c r="M4109" t="n">
        <v>0</v>
      </c>
      <c r="N4109" t="n">
        <v>0</v>
      </c>
      <c r="O4109" t="n">
        <v>0</v>
      </c>
      <c r="P4109" t="n">
        <v>0</v>
      </c>
      <c r="Q4109" t="n">
        <v>0</v>
      </c>
      <c r="R4109" s="2" t="inlineStr"/>
    </row>
    <row r="4110" ht="15" customHeight="1">
      <c r="A4110" t="inlineStr">
        <is>
          <t>A 8463-2021</t>
        </is>
      </c>
      <c r="B4110" s="1" t="n">
        <v>44244</v>
      </c>
      <c r="C4110" s="1" t="n">
        <v>45204</v>
      </c>
      <c r="D4110" t="inlineStr">
        <is>
          <t>VÄSTERBOTTENS LÄN</t>
        </is>
      </c>
      <c r="E4110" t="inlineStr">
        <is>
          <t>NORDMALING</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8465-2021</t>
        </is>
      </c>
      <c r="B4111" s="1" t="n">
        <v>44244</v>
      </c>
      <c r="C4111" s="1" t="n">
        <v>45204</v>
      </c>
      <c r="D4111" t="inlineStr">
        <is>
          <t>VÄSTERBOTTENS LÄN</t>
        </is>
      </c>
      <c r="E4111" t="inlineStr">
        <is>
          <t>NORDMALING</t>
        </is>
      </c>
      <c r="G4111" t="n">
        <v>1.8</v>
      </c>
      <c r="H4111" t="n">
        <v>0</v>
      </c>
      <c r="I4111" t="n">
        <v>0</v>
      </c>
      <c r="J4111" t="n">
        <v>0</v>
      </c>
      <c r="K4111" t="n">
        <v>0</v>
      </c>
      <c r="L4111" t="n">
        <v>0</v>
      </c>
      <c r="M4111" t="n">
        <v>0</v>
      </c>
      <c r="N4111" t="n">
        <v>0</v>
      </c>
      <c r="O4111" t="n">
        <v>0</v>
      </c>
      <c r="P4111" t="n">
        <v>0</v>
      </c>
      <c r="Q4111" t="n">
        <v>0</v>
      </c>
      <c r="R4111" s="2" t="inlineStr"/>
    </row>
    <row r="4112" ht="15" customHeight="1">
      <c r="A4112" t="inlineStr">
        <is>
          <t>A 8423-2021</t>
        </is>
      </c>
      <c r="B4112" s="1" t="n">
        <v>44245</v>
      </c>
      <c r="C4112" s="1" t="n">
        <v>45204</v>
      </c>
      <c r="D4112" t="inlineStr">
        <is>
          <t>VÄSTERBOTTENS LÄN</t>
        </is>
      </c>
      <c r="E4112" t="inlineStr">
        <is>
          <t>ROBERTSFORS</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8648-2021</t>
        </is>
      </c>
      <c r="B4113" s="1" t="n">
        <v>44245</v>
      </c>
      <c r="C4113" s="1" t="n">
        <v>45204</v>
      </c>
      <c r="D4113" t="inlineStr">
        <is>
          <t>VÄSTERBOTTENS LÄN</t>
        </is>
      </c>
      <c r="E4113" t="inlineStr">
        <is>
          <t>SKELLEFTEÅ</t>
        </is>
      </c>
      <c r="F4113" t="inlineStr">
        <is>
          <t>SCA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8416-2021</t>
        </is>
      </c>
      <c r="B4114" s="1" t="n">
        <v>44245</v>
      </c>
      <c r="C4114" s="1" t="n">
        <v>45204</v>
      </c>
      <c r="D4114" t="inlineStr">
        <is>
          <t>VÄSTERBOTTENS LÄN</t>
        </is>
      </c>
      <c r="E4114" t="inlineStr">
        <is>
          <t>ROBERTSFORS</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8911-2021</t>
        </is>
      </c>
      <c r="B4115" s="1" t="n">
        <v>44245</v>
      </c>
      <c r="C4115" s="1" t="n">
        <v>45204</v>
      </c>
      <c r="D4115" t="inlineStr">
        <is>
          <t>VÄSTERBOTTENS LÄN</t>
        </is>
      </c>
      <c r="E4115" t="inlineStr">
        <is>
          <t>SKELLEFTEÅ</t>
        </is>
      </c>
      <c r="G4115" t="n">
        <v>4.5</v>
      </c>
      <c r="H4115" t="n">
        <v>0</v>
      </c>
      <c r="I4115" t="n">
        <v>0</v>
      </c>
      <c r="J4115" t="n">
        <v>0</v>
      </c>
      <c r="K4115" t="n">
        <v>0</v>
      </c>
      <c r="L4115" t="n">
        <v>0</v>
      </c>
      <c r="M4115" t="n">
        <v>0</v>
      </c>
      <c r="N4115" t="n">
        <v>0</v>
      </c>
      <c r="O4115" t="n">
        <v>0</v>
      </c>
      <c r="P4115" t="n">
        <v>0</v>
      </c>
      <c r="Q4115" t="n">
        <v>0</v>
      </c>
      <c r="R4115" s="2" t="inlineStr"/>
    </row>
    <row r="4116" ht="15" customHeight="1">
      <c r="A4116" t="inlineStr">
        <is>
          <t>A 8652-2021</t>
        </is>
      </c>
      <c r="B4116" s="1" t="n">
        <v>44245</v>
      </c>
      <c r="C4116" s="1" t="n">
        <v>45204</v>
      </c>
      <c r="D4116" t="inlineStr">
        <is>
          <t>VÄSTERBOTTENS LÄN</t>
        </is>
      </c>
      <c r="E4116" t="inlineStr">
        <is>
          <t>SKELLEFTEÅ</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8635-2021</t>
        </is>
      </c>
      <c r="B4117" s="1" t="n">
        <v>44245</v>
      </c>
      <c r="C4117" s="1" t="n">
        <v>45204</v>
      </c>
      <c r="D4117" t="inlineStr">
        <is>
          <t>VÄSTERBOTTENS LÄN</t>
        </is>
      </c>
      <c r="E4117" t="inlineStr">
        <is>
          <t>VINDELN</t>
        </is>
      </c>
      <c r="F4117" t="inlineStr">
        <is>
          <t>SCA</t>
        </is>
      </c>
      <c r="G4117" t="n">
        <v>8.4</v>
      </c>
      <c r="H4117" t="n">
        <v>0</v>
      </c>
      <c r="I4117" t="n">
        <v>0</v>
      </c>
      <c r="J4117" t="n">
        <v>0</v>
      </c>
      <c r="K4117" t="n">
        <v>0</v>
      </c>
      <c r="L4117" t="n">
        <v>0</v>
      </c>
      <c r="M4117" t="n">
        <v>0</v>
      </c>
      <c r="N4117" t="n">
        <v>0</v>
      </c>
      <c r="O4117" t="n">
        <v>0</v>
      </c>
      <c r="P4117" t="n">
        <v>0</v>
      </c>
      <c r="Q4117" t="n">
        <v>0</v>
      </c>
      <c r="R4117" s="2" t="inlineStr"/>
    </row>
    <row r="4118" ht="15" customHeight="1">
      <c r="A4118" t="inlineStr">
        <is>
          <t>A 8644-2021</t>
        </is>
      </c>
      <c r="B4118" s="1" t="n">
        <v>44245</v>
      </c>
      <c r="C4118" s="1" t="n">
        <v>45204</v>
      </c>
      <c r="D4118" t="inlineStr">
        <is>
          <t>VÄSTERBOTTENS LÄN</t>
        </is>
      </c>
      <c r="E4118" t="inlineStr">
        <is>
          <t>SKELLEFTEÅ</t>
        </is>
      </c>
      <c r="F4118" t="inlineStr">
        <is>
          <t>SCA</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8750-2021</t>
        </is>
      </c>
      <c r="B4119" s="1" t="n">
        <v>44246</v>
      </c>
      <c r="C4119" s="1" t="n">
        <v>45204</v>
      </c>
      <c r="D4119" t="inlineStr">
        <is>
          <t>VÄSTERBOTTENS LÄN</t>
        </is>
      </c>
      <c r="E4119" t="inlineStr">
        <is>
          <t>VILHELMINA</t>
        </is>
      </c>
      <c r="G4119" t="n">
        <v>5.2</v>
      </c>
      <c r="H4119" t="n">
        <v>0</v>
      </c>
      <c r="I4119" t="n">
        <v>0</v>
      </c>
      <c r="J4119" t="n">
        <v>0</v>
      </c>
      <c r="K4119" t="n">
        <v>0</v>
      </c>
      <c r="L4119" t="n">
        <v>0</v>
      </c>
      <c r="M4119" t="n">
        <v>0</v>
      </c>
      <c r="N4119" t="n">
        <v>0</v>
      </c>
      <c r="O4119" t="n">
        <v>0</v>
      </c>
      <c r="P4119" t="n">
        <v>0</v>
      </c>
      <c r="Q4119" t="n">
        <v>0</v>
      </c>
      <c r="R4119" s="2" t="inlineStr"/>
    </row>
    <row r="4120" ht="15" customHeight="1">
      <c r="A4120" t="inlineStr">
        <is>
          <t>A 8800-2021</t>
        </is>
      </c>
      <c r="B4120" s="1" t="n">
        <v>44246</v>
      </c>
      <c r="C4120" s="1" t="n">
        <v>45204</v>
      </c>
      <c r="D4120" t="inlineStr">
        <is>
          <t>VÄSTERBOTTENS LÄN</t>
        </is>
      </c>
      <c r="E4120" t="inlineStr">
        <is>
          <t>UMEÅ</t>
        </is>
      </c>
      <c r="G4120" t="n">
        <v>11</v>
      </c>
      <c r="H4120" t="n">
        <v>0</v>
      </c>
      <c r="I4120" t="n">
        <v>0</v>
      </c>
      <c r="J4120" t="n">
        <v>0</v>
      </c>
      <c r="K4120" t="n">
        <v>0</v>
      </c>
      <c r="L4120" t="n">
        <v>0</v>
      </c>
      <c r="M4120" t="n">
        <v>0</v>
      </c>
      <c r="N4120" t="n">
        <v>0</v>
      </c>
      <c r="O4120" t="n">
        <v>0</v>
      </c>
      <c r="P4120" t="n">
        <v>0</v>
      </c>
      <c r="Q4120" t="n">
        <v>0</v>
      </c>
      <c r="R4120" s="2" t="inlineStr"/>
    </row>
    <row r="4121" ht="15" customHeight="1">
      <c r="A4121" t="inlineStr">
        <is>
          <t>A 8846-2021</t>
        </is>
      </c>
      <c r="B4121" s="1" t="n">
        <v>44246</v>
      </c>
      <c r="C4121" s="1" t="n">
        <v>45204</v>
      </c>
      <c r="D4121" t="inlineStr">
        <is>
          <t>VÄSTERBOTTENS LÄN</t>
        </is>
      </c>
      <c r="E4121" t="inlineStr">
        <is>
          <t>SKELLEFTEÅ</t>
        </is>
      </c>
      <c r="F4121" t="inlineStr">
        <is>
          <t>SCA</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8977-2021</t>
        </is>
      </c>
      <c r="B4122" s="1" t="n">
        <v>44246</v>
      </c>
      <c r="C4122" s="1" t="n">
        <v>45204</v>
      </c>
      <c r="D4122" t="inlineStr">
        <is>
          <t>VÄSTERBOTTENS LÄN</t>
        </is>
      </c>
      <c r="E4122" t="inlineStr">
        <is>
          <t>STORUMAN</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9081-2021</t>
        </is>
      </c>
      <c r="B4123" s="1" t="n">
        <v>44249</v>
      </c>
      <c r="C4123" s="1" t="n">
        <v>45204</v>
      </c>
      <c r="D4123" t="inlineStr">
        <is>
          <t>VÄSTERBOTTENS LÄN</t>
        </is>
      </c>
      <c r="E4123" t="inlineStr">
        <is>
          <t>SKELLEFTEÅ</t>
        </is>
      </c>
      <c r="G4123" t="n">
        <v>16.2</v>
      </c>
      <c r="H4123" t="n">
        <v>0</v>
      </c>
      <c r="I4123" t="n">
        <v>0</v>
      </c>
      <c r="J4123" t="n">
        <v>0</v>
      </c>
      <c r="K4123" t="n">
        <v>0</v>
      </c>
      <c r="L4123" t="n">
        <v>0</v>
      </c>
      <c r="M4123" t="n">
        <v>0</v>
      </c>
      <c r="N4123" t="n">
        <v>0</v>
      </c>
      <c r="O4123" t="n">
        <v>0</v>
      </c>
      <c r="P4123" t="n">
        <v>0</v>
      </c>
      <c r="Q4123" t="n">
        <v>0</v>
      </c>
      <c r="R4123" s="2" t="inlineStr"/>
    </row>
    <row r="4124" ht="15" customHeight="1">
      <c r="A4124" t="inlineStr">
        <is>
          <t>A 9192-2021</t>
        </is>
      </c>
      <c r="B4124" s="1" t="n">
        <v>44249</v>
      </c>
      <c r="C4124" s="1" t="n">
        <v>45204</v>
      </c>
      <c r="D4124" t="inlineStr">
        <is>
          <t>VÄSTERBOTTENS LÄN</t>
        </is>
      </c>
      <c r="E4124" t="inlineStr">
        <is>
          <t>SKELLEFTEÅ</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9035-2021</t>
        </is>
      </c>
      <c r="B4125" s="1" t="n">
        <v>44249</v>
      </c>
      <c r="C4125" s="1" t="n">
        <v>45204</v>
      </c>
      <c r="D4125" t="inlineStr">
        <is>
          <t>VÄSTERBOTTENS LÄN</t>
        </is>
      </c>
      <c r="E4125" t="inlineStr">
        <is>
          <t>SKELLEFTEÅ</t>
        </is>
      </c>
      <c r="G4125" t="n">
        <v>6.7</v>
      </c>
      <c r="H4125" t="n">
        <v>0</v>
      </c>
      <c r="I4125" t="n">
        <v>0</v>
      </c>
      <c r="J4125" t="n">
        <v>0</v>
      </c>
      <c r="K4125" t="n">
        <v>0</v>
      </c>
      <c r="L4125" t="n">
        <v>0</v>
      </c>
      <c r="M4125" t="n">
        <v>0</v>
      </c>
      <c r="N4125" t="n">
        <v>0</v>
      </c>
      <c r="O4125" t="n">
        <v>0</v>
      </c>
      <c r="P4125" t="n">
        <v>0</v>
      </c>
      <c r="Q4125" t="n">
        <v>0</v>
      </c>
      <c r="R4125" s="2" t="inlineStr"/>
    </row>
    <row r="4126" ht="15" customHeight="1">
      <c r="A4126" t="inlineStr">
        <is>
          <t>A 9051-2021</t>
        </is>
      </c>
      <c r="B4126" s="1" t="n">
        <v>44249</v>
      </c>
      <c r="C4126" s="1" t="n">
        <v>45204</v>
      </c>
      <c r="D4126" t="inlineStr">
        <is>
          <t>VÄSTERBOTTENS LÄN</t>
        </is>
      </c>
      <c r="E4126" t="inlineStr">
        <is>
          <t>SKELLEFTEÅ</t>
        </is>
      </c>
      <c r="G4126" t="n">
        <v>5</v>
      </c>
      <c r="H4126" t="n">
        <v>0</v>
      </c>
      <c r="I4126" t="n">
        <v>0</v>
      </c>
      <c r="J4126" t="n">
        <v>0</v>
      </c>
      <c r="K4126" t="n">
        <v>0</v>
      </c>
      <c r="L4126" t="n">
        <v>0</v>
      </c>
      <c r="M4126" t="n">
        <v>0</v>
      </c>
      <c r="N4126" t="n">
        <v>0</v>
      </c>
      <c r="O4126" t="n">
        <v>0</v>
      </c>
      <c r="P4126" t="n">
        <v>0</v>
      </c>
      <c r="Q4126" t="n">
        <v>0</v>
      </c>
      <c r="R4126" s="2" t="inlineStr"/>
    </row>
    <row r="4127" ht="15" customHeight="1">
      <c r="A4127" t="inlineStr">
        <is>
          <t>A 9090-2021</t>
        </is>
      </c>
      <c r="B4127" s="1" t="n">
        <v>44249</v>
      </c>
      <c r="C4127" s="1" t="n">
        <v>45204</v>
      </c>
      <c r="D4127" t="inlineStr">
        <is>
          <t>VÄSTERBOTTENS LÄN</t>
        </is>
      </c>
      <c r="E4127" t="inlineStr">
        <is>
          <t>SKELLEFTEÅ</t>
        </is>
      </c>
      <c r="G4127" t="n">
        <v>10.8</v>
      </c>
      <c r="H4127" t="n">
        <v>0</v>
      </c>
      <c r="I4127" t="n">
        <v>0</v>
      </c>
      <c r="J4127" t="n">
        <v>0</v>
      </c>
      <c r="K4127" t="n">
        <v>0</v>
      </c>
      <c r="L4127" t="n">
        <v>0</v>
      </c>
      <c r="M4127" t="n">
        <v>0</v>
      </c>
      <c r="N4127" t="n">
        <v>0</v>
      </c>
      <c r="O4127" t="n">
        <v>0</v>
      </c>
      <c r="P4127" t="n">
        <v>0</v>
      </c>
      <c r="Q4127" t="n">
        <v>0</v>
      </c>
      <c r="R4127" s="2" t="inlineStr"/>
    </row>
    <row r="4128" ht="15" customHeight="1">
      <c r="A4128" t="inlineStr">
        <is>
          <t>A 9308-2021</t>
        </is>
      </c>
      <c r="B4128" s="1" t="n">
        <v>44249</v>
      </c>
      <c r="C4128" s="1" t="n">
        <v>45204</v>
      </c>
      <c r="D4128" t="inlineStr">
        <is>
          <t>VÄSTERBOTTENS LÄN</t>
        </is>
      </c>
      <c r="E4128" t="inlineStr">
        <is>
          <t>UMEÅ</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9169-2021</t>
        </is>
      </c>
      <c r="B4129" s="1" t="n">
        <v>44249</v>
      </c>
      <c r="C4129" s="1" t="n">
        <v>45204</v>
      </c>
      <c r="D4129" t="inlineStr">
        <is>
          <t>VÄSTERBOTTENS LÄN</t>
        </is>
      </c>
      <c r="E4129" t="inlineStr">
        <is>
          <t>UMEÅ</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9045-2021</t>
        </is>
      </c>
      <c r="B4130" s="1" t="n">
        <v>44249</v>
      </c>
      <c r="C4130" s="1" t="n">
        <v>45204</v>
      </c>
      <c r="D4130" t="inlineStr">
        <is>
          <t>VÄSTERBOTTENS LÄN</t>
        </is>
      </c>
      <c r="E4130" t="inlineStr">
        <is>
          <t>SKELLEFTEÅ</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9059-2021</t>
        </is>
      </c>
      <c r="B4131" s="1" t="n">
        <v>44249</v>
      </c>
      <c r="C4131" s="1" t="n">
        <v>45204</v>
      </c>
      <c r="D4131" t="inlineStr">
        <is>
          <t>VÄSTERBOTTENS LÄN</t>
        </is>
      </c>
      <c r="E4131" t="inlineStr">
        <is>
          <t>SKELLEFTEÅ</t>
        </is>
      </c>
      <c r="G4131" t="n">
        <v>6.1</v>
      </c>
      <c r="H4131" t="n">
        <v>0</v>
      </c>
      <c r="I4131" t="n">
        <v>0</v>
      </c>
      <c r="J4131" t="n">
        <v>0</v>
      </c>
      <c r="K4131" t="n">
        <v>0</v>
      </c>
      <c r="L4131" t="n">
        <v>0</v>
      </c>
      <c r="M4131" t="n">
        <v>0</v>
      </c>
      <c r="N4131" t="n">
        <v>0</v>
      </c>
      <c r="O4131" t="n">
        <v>0</v>
      </c>
      <c r="P4131" t="n">
        <v>0</v>
      </c>
      <c r="Q4131" t="n">
        <v>0</v>
      </c>
      <c r="R4131" s="2" t="inlineStr"/>
    </row>
    <row r="4132" ht="15" customHeight="1">
      <c r="A4132" t="inlineStr">
        <is>
          <t>A 9170-2021</t>
        </is>
      </c>
      <c r="B4132" s="1" t="n">
        <v>44249</v>
      </c>
      <c r="C4132" s="1" t="n">
        <v>45204</v>
      </c>
      <c r="D4132" t="inlineStr">
        <is>
          <t>VÄSTERBOTTENS LÄN</t>
        </is>
      </c>
      <c r="E4132" t="inlineStr">
        <is>
          <t>UMEÅ</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9508-2021</t>
        </is>
      </c>
      <c r="B4133" s="1" t="n">
        <v>44251</v>
      </c>
      <c r="C4133" s="1" t="n">
        <v>45204</v>
      </c>
      <c r="D4133" t="inlineStr">
        <is>
          <t>VÄSTERBOTTENS LÄN</t>
        </is>
      </c>
      <c r="E4133" t="inlineStr">
        <is>
          <t>SORSELE</t>
        </is>
      </c>
      <c r="G4133" t="n">
        <v>4</v>
      </c>
      <c r="H4133" t="n">
        <v>0</v>
      </c>
      <c r="I4133" t="n">
        <v>0</v>
      </c>
      <c r="J4133" t="n">
        <v>0</v>
      </c>
      <c r="K4133" t="n">
        <v>0</v>
      </c>
      <c r="L4133" t="n">
        <v>0</v>
      </c>
      <c r="M4133" t="n">
        <v>0</v>
      </c>
      <c r="N4133" t="n">
        <v>0</v>
      </c>
      <c r="O4133" t="n">
        <v>0</v>
      </c>
      <c r="P4133" t="n">
        <v>0</v>
      </c>
      <c r="Q4133" t="n">
        <v>0</v>
      </c>
      <c r="R4133" s="2" t="inlineStr"/>
    </row>
    <row r="4134" ht="15" customHeight="1">
      <c r="A4134" t="inlineStr">
        <is>
          <t>A 9539-2021</t>
        </is>
      </c>
      <c r="B4134" s="1" t="n">
        <v>44251</v>
      </c>
      <c r="C4134" s="1" t="n">
        <v>45204</v>
      </c>
      <c r="D4134" t="inlineStr">
        <is>
          <t>VÄSTERBOTTENS LÄN</t>
        </is>
      </c>
      <c r="E4134" t="inlineStr">
        <is>
          <t>SORSELE</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9780-2021</t>
        </is>
      </c>
      <c r="B4135" s="1" t="n">
        <v>44251</v>
      </c>
      <c r="C4135" s="1" t="n">
        <v>45204</v>
      </c>
      <c r="D4135" t="inlineStr">
        <is>
          <t>VÄSTERBOTTENS LÄN</t>
        </is>
      </c>
      <c r="E4135" t="inlineStr">
        <is>
          <t>UMEÅ</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9916-2021</t>
        </is>
      </c>
      <c r="B4136" s="1" t="n">
        <v>44253</v>
      </c>
      <c r="C4136" s="1" t="n">
        <v>45204</v>
      </c>
      <c r="D4136" t="inlineStr">
        <is>
          <t>VÄSTERBOTTENS LÄN</t>
        </is>
      </c>
      <c r="E4136" t="inlineStr">
        <is>
          <t>VILHELMINA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9924-2021</t>
        </is>
      </c>
      <c r="B4137" s="1" t="n">
        <v>44253</v>
      </c>
      <c r="C4137" s="1" t="n">
        <v>45204</v>
      </c>
      <c r="D4137" t="inlineStr">
        <is>
          <t>VÄSTERBOTTENS LÄN</t>
        </is>
      </c>
      <c r="E4137" t="inlineStr">
        <is>
          <t>VILHELMINA</t>
        </is>
      </c>
      <c r="G4137" t="n">
        <v>5.1</v>
      </c>
      <c r="H4137" t="n">
        <v>0</v>
      </c>
      <c r="I4137" t="n">
        <v>0</v>
      </c>
      <c r="J4137" t="n">
        <v>0</v>
      </c>
      <c r="K4137" t="n">
        <v>0</v>
      </c>
      <c r="L4137" t="n">
        <v>0</v>
      </c>
      <c r="M4137" t="n">
        <v>0</v>
      </c>
      <c r="N4137" t="n">
        <v>0</v>
      </c>
      <c r="O4137" t="n">
        <v>0</v>
      </c>
      <c r="P4137" t="n">
        <v>0</v>
      </c>
      <c r="Q4137" t="n">
        <v>0</v>
      </c>
      <c r="R4137" s="2" t="inlineStr"/>
    </row>
    <row r="4138" ht="15" customHeight="1">
      <c r="A4138" t="inlineStr">
        <is>
          <t>A 10075-2021</t>
        </is>
      </c>
      <c r="B4138" s="1" t="n">
        <v>44253</v>
      </c>
      <c r="C4138" s="1" t="n">
        <v>45204</v>
      </c>
      <c r="D4138" t="inlineStr">
        <is>
          <t>VÄSTERBOTTENS LÄN</t>
        </is>
      </c>
      <c r="E4138" t="inlineStr">
        <is>
          <t>VILHELMINA</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9987-2021</t>
        </is>
      </c>
      <c r="B4139" s="1" t="n">
        <v>44254</v>
      </c>
      <c r="C4139" s="1" t="n">
        <v>45204</v>
      </c>
      <c r="D4139" t="inlineStr">
        <is>
          <t>VÄSTERBOTTENS LÄN</t>
        </is>
      </c>
      <c r="E4139" t="inlineStr">
        <is>
          <t>NORSJÖ</t>
        </is>
      </c>
      <c r="G4139" t="n">
        <v>0.2</v>
      </c>
      <c r="H4139" t="n">
        <v>0</v>
      </c>
      <c r="I4139" t="n">
        <v>0</v>
      </c>
      <c r="J4139" t="n">
        <v>0</v>
      </c>
      <c r="K4139" t="n">
        <v>0</v>
      </c>
      <c r="L4139" t="n">
        <v>0</v>
      </c>
      <c r="M4139" t="n">
        <v>0</v>
      </c>
      <c r="N4139" t="n">
        <v>0</v>
      </c>
      <c r="O4139" t="n">
        <v>0</v>
      </c>
      <c r="P4139" t="n">
        <v>0</v>
      </c>
      <c r="Q4139" t="n">
        <v>0</v>
      </c>
      <c r="R4139" s="2" t="inlineStr"/>
    </row>
    <row r="4140" ht="15" customHeight="1">
      <c r="A4140" t="inlineStr">
        <is>
          <t>A 10238-2021</t>
        </is>
      </c>
      <c r="B4140" s="1" t="n">
        <v>44256</v>
      </c>
      <c r="C4140" s="1" t="n">
        <v>45204</v>
      </c>
      <c r="D4140" t="inlineStr">
        <is>
          <t>VÄSTERBOTTENS LÄN</t>
        </is>
      </c>
      <c r="E4140" t="inlineStr">
        <is>
          <t>NORDMALING</t>
        </is>
      </c>
      <c r="G4140" t="n">
        <v>4.6</v>
      </c>
      <c r="H4140" t="n">
        <v>0</v>
      </c>
      <c r="I4140" t="n">
        <v>0</v>
      </c>
      <c r="J4140" t="n">
        <v>0</v>
      </c>
      <c r="K4140" t="n">
        <v>0</v>
      </c>
      <c r="L4140" t="n">
        <v>0</v>
      </c>
      <c r="M4140" t="n">
        <v>0</v>
      </c>
      <c r="N4140" t="n">
        <v>0</v>
      </c>
      <c r="O4140" t="n">
        <v>0</v>
      </c>
      <c r="P4140" t="n">
        <v>0</v>
      </c>
      <c r="Q4140" t="n">
        <v>0</v>
      </c>
      <c r="R4140" s="2" t="inlineStr"/>
    </row>
    <row r="4141" ht="15" customHeight="1">
      <c r="A4141" t="inlineStr">
        <is>
          <t>A 10051-2021</t>
        </is>
      </c>
      <c r="B4141" s="1" t="n">
        <v>44256</v>
      </c>
      <c r="C4141" s="1" t="n">
        <v>45204</v>
      </c>
      <c r="D4141" t="inlineStr">
        <is>
          <t>VÄSTERBOTTENS LÄN</t>
        </is>
      </c>
      <c r="E4141" t="inlineStr">
        <is>
          <t>SKELLEFTEÅ</t>
        </is>
      </c>
      <c r="G4141" t="n">
        <v>1.6</v>
      </c>
      <c r="H4141" t="n">
        <v>0</v>
      </c>
      <c r="I4141" t="n">
        <v>0</v>
      </c>
      <c r="J4141" t="n">
        <v>0</v>
      </c>
      <c r="K4141" t="n">
        <v>0</v>
      </c>
      <c r="L4141" t="n">
        <v>0</v>
      </c>
      <c r="M4141" t="n">
        <v>0</v>
      </c>
      <c r="N4141" t="n">
        <v>0</v>
      </c>
      <c r="O4141" t="n">
        <v>0</v>
      </c>
      <c r="P4141" t="n">
        <v>0</v>
      </c>
      <c r="Q4141" t="n">
        <v>0</v>
      </c>
      <c r="R4141" s="2" t="inlineStr"/>
    </row>
    <row r="4142" ht="15" customHeight="1">
      <c r="A4142" t="inlineStr">
        <is>
          <t>A 10167-2021</t>
        </is>
      </c>
      <c r="B4142" s="1" t="n">
        <v>44256</v>
      </c>
      <c r="C4142" s="1" t="n">
        <v>45204</v>
      </c>
      <c r="D4142" t="inlineStr">
        <is>
          <t>VÄSTERBOTTENS LÄN</t>
        </is>
      </c>
      <c r="E4142" t="inlineStr">
        <is>
          <t>VINDELN</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10422-2021</t>
        </is>
      </c>
      <c r="B4143" s="1" t="n">
        <v>44257</v>
      </c>
      <c r="C4143" s="1" t="n">
        <v>45204</v>
      </c>
      <c r="D4143" t="inlineStr">
        <is>
          <t>VÄSTERBOTTENS LÄN</t>
        </is>
      </c>
      <c r="E4143" t="inlineStr">
        <is>
          <t>STORUMAN</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10500-2021</t>
        </is>
      </c>
      <c r="B4144" s="1" t="n">
        <v>44257</v>
      </c>
      <c r="C4144" s="1" t="n">
        <v>45204</v>
      </c>
      <c r="D4144" t="inlineStr">
        <is>
          <t>VÄSTERBOTTENS LÄN</t>
        </is>
      </c>
      <c r="E4144" t="inlineStr">
        <is>
          <t>STORUMAN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10421-2021</t>
        </is>
      </c>
      <c r="B4145" s="1" t="n">
        <v>44257</v>
      </c>
      <c r="C4145" s="1" t="n">
        <v>45204</v>
      </c>
      <c r="D4145" t="inlineStr">
        <is>
          <t>VÄSTERBOTTENS LÄN</t>
        </is>
      </c>
      <c r="E4145" t="inlineStr">
        <is>
          <t>NORSJÖ</t>
        </is>
      </c>
      <c r="G4145" t="n">
        <v>13.8</v>
      </c>
      <c r="H4145" t="n">
        <v>0</v>
      </c>
      <c r="I4145" t="n">
        <v>0</v>
      </c>
      <c r="J4145" t="n">
        <v>0</v>
      </c>
      <c r="K4145" t="n">
        <v>0</v>
      </c>
      <c r="L4145" t="n">
        <v>0</v>
      </c>
      <c r="M4145" t="n">
        <v>0</v>
      </c>
      <c r="N4145" t="n">
        <v>0</v>
      </c>
      <c r="O4145" t="n">
        <v>0</v>
      </c>
      <c r="P4145" t="n">
        <v>0</v>
      </c>
      <c r="Q4145" t="n">
        <v>0</v>
      </c>
      <c r="R4145" s="2" t="inlineStr"/>
    </row>
    <row r="4146" ht="15" customHeight="1">
      <c r="A4146" t="inlineStr">
        <is>
          <t>A 10445-2021</t>
        </is>
      </c>
      <c r="B4146" s="1" t="n">
        <v>44257</v>
      </c>
      <c r="C4146" s="1" t="n">
        <v>45204</v>
      </c>
      <c r="D4146" t="inlineStr">
        <is>
          <t>VÄSTERBOTTENS LÄN</t>
        </is>
      </c>
      <c r="E4146" t="inlineStr">
        <is>
          <t>UMEÅ</t>
        </is>
      </c>
      <c r="G4146" t="n">
        <v>7.1</v>
      </c>
      <c r="H4146" t="n">
        <v>0</v>
      </c>
      <c r="I4146" t="n">
        <v>0</v>
      </c>
      <c r="J4146" t="n">
        <v>0</v>
      </c>
      <c r="K4146" t="n">
        <v>0</v>
      </c>
      <c r="L4146" t="n">
        <v>0</v>
      </c>
      <c r="M4146" t="n">
        <v>0</v>
      </c>
      <c r="N4146" t="n">
        <v>0</v>
      </c>
      <c r="O4146" t="n">
        <v>0</v>
      </c>
      <c r="P4146" t="n">
        <v>0</v>
      </c>
      <c r="Q4146" t="n">
        <v>0</v>
      </c>
      <c r="R4146" s="2" t="inlineStr"/>
    </row>
    <row r="4147" ht="15" customHeight="1">
      <c r="A4147" t="inlineStr">
        <is>
          <t>A 10481-2021</t>
        </is>
      </c>
      <c r="B4147" s="1" t="n">
        <v>44257</v>
      </c>
      <c r="C4147" s="1" t="n">
        <v>45204</v>
      </c>
      <c r="D4147" t="inlineStr">
        <is>
          <t>VÄSTERBOTTENS LÄN</t>
        </is>
      </c>
      <c r="E4147" t="inlineStr">
        <is>
          <t>STORUMAN</t>
        </is>
      </c>
      <c r="G4147" t="n">
        <v>19.7</v>
      </c>
      <c r="H4147" t="n">
        <v>0</v>
      </c>
      <c r="I4147" t="n">
        <v>0</v>
      </c>
      <c r="J4147" t="n">
        <v>0</v>
      </c>
      <c r="K4147" t="n">
        <v>0</v>
      </c>
      <c r="L4147" t="n">
        <v>0</v>
      </c>
      <c r="M4147" t="n">
        <v>0</v>
      </c>
      <c r="N4147" t="n">
        <v>0</v>
      </c>
      <c r="O4147" t="n">
        <v>0</v>
      </c>
      <c r="P4147" t="n">
        <v>0</v>
      </c>
      <c r="Q4147" t="n">
        <v>0</v>
      </c>
      <c r="R4147" s="2" t="inlineStr"/>
    </row>
    <row r="4148" ht="15" customHeight="1">
      <c r="A4148" t="inlineStr">
        <is>
          <t>A 10471-2021</t>
        </is>
      </c>
      <c r="B4148" s="1" t="n">
        <v>44257</v>
      </c>
      <c r="C4148" s="1" t="n">
        <v>45204</v>
      </c>
      <c r="D4148" t="inlineStr">
        <is>
          <t>VÄSTERBOTTENS LÄN</t>
        </is>
      </c>
      <c r="E4148" t="inlineStr">
        <is>
          <t>SKELLEFTEÅ</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10560-2021</t>
        </is>
      </c>
      <c r="B4149" s="1" t="n">
        <v>44258</v>
      </c>
      <c r="C4149" s="1" t="n">
        <v>45204</v>
      </c>
      <c r="D4149" t="inlineStr">
        <is>
          <t>VÄSTERBOTTENS LÄN</t>
        </is>
      </c>
      <c r="E4149" t="inlineStr">
        <is>
          <t>VINDELN</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10636-2021</t>
        </is>
      </c>
      <c r="B4150" s="1" t="n">
        <v>44258</v>
      </c>
      <c r="C4150" s="1" t="n">
        <v>45204</v>
      </c>
      <c r="D4150" t="inlineStr">
        <is>
          <t>VÄSTERBOTTENS LÄN</t>
        </is>
      </c>
      <c r="E4150" t="inlineStr">
        <is>
          <t>STORUMAN</t>
        </is>
      </c>
      <c r="G4150" t="n">
        <v>0.3</v>
      </c>
      <c r="H4150" t="n">
        <v>0</v>
      </c>
      <c r="I4150" t="n">
        <v>0</v>
      </c>
      <c r="J4150" t="n">
        <v>0</v>
      </c>
      <c r="K4150" t="n">
        <v>0</v>
      </c>
      <c r="L4150" t="n">
        <v>0</v>
      </c>
      <c r="M4150" t="n">
        <v>0</v>
      </c>
      <c r="N4150" t="n">
        <v>0</v>
      </c>
      <c r="O4150" t="n">
        <v>0</v>
      </c>
      <c r="P4150" t="n">
        <v>0</v>
      </c>
      <c r="Q4150" t="n">
        <v>0</v>
      </c>
      <c r="R4150" s="2" t="inlineStr"/>
    </row>
    <row r="4151" ht="15" customHeight="1">
      <c r="A4151" t="inlineStr">
        <is>
          <t>A 10569-2021</t>
        </is>
      </c>
      <c r="B4151" s="1" t="n">
        <v>44258</v>
      </c>
      <c r="C4151" s="1" t="n">
        <v>45204</v>
      </c>
      <c r="D4151" t="inlineStr">
        <is>
          <t>VÄSTERBOTTENS LÄN</t>
        </is>
      </c>
      <c r="E4151" t="inlineStr">
        <is>
          <t>SORSELE</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10591-2021</t>
        </is>
      </c>
      <c r="B4152" s="1" t="n">
        <v>44258</v>
      </c>
      <c r="C4152" s="1" t="n">
        <v>45204</v>
      </c>
      <c r="D4152" t="inlineStr">
        <is>
          <t>VÄSTERBOTTENS LÄN</t>
        </is>
      </c>
      <c r="E4152" t="inlineStr">
        <is>
          <t>NORDMALING</t>
        </is>
      </c>
      <c r="G4152" t="n">
        <v>0.8</v>
      </c>
      <c r="H4152" t="n">
        <v>0</v>
      </c>
      <c r="I4152" t="n">
        <v>0</v>
      </c>
      <c r="J4152" t="n">
        <v>0</v>
      </c>
      <c r="K4152" t="n">
        <v>0</v>
      </c>
      <c r="L4152" t="n">
        <v>0</v>
      </c>
      <c r="M4152" t="n">
        <v>0</v>
      </c>
      <c r="N4152" t="n">
        <v>0</v>
      </c>
      <c r="O4152" t="n">
        <v>0</v>
      </c>
      <c r="P4152" t="n">
        <v>0</v>
      </c>
      <c r="Q4152" t="n">
        <v>0</v>
      </c>
      <c r="R4152" s="2" t="inlineStr"/>
    </row>
    <row r="4153" ht="15" customHeight="1">
      <c r="A4153" t="inlineStr">
        <is>
          <t>A 10595-2021</t>
        </is>
      </c>
      <c r="B4153" s="1" t="n">
        <v>44258</v>
      </c>
      <c r="C4153" s="1" t="n">
        <v>45204</v>
      </c>
      <c r="D4153" t="inlineStr">
        <is>
          <t>VÄSTERBOTTENS LÄN</t>
        </is>
      </c>
      <c r="E4153" t="inlineStr">
        <is>
          <t>NORDMALING</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11087-2021</t>
        </is>
      </c>
      <c r="B4154" s="1" t="n">
        <v>44259</v>
      </c>
      <c r="C4154" s="1" t="n">
        <v>45204</v>
      </c>
      <c r="D4154" t="inlineStr">
        <is>
          <t>VÄSTERBOTTENS LÄN</t>
        </is>
      </c>
      <c r="E4154" t="inlineStr">
        <is>
          <t>SKELLEFTEÅ</t>
        </is>
      </c>
      <c r="G4154" t="n">
        <v>4.6</v>
      </c>
      <c r="H4154" t="n">
        <v>0</v>
      </c>
      <c r="I4154" t="n">
        <v>0</v>
      </c>
      <c r="J4154" t="n">
        <v>0</v>
      </c>
      <c r="K4154" t="n">
        <v>0</v>
      </c>
      <c r="L4154" t="n">
        <v>0</v>
      </c>
      <c r="M4154" t="n">
        <v>0</v>
      </c>
      <c r="N4154" t="n">
        <v>0</v>
      </c>
      <c r="O4154" t="n">
        <v>0</v>
      </c>
      <c r="P4154" t="n">
        <v>0</v>
      </c>
      <c r="Q4154" t="n">
        <v>0</v>
      </c>
      <c r="R4154" s="2" t="inlineStr"/>
    </row>
    <row r="4155" ht="15" customHeight="1">
      <c r="A4155" t="inlineStr">
        <is>
          <t>A 11102-2021</t>
        </is>
      </c>
      <c r="B4155" s="1" t="n">
        <v>44259</v>
      </c>
      <c r="C4155" s="1" t="n">
        <v>45204</v>
      </c>
      <c r="D4155" t="inlineStr">
        <is>
          <t>VÄSTERBOTTENS LÄN</t>
        </is>
      </c>
      <c r="E4155" t="inlineStr">
        <is>
          <t>SKELLEFTEÅ</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11114-2021</t>
        </is>
      </c>
      <c r="B4156" s="1" t="n">
        <v>44260</v>
      </c>
      <c r="C4156" s="1" t="n">
        <v>45204</v>
      </c>
      <c r="D4156" t="inlineStr">
        <is>
          <t>VÄSTERBOTTENS LÄN</t>
        </is>
      </c>
      <c r="E4156" t="inlineStr">
        <is>
          <t>STORUMAN</t>
        </is>
      </c>
      <c r="G4156" t="n">
        <v>3.3</v>
      </c>
      <c r="H4156" t="n">
        <v>0</v>
      </c>
      <c r="I4156" t="n">
        <v>0</v>
      </c>
      <c r="J4156" t="n">
        <v>0</v>
      </c>
      <c r="K4156" t="n">
        <v>0</v>
      </c>
      <c r="L4156" t="n">
        <v>0</v>
      </c>
      <c r="M4156" t="n">
        <v>0</v>
      </c>
      <c r="N4156" t="n">
        <v>0</v>
      </c>
      <c r="O4156" t="n">
        <v>0</v>
      </c>
      <c r="P4156" t="n">
        <v>0</v>
      </c>
      <c r="Q4156" t="n">
        <v>0</v>
      </c>
      <c r="R4156" s="2" t="inlineStr"/>
    </row>
    <row r="4157" ht="15" customHeight="1">
      <c r="A4157" t="inlineStr">
        <is>
          <t>A 11461-2021</t>
        </is>
      </c>
      <c r="B4157" s="1" t="n">
        <v>44263</v>
      </c>
      <c r="C4157" s="1" t="n">
        <v>45204</v>
      </c>
      <c r="D4157" t="inlineStr">
        <is>
          <t>VÄSTERBOTTENS LÄN</t>
        </is>
      </c>
      <c r="E4157" t="inlineStr">
        <is>
          <t>ROBERTSFORS</t>
        </is>
      </c>
      <c r="G4157" t="n">
        <v>3.5</v>
      </c>
      <c r="H4157" t="n">
        <v>0</v>
      </c>
      <c r="I4157" t="n">
        <v>0</v>
      </c>
      <c r="J4157" t="n">
        <v>0</v>
      </c>
      <c r="K4157" t="n">
        <v>0</v>
      </c>
      <c r="L4157" t="n">
        <v>0</v>
      </c>
      <c r="M4157" t="n">
        <v>0</v>
      </c>
      <c r="N4157" t="n">
        <v>0</v>
      </c>
      <c r="O4157" t="n">
        <v>0</v>
      </c>
      <c r="P4157" t="n">
        <v>0</v>
      </c>
      <c r="Q4157" t="n">
        <v>0</v>
      </c>
      <c r="R4157" s="2" t="inlineStr"/>
    </row>
    <row r="4158" ht="15" customHeight="1">
      <c r="A4158" t="inlineStr">
        <is>
          <t>A 11409-2021</t>
        </is>
      </c>
      <c r="B4158" s="1" t="n">
        <v>44263</v>
      </c>
      <c r="C4158" s="1" t="n">
        <v>45204</v>
      </c>
      <c r="D4158" t="inlineStr">
        <is>
          <t>VÄSTERBOTTENS LÄN</t>
        </is>
      </c>
      <c r="E4158" t="inlineStr">
        <is>
          <t>SKELLEFTEÅ</t>
        </is>
      </c>
      <c r="G4158" t="n">
        <v>6</v>
      </c>
      <c r="H4158" t="n">
        <v>0</v>
      </c>
      <c r="I4158" t="n">
        <v>0</v>
      </c>
      <c r="J4158" t="n">
        <v>0</v>
      </c>
      <c r="K4158" t="n">
        <v>0</v>
      </c>
      <c r="L4158" t="n">
        <v>0</v>
      </c>
      <c r="M4158" t="n">
        <v>0</v>
      </c>
      <c r="N4158" t="n">
        <v>0</v>
      </c>
      <c r="O4158" t="n">
        <v>0</v>
      </c>
      <c r="P4158" t="n">
        <v>0</v>
      </c>
      <c r="Q4158" t="n">
        <v>0</v>
      </c>
      <c r="R4158" s="2" t="inlineStr"/>
    </row>
    <row r="4159" ht="15" customHeight="1">
      <c r="A4159" t="inlineStr">
        <is>
          <t>A 11454-2021</t>
        </is>
      </c>
      <c r="B4159" s="1" t="n">
        <v>44264</v>
      </c>
      <c r="C4159" s="1" t="n">
        <v>45204</v>
      </c>
      <c r="D4159" t="inlineStr">
        <is>
          <t>VÄSTERBOTTENS LÄN</t>
        </is>
      </c>
      <c r="E4159" t="inlineStr">
        <is>
          <t>SKELLEFTEÅ</t>
        </is>
      </c>
      <c r="G4159" t="n">
        <v>14.6</v>
      </c>
      <c r="H4159" t="n">
        <v>0</v>
      </c>
      <c r="I4159" t="n">
        <v>0</v>
      </c>
      <c r="J4159" t="n">
        <v>0</v>
      </c>
      <c r="K4159" t="n">
        <v>0</v>
      </c>
      <c r="L4159" t="n">
        <v>0</v>
      </c>
      <c r="M4159" t="n">
        <v>0</v>
      </c>
      <c r="N4159" t="n">
        <v>0</v>
      </c>
      <c r="O4159" t="n">
        <v>0</v>
      </c>
      <c r="P4159" t="n">
        <v>0</v>
      </c>
      <c r="Q4159" t="n">
        <v>0</v>
      </c>
      <c r="R4159" s="2" t="inlineStr"/>
    </row>
    <row r="4160" ht="15" customHeight="1">
      <c r="A4160" t="inlineStr">
        <is>
          <t>A 11544-2021</t>
        </is>
      </c>
      <c r="B4160" s="1" t="n">
        <v>44264</v>
      </c>
      <c r="C4160" s="1" t="n">
        <v>45204</v>
      </c>
      <c r="D4160" t="inlineStr">
        <is>
          <t>VÄSTERBOTTENS LÄN</t>
        </is>
      </c>
      <c r="E4160" t="inlineStr">
        <is>
          <t>VINDELN</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11989-2021</t>
        </is>
      </c>
      <c r="B4161" s="1" t="n">
        <v>44265</v>
      </c>
      <c r="C4161" s="1" t="n">
        <v>45204</v>
      </c>
      <c r="D4161" t="inlineStr">
        <is>
          <t>VÄSTERBOTTENS LÄN</t>
        </is>
      </c>
      <c r="E4161" t="inlineStr">
        <is>
          <t>VÄNNÄS</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11759-2021</t>
        </is>
      </c>
      <c r="B4162" s="1" t="n">
        <v>44265</v>
      </c>
      <c r="C4162" s="1" t="n">
        <v>45204</v>
      </c>
      <c r="D4162" t="inlineStr">
        <is>
          <t>VÄSTERBOTTENS LÄN</t>
        </is>
      </c>
      <c r="E4162" t="inlineStr">
        <is>
          <t>NORDMALING</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12077-2021</t>
        </is>
      </c>
      <c r="B4163" s="1" t="n">
        <v>44266</v>
      </c>
      <c r="C4163" s="1" t="n">
        <v>45204</v>
      </c>
      <c r="D4163" t="inlineStr">
        <is>
          <t>VÄSTERBOTTENS LÄN</t>
        </is>
      </c>
      <c r="E4163" t="inlineStr">
        <is>
          <t>NORDMALING</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12321-2021</t>
        </is>
      </c>
      <c r="B4164" s="1" t="n">
        <v>44266</v>
      </c>
      <c r="C4164" s="1" t="n">
        <v>45204</v>
      </c>
      <c r="D4164" t="inlineStr">
        <is>
          <t>VÄSTERBOTTENS LÄN</t>
        </is>
      </c>
      <c r="E4164" t="inlineStr">
        <is>
          <t>STORUMAN</t>
        </is>
      </c>
      <c r="G4164" t="n">
        <v>8</v>
      </c>
      <c r="H4164" t="n">
        <v>0</v>
      </c>
      <c r="I4164" t="n">
        <v>0</v>
      </c>
      <c r="J4164" t="n">
        <v>0</v>
      </c>
      <c r="K4164" t="n">
        <v>0</v>
      </c>
      <c r="L4164" t="n">
        <v>0</v>
      </c>
      <c r="M4164" t="n">
        <v>0</v>
      </c>
      <c r="N4164" t="n">
        <v>0</v>
      </c>
      <c r="O4164" t="n">
        <v>0</v>
      </c>
      <c r="P4164" t="n">
        <v>0</v>
      </c>
      <c r="Q4164" t="n">
        <v>0</v>
      </c>
      <c r="R4164" s="2" t="inlineStr"/>
    </row>
    <row r="4165" ht="15" customHeight="1">
      <c r="A4165" t="inlineStr">
        <is>
          <t>A 11980-2021</t>
        </is>
      </c>
      <c r="B4165" s="1" t="n">
        <v>44266</v>
      </c>
      <c r="C4165" s="1" t="n">
        <v>45204</v>
      </c>
      <c r="D4165" t="inlineStr">
        <is>
          <t>VÄSTERBOTTENS LÄN</t>
        </is>
      </c>
      <c r="E4165" t="inlineStr">
        <is>
          <t>VILHELMINA</t>
        </is>
      </c>
      <c r="F4165" t="inlineStr">
        <is>
          <t>Allmännings- och besparingsskogar</t>
        </is>
      </c>
      <c r="G4165" t="n">
        <v>4.1</v>
      </c>
      <c r="H4165" t="n">
        <v>0</v>
      </c>
      <c r="I4165" t="n">
        <v>0</v>
      </c>
      <c r="J4165" t="n">
        <v>0</v>
      </c>
      <c r="K4165" t="n">
        <v>0</v>
      </c>
      <c r="L4165" t="n">
        <v>0</v>
      </c>
      <c r="M4165" t="n">
        <v>0</v>
      </c>
      <c r="N4165" t="n">
        <v>0</v>
      </c>
      <c r="O4165" t="n">
        <v>0</v>
      </c>
      <c r="P4165" t="n">
        <v>0</v>
      </c>
      <c r="Q4165" t="n">
        <v>0</v>
      </c>
      <c r="R4165" s="2" t="inlineStr"/>
    </row>
    <row r="4166" ht="15" customHeight="1">
      <c r="A4166" t="inlineStr">
        <is>
          <t>A 12314-2021</t>
        </is>
      </c>
      <c r="B4166" s="1" t="n">
        <v>44266</v>
      </c>
      <c r="C4166" s="1" t="n">
        <v>45204</v>
      </c>
      <c r="D4166" t="inlineStr">
        <is>
          <t>VÄSTERBOTTENS LÄN</t>
        </is>
      </c>
      <c r="E4166" t="inlineStr">
        <is>
          <t>STORUMAN</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12510-2021</t>
        </is>
      </c>
      <c r="B4167" s="1" t="n">
        <v>44268</v>
      </c>
      <c r="C4167" s="1" t="n">
        <v>45204</v>
      </c>
      <c r="D4167" t="inlineStr">
        <is>
          <t>VÄSTERBOTTENS LÄN</t>
        </is>
      </c>
      <c r="E4167" t="inlineStr">
        <is>
          <t>STORUMAN</t>
        </is>
      </c>
      <c r="G4167" t="n">
        <v>11.4</v>
      </c>
      <c r="H4167" t="n">
        <v>0</v>
      </c>
      <c r="I4167" t="n">
        <v>0</v>
      </c>
      <c r="J4167" t="n">
        <v>0</v>
      </c>
      <c r="K4167" t="n">
        <v>0</v>
      </c>
      <c r="L4167" t="n">
        <v>0</v>
      </c>
      <c r="M4167" t="n">
        <v>0</v>
      </c>
      <c r="N4167" t="n">
        <v>0</v>
      </c>
      <c r="O4167" t="n">
        <v>0</v>
      </c>
      <c r="P4167" t="n">
        <v>0</v>
      </c>
      <c r="Q4167" t="n">
        <v>0</v>
      </c>
      <c r="R4167" s="2" t="inlineStr"/>
    </row>
    <row r="4168" ht="15" customHeight="1">
      <c r="A4168" t="inlineStr">
        <is>
          <t>A 12896-2021</t>
        </is>
      </c>
      <c r="B4168" s="1" t="n">
        <v>44270</v>
      </c>
      <c r="C4168" s="1" t="n">
        <v>45204</v>
      </c>
      <c r="D4168" t="inlineStr">
        <is>
          <t>VÄSTERBOTTENS LÄN</t>
        </is>
      </c>
      <c r="E4168" t="inlineStr">
        <is>
          <t>STORUMAN</t>
        </is>
      </c>
      <c r="G4168" t="n">
        <v>19.9</v>
      </c>
      <c r="H4168" t="n">
        <v>0</v>
      </c>
      <c r="I4168" t="n">
        <v>0</v>
      </c>
      <c r="J4168" t="n">
        <v>0</v>
      </c>
      <c r="K4168" t="n">
        <v>0</v>
      </c>
      <c r="L4168" t="n">
        <v>0</v>
      </c>
      <c r="M4168" t="n">
        <v>0</v>
      </c>
      <c r="N4168" t="n">
        <v>0</v>
      </c>
      <c r="O4168" t="n">
        <v>0</v>
      </c>
      <c r="P4168" t="n">
        <v>0</v>
      </c>
      <c r="Q4168" t="n">
        <v>0</v>
      </c>
      <c r="R4168" s="2" t="inlineStr"/>
    </row>
    <row r="4169" ht="15" customHeight="1">
      <c r="A4169" t="inlineStr">
        <is>
          <t>A 12811-2021</t>
        </is>
      </c>
      <c r="B4169" s="1" t="n">
        <v>44270</v>
      </c>
      <c r="C4169" s="1" t="n">
        <v>45204</v>
      </c>
      <c r="D4169" t="inlineStr">
        <is>
          <t>VÄSTERBOTTENS LÄN</t>
        </is>
      </c>
      <c r="E4169" t="inlineStr">
        <is>
          <t>VINDELN</t>
        </is>
      </c>
      <c r="G4169" t="n">
        <v>1.4</v>
      </c>
      <c r="H4169" t="n">
        <v>0</v>
      </c>
      <c r="I4169" t="n">
        <v>0</v>
      </c>
      <c r="J4169" t="n">
        <v>0</v>
      </c>
      <c r="K4169" t="n">
        <v>0</v>
      </c>
      <c r="L4169" t="n">
        <v>0</v>
      </c>
      <c r="M4169" t="n">
        <v>0</v>
      </c>
      <c r="N4169" t="n">
        <v>0</v>
      </c>
      <c r="O4169" t="n">
        <v>0</v>
      </c>
      <c r="P4169" t="n">
        <v>0</v>
      </c>
      <c r="Q4169" t="n">
        <v>0</v>
      </c>
      <c r="R4169" s="2" t="inlineStr"/>
    </row>
    <row r="4170" ht="15" customHeight="1">
      <c r="A4170" t="inlineStr">
        <is>
          <t>A 12877-2021</t>
        </is>
      </c>
      <c r="B4170" s="1" t="n">
        <v>44270</v>
      </c>
      <c r="C4170" s="1" t="n">
        <v>45204</v>
      </c>
      <c r="D4170" t="inlineStr">
        <is>
          <t>VÄSTERBOTTENS LÄN</t>
        </is>
      </c>
      <c r="E4170" t="inlineStr">
        <is>
          <t>STORUMAN</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12928-2021</t>
        </is>
      </c>
      <c r="B4171" s="1" t="n">
        <v>44270</v>
      </c>
      <c r="C4171" s="1" t="n">
        <v>45204</v>
      </c>
      <c r="D4171" t="inlineStr">
        <is>
          <t>VÄSTERBOTTENS LÄN</t>
        </is>
      </c>
      <c r="E4171" t="inlineStr">
        <is>
          <t>SKELLEFTEÅ</t>
        </is>
      </c>
      <c r="G4171" t="n">
        <v>17.8</v>
      </c>
      <c r="H4171" t="n">
        <v>0</v>
      </c>
      <c r="I4171" t="n">
        <v>0</v>
      </c>
      <c r="J4171" t="n">
        <v>0</v>
      </c>
      <c r="K4171" t="n">
        <v>0</v>
      </c>
      <c r="L4171" t="n">
        <v>0</v>
      </c>
      <c r="M4171" t="n">
        <v>0</v>
      </c>
      <c r="N4171" t="n">
        <v>0</v>
      </c>
      <c r="O4171" t="n">
        <v>0</v>
      </c>
      <c r="P4171" t="n">
        <v>0</v>
      </c>
      <c r="Q4171" t="n">
        <v>0</v>
      </c>
      <c r="R4171" s="2" t="inlineStr"/>
    </row>
    <row r="4172" ht="15" customHeight="1">
      <c r="A4172" t="inlineStr">
        <is>
          <t>A 13059-2021</t>
        </is>
      </c>
      <c r="B4172" s="1" t="n">
        <v>44271</v>
      </c>
      <c r="C4172" s="1" t="n">
        <v>45204</v>
      </c>
      <c r="D4172" t="inlineStr">
        <is>
          <t>VÄSTERBOTTENS LÄN</t>
        </is>
      </c>
      <c r="E4172" t="inlineStr">
        <is>
          <t>DOROTEA</t>
        </is>
      </c>
      <c r="G4172" t="n">
        <v>1.2</v>
      </c>
      <c r="H4172" t="n">
        <v>0</v>
      </c>
      <c r="I4172" t="n">
        <v>0</v>
      </c>
      <c r="J4172" t="n">
        <v>0</v>
      </c>
      <c r="K4172" t="n">
        <v>0</v>
      </c>
      <c r="L4172" t="n">
        <v>0</v>
      </c>
      <c r="M4172" t="n">
        <v>0</v>
      </c>
      <c r="N4172" t="n">
        <v>0</v>
      </c>
      <c r="O4172" t="n">
        <v>0</v>
      </c>
      <c r="P4172" t="n">
        <v>0</v>
      </c>
      <c r="Q4172" t="n">
        <v>0</v>
      </c>
      <c r="R4172" s="2" t="inlineStr"/>
    </row>
    <row r="4173" ht="15" customHeight="1">
      <c r="A4173" t="inlineStr">
        <is>
          <t>A 13146-2021</t>
        </is>
      </c>
      <c r="B4173" s="1" t="n">
        <v>44271</v>
      </c>
      <c r="C4173" s="1" t="n">
        <v>45204</v>
      </c>
      <c r="D4173" t="inlineStr">
        <is>
          <t>VÄSTERBOTTENS LÄN</t>
        </is>
      </c>
      <c r="E4173" t="inlineStr">
        <is>
          <t>MALÅ</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13086-2021</t>
        </is>
      </c>
      <c r="B4174" s="1" t="n">
        <v>44271</v>
      </c>
      <c r="C4174" s="1" t="n">
        <v>45204</v>
      </c>
      <c r="D4174" t="inlineStr">
        <is>
          <t>VÄSTERBOTTENS LÄN</t>
        </is>
      </c>
      <c r="E4174" t="inlineStr">
        <is>
          <t>SKELLEFTEÅ</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13334-2021</t>
        </is>
      </c>
      <c r="B4175" s="1" t="n">
        <v>44272</v>
      </c>
      <c r="C4175" s="1" t="n">
        <v>45204</v>
      </c>
      <c r="D4175" t="inlineStr">
        <is>
          <t>VÄSTERBOTTENS LÄN</t>
        </is>
      </c>
      <c r="E4175" t="inlineStr">
        <is>
          <t>SORSELE</t>
        </is>
      </c>
      <c r="G4175" t="n">
        <v>19.4</v>
      </c>
      <c r="H4175" t="n">
        <v>0</v>
      </c>
      <c r="I4175" t="n">
        <v>0</v>
      </c>
      <c r="J4175" t="n">
        <v>0</v>
      </c>
      <c r="K4175" t="n">
        <v>0</v>
      </c>
      <c r="L4175" t="n">
        <v>0</v>
      </c>
      <c r="M4175" t="n">
        <v>0</v>
      </c>
      <c r="N4175" t="n">
        <v>0</v>
      </c>
      <c r="O4175" t="n">
        <v>0</v>
      </c>
      <c r="P4175" t="n">
        <v>0</v>
      </c>
      <c r="Q4175" t="n">
        <v>0</v>
      </c>
      <c r="R4175" s="2" t="inlineStr"/>
    </row>
    <row r="4176" ht="15" customHeight="1">
      <c r="A4176" t="inlineStr">
        <is>
          <t>A 13568-2021</t>
        </is>
      </c>
      <c r="B4176" s="1" t="n">
        <v>44273</v>
      </c>
      <c r="C4176" s="1" t="n">
        <v>45204</v>
      </c>
      <c r="D4176" t="inlineStr">
        <is>
          <t>VÄSTERBOTTENS LÄN</t>
        </is>
      </c>
      <c r="E4176" t="inlineStr">
        <is>
          <t>STORUMAN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13565-2021</t>
        </is>
      </c>
      <c r="B4177" s="1" t="n">
        <v>44273</v>
      </c>
      <c r="C4177" s="1" t="n">
        <v>45204</v>
      </c>
      <c r="D4177" t="inlineStr">
        <is>
          <t>VÄSTERBOTTENS LÄN</t>
        </is>
      </c>
      <c r="E4177" t="inlineStr">
        <is>
          <t>STORUMAN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13729-2021</t>
        </is>
      </c>
      <c r="B4178" s="1" t="n">
        <v>44274</v>
      </c>
      <c r="C4178" s="1" t="n">
        <v>45204</v>
      </c>
      <c r="D4178" t="inlineStr">
        <is>
          <t>VÄSTERBOTTENS LÄN</t>
        </is>
      </c>
      <c r="E4178" t="inlineStr">
        <is>
          <t>SKELLEFTEÅ</t>
        </is>
      </c>
      <c r="G4178" t="n">
        <v>7.6</v>
      </c>
      <c r="H4178" t="n">
        <v>0</v>
      </c>
      <c r="I4178" t="n">
        <v>0</v>
      </c>
      <c r="J4178" t="n">
        <v>0</v>
      </c>
      <c r="K4178" t="n">
        <v>0</v>
      </c>
      <c r="L4178" t="n">
        <v>0</v>
      </c>
      <c r="M4178" t="n">
        <v>0</v>
      </c>
      <c r="N4178" t="n">
        <v>0</v>
      </c>
      <c r="O4178" t="n">
        <v>0</v>
      </c>
      <c r="P4178" t="n">
        <v>0</v>
      </c>
      <c r="Q4178" t="n">
        <v>0</v>
      </c>
      <c r="R4178" s="2" t="inlineStr"/>
    </row>
    <row r="4179" ht="15" customHeight="1">
      <c r="A4179" t="inlineStr">
        <is>
          <t>A 13783-2021</t>
        </is>
      </c>
      <c r="B4179" s="1" t="n">
        <v>44274</v>
      </c>
      <c r="C4179" s="1" t="n">
        <v>45204</v>
      </c>
      <c r="D4179" t="inlineStr">
        <is>
          <t>VÄSTERBOTTENS LÄN</t>
        </is>
      </c>
      <c r="E4179" t="inlineStr">
        <is>
          <t>NORSJÖ</t>
        </is>
      </c>
      <c r="G4179" t="n">
        <v>4.6</v>
      </c>
      <c r="H4179" t="n">
        <v>0</v>
      </c>
      <c r="I4179" t="n">
        <v>0</v>
      </c>
      <c r="J4179" t="n">
        <v>0</v>
      </c>
      <c r="K4179" t="n">
        <v>0</v>
      </c>
      <c r="L4179" t="n">
        <v>0</v>
      </c>
      <c r="M4179" t="n">
        <v>0</v>
      </c>
      <c r="N4179" t="n">
        <v>0</v>
      </c>
      <c r="O4179" t="n">
        <v>0</v>
      </c>
      <c r="P4179" t="n">
        <v>0</v>
      </c>
      <c r="Q4179" t="n">
        <v>0</v>
      </c>
      <c r="R4179" s="2" t="inlineStr"/>
    </row>
    <row r="4180" ht="15" customHeight="1">
      <c r="A4180" t="inlineStr">
        <is>
          <t>A 13745-2021</t>
        </is>
      </c>
      <c r="B4180" s="1" t="n">
        <v>44274</v>
      </c>
      <c r="C4180" s="1" t="n">
        <v>45204</v>
      </c>
      <c r="D4180" t="inlineStr">
        <is>
          <t>VÄSTERBOTTENS LÄN</t>
        </is>
      </c>
      <c r="E4180" t="inlineStr">
        <is>
          <t>UMEÅ</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13955-2021</t>
        </is>
      </c>
      <c r="B4181" s="1" t="n">
        <v>44277</v>
      </c>
      <c r="C4181" s="1" t="n">
        <v>45204</v>
      </c>
      <c r="D4181" t="inlineStr">
        <is>
          <t>VÄSTERBOTTENS LÄN</t>
        </is>
      </c>
      <c r="E4181" t="inlineStr">
        <is>
          <t>LYCKSELE</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13903-2021</t>
        </is>
      </c>
      <c r="B4182" s="1" t="n">
        <v>44277</v>
      </c>
      <c r="C4182" s="1" t="n">
        <v>45204</v>
      </c>
      <c r="D4182" t="inlineStr">
        <is>
          <t>VÄSTERBOTTENS LÄN</t>
        </is>
      </c>
      <c r="E4182" t="inlineStr">
        <is>
          <t>LYCKSELE</t>
        </is>
      </c>
      <c r="G4182" t="n">
        <v>1.4</v>
      </c>
      <c r="H4182" t="n">
        <v>0</v>
      </c>
      <c r="I4182" t="n">
        <v>0</v>
      </c>
      <c r="J4182" t="n">
        <v>0</v>
      </c>
      <c r="K4182" t="n">
        <v>0</v>
      </c>
      <c r="L4182" t="n">
        <v>0</v>
      </c>
      <c r="M4182" t="n">
        <v>0</v>
      </c>
      <c r="N4182" t="n">
        <v>0</v>
      </c>
      <c r="O4182" t="n">
        <v>0</v>
      </c>
      <c r="P4182" t="n">
        <v>0</v>
      </c>
      <c r="Q4182" t="n">
        <v>0</v>
      </c>
      <c r="R4182" s="2" t="inlineStr"/>
    </row>
    <row r="4183" ht="15" customHeight="1">
      <c r="A4183" t="inlineStr">
        <is>
          <t>A 14003-2021</t>
        </is>
      </c>
      <c r="B4183" s="1" t="n">
        <v>44277</v>
      </c>
      <c r="C4183" s="1" t="n">
        <v>45204</v>
      </c>
      <c r="D4183" t="inlineStr">
        <is>
          <t>VÄSTERBOTTENS LÄN</t>
        </is>
      </c>
      <c r="E4183" t="inlineStr">
        <is>
          <t>SORSELE</t>
        </is>
      </c>
      <c r="G4183" t="n">
        <v>6.5</v>
      </c>
      <c r="H4183" t="n">
        <v>0</v>
      </c>
      <c r="I4183" t="n">
        <v>0</v>
      </c>
      <c r="J4183" t="n">
        <v>0</v>
      </c>
      <c r="K4183" t="n">
        <v>0</v>
      </c>
      <c r="L4183" t="n">
        <v>0</v>
      </c>
      <c r="M4183" t="n">
        <v>0</v>
      </c>
      <c r="N4183" t="n">
        <v>0</v>
      </c>
      <c r="O4183" t="n">
        <v>0</v>
      </c>
      <c r="P4183" t="n">
        <v>0</v>
      </c>
      <c r="Q4183" t="n">
        <v>0</v>
      </c>
      <c r="R4183" s="2" t="inlineStr"/>
    </row>
    <row r="4184" ht="15" customHeight="1">
      <c r="A4184" t="inlineStr">
        <is>
          <t>A 13911-2021</t>
        </is>
      </c>
      <c r="B4184" s="1" t="n">
        <v>44277</v>
      </c>
      <c r="C4184" s="1" t="n">
        <v>45204</v>
      </c>
      <c r="D4184" t="inlineStr">
        <is>
          <t>VÄSTERBOTTENS LÄN</t>
        </is>
      </c>
      <c r="E4184" t="inlineStr">
        <is>
          <t>LYCKSELE</t>
        </is>
      </c>
      <c r="G4184" t="n">
        <v>6.8</v>
      </c>
      <c r="H4184" t="n">
        <v>0</v>
      </c>
      <c r="I4184" t="n">
        <v>0</v>
      </c>
      <c r="J4184" t="n">
        <v>0</v>
      </c>
      <c r="K4184" t="n">
        <v>0</v>
      </c>
      <c r="L4184" t="n">
        <v>0</v>
      </c>
      <c r="M4184" t="n">
        <v>0</v>
      </c>
      <c r="N4184" t="n">
        <v>0</v>
      </c>
      <c r="O4184" t="n">
        <v>0</v>
      </c>
      <c r="P4184" t="n">
        <v>0</v>
      </c>
      <c r="Q4184" t="n">
        <v>0</v>
      </c>
      <c r="R4184" s="2" t="inlineStr"/>
    </row>
    <row r="4185" ht="15" customHeight="1">
      <c r="A4185" t="inlineStr">
        <is>
          <t>A 13924-2021</t>
        </is>
      </c>
      <c r="B4185" s="1" t="n">
        <v>44277</v>
      </c>
      <c r="C4185" s="1" t="n">
        <v>45204</v>
      </c>
      <c r="D4185" t="inlineStr">
        <is>
          <t>VÄSTERBOTTENS LÄN</t>
        </is>
      </c>
      <c r="E4185" t="inlineStr">
        <is>
          <t>LYCKSELE</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13958-2021</t>
        </is>
      </c>
      <c r="B4186" s="1" t="n">
        <v>44277</v>
      </c>
      <c r="C4186" s="1" t="n">
        <v>45204</v>
      </c>
      <c r="D4186" t="inlineStr">
        <is>
          <t>VÄSTERBOTTENS LÄN</t>
        </is>
      </c>
      <c r="E4186" t="inlineStr">
        <is>
          <t>ROBERTSFORS</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13983-2021</t>
        </is>
      </c>
      <c r="B4187" s="1" t="n">
        <v>44277</v>
      </c>
      <c r="C4187" s="1" t="n">
        <v>45204</v>
      </c>
      <c r="D4187" t="inlineStr">
        <is>
          <t>VÄSTERBOTTENS LÄN</t>
        </is>
      </c>
      <c r="E4187" t="inlineStr">
        <is>
          <t>ROBERTSFORS</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14540-2021</t>
        </is>
      </c>
      <c r="B4188" s="1" t="n">
        <v>44279</v>
      </c>
      <c r="C4188" s="1" t="n">
        <v>45204</v>
      </c>
      <c r="D4188" t="inlineStr">
        <is>
          <t>VÄSTERBOTTENS LÄN</t>
        </is>
      </c>
      <c r="E4188" t="inlineStr">
        <is>
          <t>BJURHOLM</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14389-2021</t>
        </is>
      </c>
      <c r="B4189" s="1" t="n">
        <v>44279</v>
      </c>
      <c r="C4189" s="1" t="n">
        <v>45204</v>
      </c>
      <c r="D4189" t="inlineStr">
        <is>
          <t>VÄSTERBOTTENS LÄN</t>
        </is>
      </c>
      <c r="E4189" t="inlineStr">
        <is>
          <t>STORUMAN</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14865-2021</t>
        </is>
      </c>
      <c r="B4190" s="1" t="n">
        <v>44280</v>
      </c>
      <c r="C4190" s="1" t="n">
        <v>45204</v>
      </c>
      <c r="D4190" t="inlineStr">
        <is>
          <t>VÄSTERBOTTENS LÄN</t>
        </is>
      </c>
      <c r="E4190" t="inlineStr">
        <is>
          <t>SKELLEFTEÅ</t>
        </is>
      </c>
      <c r="F4190" t="inlineStr">
        <is>
          <t>SCA</t>
        </is>
      </c>
      <c r="G4190" t="n">
        <v>6.6</v>
      </c>
      <c r="H4190" t="n">
        <v>0</v>
      </c>
      <c r="I4190" t="n">
        <v>0</v>
      </c>
      <c r="J4190" t="n">
        <v>0</v>
      </c>
      <c r="K4190" t="n">
        <v>0</v>
      </c>
      <c r="L4190" t="n">
        <v>0</v>
      </c>
      <c r="M4190" t="n">
        <v>0</v>
      </c>
      <c r="N4190" t="n">
        <v>0</v>
      </c>
      <c r="O4190" t="n">
        <v>0</v>
      </c>
      <c r="P4190" t="n">
        <v>0</v>
      </c>
      <c r="Q4190" t="n">
        <v>0</v>
      </c>
      <c r="R4190" s="2" t="inlineStr"/>
    </row>
    <row r="4191" ht="15" customHeight="1">
      <c r="A4191" t="inlineStr">
        <is>
          <t>A 14850-2021</t>
        </is>
      </c>
      <c r="B4191" s="1" t="n">
        <v>44280</v>
      </c>
      <c r="C4191" s="1" t="n">
        <v>45204</v>
      </c>
      <c r="D4191" t="inlineStr">
        <is>
          <t>VÄSTERBOTTENS LÄN</t>
        </is>
      </c>
      <c r="E4191" t="inlineStr">
        <is>
          <t>SKELLEFTEÅ</t>
        </is>
      </c>
      <c r="F4191" t="inlineStr">
        <is>
          <t>SCA</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14867-2021</t>
        </is>
      </c>
      <c r="B4192" s="1" t="n">
        <v>44280</v>
      </c>
      <c r="C4192" s="1" t="n">
        <v>45204</v>
      </c>
      <c r="D4192" t="inlineStr">
        <is>
          <t>VÄSTERBOTTENS LÄN</t>
        </is>
      </c>
      <c r="E4192" t="inlineStr">
        <is>
          <t>BJURHOLM</t>
        </is>
      </c>
      <c r="F4192" t="inlineStr">
        <is>
          <t>SCA</t>
        </is>
      </c>
      <c r="G4192" t="n">
        <v>2.3</v>
      </c>
      <c r="H4192" t="n">
        <v>0</v>
      </c>
      <c r="I4192" t="n">
        <v>0</v>
      </c>
      <c r="J4192" t="n">
        <v>0</v>
      </c>
      <c r="K4192" t="n">
        <v>0</v>
      </c>
      <c r="L4192" t="n">
        <v>0</v>
      </c>
      <c r="M4192" t="n">
        <v>0</v>
      </c>
      <c r="N4192" t="n">
        <v>0</v>
      </c>
      <c r="O4192" t="n">
        <v>0</v>
      </c>
      <c r="P4192" t="n">
        <v>0</v>
      </c>
      <c r="Q4192" t="n">
        <v>0</v>
      </c>
      <c r="R4192" s="2" t="inlineStr"/>
    </row>
    <row r="4193" ht="15" customHeight="1">
      <c r="A4193" t="inlineStr">
        <is>
          <t>A 14857-2021</t>
        </is>
      </c>
      <c r="B4193" s="1" t="n">
        <v>44280</v>
      </c>
      <c r="C4193" s="1" t="n">
        <v>45204</v>
      </c>
      <c r="D4193" t="inlineStr">
        <is>
          <t>VÄSTERBOTTENS LÄN</t>
        </is>
      </c>
      <c r="E4193" t="inlineStr">
        <is>
          <t>SKELLEFTEÅ</t>
        </is>
      </c>
      <c r="F4193" t="inlineStr">
        <is>
          <t>SCA</t>
        </is>
      </c>
      <c r="G4193" t="n">
        <v>3.7</v>
      </c>
      <c r="H4193" t="n">
        <v>0</v>
      </c>
      <c r="I4193" t="n">
        <v>0</v>
      </c>
      <c r="J4193" t="n">
        <v>0</v>
      </c>
      <c r="K4193" t="n">
        <v>0</v>
      </c>
      <c r="L4193" t="n">
        <v>0</v>
      </c>
      <c r="M4193" t="n">
        <v>0</v>
      </c>
      <c r="N4193" t="n">
        <v>0</v>
      </c>
      <c r="O4193" t="n">
        <v>0</v>
      </c>
      <c r="P4193" t="n">
        <v>0</v>
      </c>
      <c r="Q4193" t="n">
        <v>0</v>
      </c>
      <c r="R4193" s="2" t="inlineStr"/>
    </row>
    <row r="4194" ht="15" customHeight="1">
      <c r="A4194" t="inlineStr">
        <is>
          <t>A 15108-2021</t>
        </is>
      </c>
      <c r="B4194" s="1" t="n">
        <v>44281</v>
      </c>
      <c r="C4194" s="1" t="n">
        <v>45204</v>
      </c>
      <c r="D4194" t="inlineStr">
        <is>
          <t>VÄSTERBOTTENS LÄN</t>
        </is>
      </c>
      <c r="E4194" t="inlineStr">
        <is>
          <t>SKELLEFTEÅ</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14939-2021</t>
        </is>
      </c>
      <c r="B4195" s="1" t="n">
        <v>44281</v>
      </c>
      <c r="C4195" s="1" t="n">
        <v>45204</v>
      </c>
      <c r="D4195" t="inlineStr">
        <is>
          <t>VÄSTERBOTTENS LÄN</t>
        </is>
      </c>
      <c r="E4195" t="inlineStr">
        <is>
          <t>VINDELN</t>
        </is>
      </c>
      <c r="G4195" t="n">
        <v>4.9</v>
      </c>
      <c r="H4195" t="n">
        <v>0</v>
      </c>
      <c r="I4195" t="n">
        <v>0</v>
      </c>
      <c r="J4195" t="n">
        <v>0</v>
      </c>
      <c r="K4195" t="n">
        <v>0</v>
      </c>
      <c r="L4195" t="n">
        <v>0</v>
      </c>
      <c r="M4195" t="n">
        <v>0</v>
      </c>
      <c r="N4195" t="n">
        <v>0</v>
      </c>
      <c r="O4195" t="n">
        <v>0</v>
      </c>
      <c r="P4195" t="n">
        <v>0</v>
      </c>
      <c r="Q4195" t="n">
        <v>0</v>
      </c>
      <c r="R4195" s="2" t="inlineStr"/>
    </row>
    <row r="4196" ht="15" customHeight="1">
      <c r="A4196" t="inlineStr">
        <is>
          <t>A 22343-2021</t>
        </is>
      </c>
      <c r="B4196" s="1" t="n">
        <v>44281</v>
      </c>
      <c r="C4196" s="1" t="n">
        <v>45204</v>
      </c>
      <c r="D4196" t="inlineStr">
        <is>
          <t>VÄSTERBOTTENS LÄN</t>
        </is>
      </c>
      <c r="E4196" t="inlineStr">
        <is>
          <t>VINDELN</t>
        </is>
      </c>
      <c r="G4196" t="n">
        <v>8.699999999999999</v>
      </c>
      <c r="H4196" t="n">
        <v>0</v>
      </c>
      <c r="I4196" t="n">
        <v>0</v>
      </c>
      <c r="J4196" t="n">
        <v>0</v>
      </c>
      <c r="K4196" t="n">
        <v>0</v>
      </c>
      <c r="L4196" t="n">
        <v>0</v>
      </c>
      <c r="M4196" t="n">
        <v>0</v>
      </c>
      <c r="N4196" t="n">
        <v>0</v>
      </c>
      <c r="O4196" t="n">
        <v>0</v>
      </c>
      <c r="P4196" t="n">
        <v>0</v>
      </c>
      <c r="Q4196" t="n">
        <v>0</v>
      </c>
      <c r="R4196" s="2" t="inlineStr"/>
    </row>
    <row r="4197" ht="15" customHeight="1">
      <c r="A4197" t="inlineStr">
        <is>
          <t>A 14991-2021</t>
        </is>
      </c>
      <c r="B4197" s="1" t="n">
        <v>44281</v>
      </c>
      <c r="C4197" s="1" t="n">
        <v>45204</v>
      </c>
      <c r="D4197" t="inlineStr">
        <is>
          <t>VÄSTERBOTTENS LÄN</t>
        </is>
      </c>
      <c r="E4197" t="inlineStr">
        <is>
          <t>VINDELN</t>
        </is>
      </c>
      <c r="G4197" t="n">
        <v>1.8</v>
      </c>
      <c r="H4197" t="n">
        <v>0</v>
      </c>
      <c r="I4197" t="n">
        <v>0</v>
      </c>
      <c r="J4197" t="n">
        <v>0</v>
      </c>
      <c r="K4197" t="n">
        <v>0</v>
      </c>
      <c r="L4197" t="n">
        <v>0</v>
      </c>
      <c r="M4197" t="n">
        <v>0</v>
      </c>
      <c r="N4197" t="n">
        <v>0</v>
      </c>
      <c r="O4197" t="n">
        <v>0</v>
      </c>
      <c r="P4197" t="n">
        <v>0</v>
      </c>
      <c r="Q4197" t="n">
        <v>0</v>
      </c>
      <c r="R4197" s="2" t="inlineStr"/>
    </row>
    <row r="4198" ht="15" customHeight="1">
      <c r="A4198" t="inlineStr">
        <is>
          <t>A 15112-2021</t>
        </is>
      </c>
      <c r="B4198" s="1" t="n">
        <v>44282</v>
      </c>
      <c r="C4198" s="1" t="n">
        <v>45204</v>
      </c>
      <c r="D4198" t="inlineStr">
        <is>
          <t>VÄSTERBOTTENS LÄN</t>
        </is>
      </c>
      <c r="E4198" t="inlineStr">
        <is>
          <t>LYCKSELE</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15379-2021</t>
        </is>
      </c>
      <c r="B4199" s="1" t="n">
        <v>44284</v>
      </c>
      <c r="C4199" s="1" t="n">
        <v>45204</v>
      </c>
      <c r="D4199" t="inlineStr">
        <is>
          <t>VÄSTERBOTTENS LÄN</t>
        </is>
      </c>
      <c r="E4199" t="inlineStr">
        <is>
          <t>NORSJÖ</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15459-2021</t>
        </is>
      </c>
      <c r="B4200" s="1" t="n">
        <v>44284</v>
      </c>
      <c r="C4200" s="1" t="n">
        <v>45204</v>
      </c>
      <c r="D4200" t="inlineStr">
        <is>
          <t>VÄSTERBOTTENS LÄN</t>
        </is>
      </c>
      <c r="E4200" t="inlineStr">
        <is>
          <t>SKELLEFTEÅ</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15409-2021</t>
        </is>
      </c>
      <c r="B4201" s="1" t="n">
        <v>44285</v>
      </c>
      <c r="C4201" s="1" t="n">
        <v>45204</v>
      </c>
      <c r="D4201" t="inlineStr">
        <is>
          <t>VÄSTERBOTTENS LÄN</t>
        </is>
      </c>
      <c r="E4201" t="inlineStr">
        <is>
          <t>VÄNNÄS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15990-2021</t>
        </is>
      </c>
      <c r="B4202" s="1" t="n">
        <v>44287</v>
      </c>
      <c r="C4202" s="1" t="n">
        <v>45204</v>
      </c>
      <c r="D4202" t="inlineStr">
        <is>
          <t>VÄSTERBOTTENS LÄN</t>
        </is>
      </c>
      <c r="E4202" t="inlineStr">
        <is>
          <t>NORDMALING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16060-2021</t>
        </is>
      </c>
      <c r="B4203" s="1" t="n">
        <v>44287</v>
      </c>
      <c r="C4203" s="1" t="n">
        <v>45204</v>
      </c>
      <c r="D4203" t="inlineStr">
        <is>
          <t>VÄSTERBOTTENS LÄN</t>
        </is>
      </c>
      <c r="E4203" t="inlineStr">
        <is>
          <t>SORSELE</t>
        </is>
      </c>
      <c r="F4203" t="inlineStr">
        <is>
          <t>Övriga Aktiebolag</t>
        </is>
      </c>
      <c r="G4203" t="n">
        <v>2.3</v>
      </c>
      <c r="H4203" t="n">
        <v>0</v>
      </c>
      <c r="I4203" t="n">
        <v>0</v>
      </c>
      <c r="J4203" t="n">
        <v>0</v>
      </c>
      <c r="K4203" t="n">
        <v>0</v>
      </c>
      <c r="L4203" t="n">
        <v>0</v>
      </c>
      <c r="M4203" t="n">
        <v>0</v>
      </c>
      <c r="N4203" t="n">
        <v>0</v>
      </c>
      <c r="O4203" t="n">
        <v>0</v>
      </c>
      <c r="P4203" t="n">
        <v>0</v>
      </c>
      <c r="Q4203" t="n">
        <v>0</v>
      </c>
      <c r="R4203" s="2" t="inlineStr"/>
    </row>
    <row r="4204" ht="15" customHeight="1">
      <c r="A4204" t="inlineStr">
        <is>
          <t>A 15992-2021</t>
        </is>
      </c>
      <c r="B4204" s="1" t="n">
        <v>44287</v>
      </c>
      <c r="C4204" s="1" t="n">
        <v>45204</v>
      </c>
      <c r="D4204" t="inlineStr">
        <is>
          <t>VÄSTERBOTTENS LÄN</t>
        </is>
      </c>
      <c r="E4204" t="inlineStr">
        <is>
          <t>NORDMALING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16063-2021</t>
        </is>
      </c>
      <c r="B4205" s="1" t="n">
        <v>44287</v>
      </c>
      <c r="C4205" s="1" t="n">
        <v>45204</v>
      </c>
      <c r="D4205" t="inlineStr">
        <is>
          <t>VÄSTERBOTTENS LÄN</t>
        </is>
      </c>
      <c r="E4205" t="inlineStr">
        <is>
          <t>SORSELE</t>
        </is>
      </c>
      <c r="F4205" t="inlineStr">
        <is>
          <t>Övriga Aktiebolag</t>
        </is>
      </c>
      <c r="G4205" t="n">
        <v>17.5</v>
      </c>
      <c r="H4205" t="n">
        <v>0</v>
      </c>
      <c r="I4205" t="n">
        <v>0</v>
      </c>
      <c r="J4205" t="n">
        <v>0</v>
      </c>
      <c r="K4205" t="n">
        <v>0</v>
      </c>
      <c r="L4205" t="n">
        <v>0</v>
      </c>
      <c r="M4205" t="n">
        <v>0</v>
      </c>
      <c r="N4205" t="n">
        <v>0</v>
      </c>
      <c r="O4205" t="n">
        <v>0</v>
      </c>
      <c r="P4205" t="n">
        <v>0</v>
      </c>
      <c r="Q4205" t="n">
        <v>0</v>
      </c>
      <c r="R4205" s="2" t="inlineStr"/>
    </row>
    <row r="4206" ht="15" customHeight="1">
      <c r="A4206" t="inlineStr">
        <is>
          <t>A 16410-2021</t>
        </is>
      </c>
      <c r="B4206" s="1" t="n">
        <v>44293</v>
      </c>
      <c r="C4206" s="1" t="n">
        <v>45204</v>
      </c>
      <c r="D4206" t="inlineStr">
        <is>
          <t>VÄSTERBOTTENS LÄN</t>
        </is>
      </c>
      <c r="E4206" t="inlineStr">
        <is>
          <t>UMEÅ</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16777-2021</t>
        </is>
      </c>
      <c r="B4207" s="1" t="n">
        <v>44294</v>
      </c>
      <c r="C4207" s="1" t="n">
        <v>45204</v>
      </c>
      <c r="D4207" t="inlineStr">
        <is>
          <t>VÄSTERBOTTENS LÄN</t>
        </is>
      </c>
      <c r="E4207" t="inlineStr">
        <is>
          <t>DOROTEA</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16909-2021</t>
        </is>
      </c>
      <c r="B4208" s="1" t="n">
        <v>44294</v>
      </c>
      <c r="C4208" s="1" t="n">
        <v>45204</v>
      </c>
      <c r="D4208" t="inlineStr">
        <is>
          <t>VÄSTERBOTTENS LÄN</t>
        </is>
      </c>
      <c r="E4208" t="inlineStr">
        <is>
          <t>UMEÅ</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16911-2021</t>
        </is>
      </c>
      <c r="B4209" s="1" t="n">
        <v>44295</v>
      </c>
      <c r="C4209" s="1" t="n">
        <v>45204</v>
      </c>
      <c r="D4209" t="inlineStr">
        <is>
          <t>VÄSTERBOTTENS LÄN</t>
        </is>
      </c>
      <c r="E4209" t="inlineStr">
        <is>
          <t>SORSELE</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17125-2021</t>
        </is>
      </c>
      <c r="B4210" s="1" t="n">
        <v>44295</v>
      </c>
      <c r="C4210" s="1" t="n">
        <v>45204</v>
      </c>
      <c r="D4210" t="inlineStr">
        <is>
          <t>VÄSTERBOTTENS LÄN</t>
        </is>
      </c>
      <c r="E4210" t="inlineStr">
        <is>
          <t>STORUMAN</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16893-2021</t>
        </is>
      </c>
      <c r="B4211" s="1" t="n">
        <v>44295</v>
      </c>
      <c r="C4211" s="1" t="n">
        <v>45204</v>
      </c>
      <c r="D4211" t="inlineStr">
        <is>
          <t>VÄSTERBOTTENS LÄN</t>
        </is>
      </c>
      <c r="E4211" t="inlineStr">
        <is>
          <t>SORSELE</t>
        </is>
      </c>
      <c r="G4211" t="n">
        <v>14.7</v>
      </c>
      <c r="H4211" t="n">
        <v>0</v>
      </c>
      <c r="I4211" t="n">
        <v>0</v>
      </c>
      <c r="J4211" t="n">
        <v>0</v>
      </c>
      <c r="K4211" t="n">
        <v>0</v>
      </c>
      <c r="L4211" t="n">
        <v>0</v>
      </c>
      <c r="M4211" t="n">
        <v>0</v>
      </c>
      <c r="N4211" t="n">
        <v>0</v>
      </c>
      <c r="O4211" t="n">
        <v>0</v>
      </c>
      <c r="P4211" t="n">
        <v>0</v>
      </c>
      <c r="Q4211" t="n">
        <v>0</v>
      </c>
      <c r="R4211" s="2" t="inlineStr"/>
    </row>
    <row r="4212" ht="15" customHeight="1">
      <c r="A4212" t="inlineStr">
        <is>
          <t>A 16946-2021</t>
        </is>
      </c>
      <c r="B4212" s="1" t="n">
        <v>44295</v>
      </c>
      <c r="C4212" s="1" t="n">
        <v>45204</v>
      </c>
      <c r="D4212" t="inlineStr">
        <is>
          <t>VÄSTERBOTTENS LÄN</t>
        </is>
      </c>
      <c r="E4212" t="inlineStr">
        <is>
          <t>SORSELE</t>
        </is>
      </c>
      <c r="F4212" t="inlineStr">
        <is>
          <t>Övriga statliga verk och myndigheter</t>
        </is>
      </c>
      <c r="G4212" t="n">
        <v>20.4</v>
      </c>
      <c r="H4212" t="n">
        <v>0</v>
      </c>
      <c r="I4212" t="n">
        <v>0</v>
      </c>
      <c r="J4212" t="n">
        <v>0</v>
      </c>
      <c r="K4212" t="n">
        <v>0</v>
      </c>
      <c r="L4212" t="n">
        <v>0</v>
      </c>
      <c r="M4212" t="n">
        <v>0</v>
      </c>
      <c r="N4212" t="n">
        <v>0</v>
      </c>
      <c r="O4212" t="n">
        <v>0</v>
      </c>
      <c r="P4212" t="n">
        <v>0</v>
      </c>
      <c r="Q4212" t="n">
        <v>0</v>
      </c>
      <c r="R4212" s="2" t="inlineStr"/>
    </row>
    <row r="4213" ht="15" customHeight="1">
      <c r="A4213" t="inlineStr">
        <is>
          <t>A 17220-2021</t>
        </is>
      </c>
      <c r="B4213" s="1" t="n">
        <v>44298</v>
      </c>
      <c r="C4213" s="1" t="n">
        <v>45204</v>
      </c>
      <c r="D4213" t="inlineStr">
        <is>
          <t>VÄSTERBOTTENS LÄN</t>
        </is>
      </c>
      <c r="E4213" t="inlineStr">
        <is>
          <t>STORUMAN</t>
        </is>
      </c>
      <c r="G4213" t="n">
        <v>29.4</v>
      </c>
      <c r="H4213" t="n">
        <v>0</v>
      </c>
      <c r="I4213" t="n">
        <v>0</v>
      </c>
      <c r="J4213" t="n">
        <v>0</v>
      </c>
      <c r="K4213" t="n">
        <v>0</v>
      </c>
      <c r="L4213" t="n">
        <v>0</v>
      </c>
      <c r="M4213" t="n">
        <v>0</v>
      </c>
      <c r="N4213" t="n">
        <v>0</v>
      </c>
      <c r="O4213" t="n">
        <v>0</v>
      </c>
      <c r="P4213" t="n">
        <v>0</v>
      </c>
      <c r="Q4213" t="n">
        <v>0</v>
      </c>
      <c r="R4213" s="2" t="inlineStr"/>
    </row>
    <row r="4214" ht="15" customHeight="1">
      <c r="A4214" t="inlineStr">
        <is>
          <t>A 17441-2021</t>
        </is>
      </c>
      <c r="B4214" s="1" t="n">
        <v>44298</v>
      </c>
      <c r="C4214" s="1" t="n">
        <v>45204</v>
      </c>
      <c r="D4214" t="inlineStr">
        <is>
          <t>VÄSTERBOTTENS LÄN</t>
        </is>
      </c>
      <c r="E4214" t="inlineStr">
        <is>
          <t>SORSELE</t>
        </is>
      </c>
      <c r="G4214" t="n">
        <v>134.5</v>
      </c>
      <c r="H4214" t="n">
        <v>0</v>
      </c>
      <c r="I4214" t="n">
        <v>0</v>
      </c>
      <c r="J4214" t="n">
        <v>0</v>
      </c>
      <c r="K4214" t="n">
        <v>0</v>
      </c>
      <c r="L4214" t="n">
        <v>0</v>
      </c>
      <c r="M4214" t="n">
        <v>0</v>
      </c>
      <c r="N4214" t="n">
        <v>0</v>
      </c>
      <c r="O4214" t="n">
        <v>0</v>
      </c>
      <c r="P4214" t="n">
        <v>0</v>
      </c>
      <c r="Q4214" t="n">
        <v>0</v>
      </c>
      <c r="R4214" s="2" t="inlineStr"/>
    </row>
    <row r="4215" ht="15" customHeight="1">
      <c r="A4215" t="inlineStr">
        <is>
          <t>A 17442-2021</t>
        </is>
      </c>
      <c r="B4215" s="1" t="n">
        <v>44298</v>
      </c>
      <c r="C4215" s="1" t="n">
        <v>45204</v>
      </c>
      <c r="D4215" t="inlineStr">
        <is>
          <t>VÄSTERBOTTENS LÄN</t>
        </is>
      </c>
      <c r="E4215" t="inlineStr">
        <is>
          <t>SORSELE</t>
        </is>
      </c>
      <c r="G4215" t="n">
        <v>86.09999999999999</v>
      </c>
      <c r="H4215" t="n">
        <v>0</v>
      </c>
      <c r="I4215" t="n">
        <v>0</v>
      </c>
      <c r="J4215" t="n">
        <v>0</v>
      </c>
      <c r="K4215" t="n">
        <v>0</v>
      </c>
      <c r="L4215" t="n">
        <v>0</v>
      </c>
      <c r="M4215" t="n">
        <v>0</v>
      </c>
      <c r="N4215" t="n">
        <v>0</v>
      </c>
      <c r="O4215" t="n">
        <v>0</v>
      </c>
      <c r="P4215" t="n">
        <v>0</v>
      </c>
      <c r="Q4215" t="n">
        <v>0</v>
      </c>
      <c r="R4215" s="2" t="inlineStr"/>
    </row>
    <row r="4216" ht="15" customHeight="1">
      <c r="A4216" t="inlineStr">
        <is>
          <t>A 17407-2021</t>
        </is>
      </c>
      <c r="B4216" s="1" t="n">
        <v>44298</v>
      </c>
      <c r="C4216" s="1" t="n">
        <v>45204</v>
      </c>
      <c r="D4216" t="inlineStr">
        <is>
          <t>VÄSTERBOTTENS LÄN</t>
        </is>
      </c>
      <c r="E4216" t="inlineStr">
        <is>
          <t>ROBERTSFORS</t>
        </is>
      </c>
      <c r="G4216" t="n">
        <v>7.5</v>
      </c>
      <c r="H4216" t="n">
        <v>0</v>
      </c>
      <c r="I4216" t="n">
        <v>0</v>
      </c>
      <c r="J4216" t="n">
        <v>0</v>
      </c>
      <c r="K4216" t="n">
        <v>0</v>
      </c>
      <c r="L4216" t="n">
        <v>0</v>
      </c>
      <c r="M4216" t="n">
        <v>0</v>
      </c>
      <c r="N4216" t="n">
        <v>0</v>
      </c>
      <c r="O4216" t="n">
        <v>0</v>
      </c>
      <c r="P4216" t="n">
        <v>0</v>
      </c>
      <c r="Q4216" t="n">
        <v>0</v>
      </c>
      <c r="R4216" s="2" t="inlineStr"/>
    </row>
    <row r="4217" ht="15" customHeight="1">
      <c r="A4217" t="inlineStr">
        <is>
          <t>A 17443-2021</t>
        </is>
      </c>
      <c r="B4217" s="1" t="n">
        <v>44298</v>
      </c>
      <c r="C4217" s="1" t="n">
        <v>45204</v>
      </c>
      <c r="D4217" t="inlineStr">
        <is>
          <t>VÄSTERBOTTENS LÄN</t>
        </is>
      </c>
      <c r="E4217" t="inlineStr">
        <is>
          <t>SORSELE</t>
        </is>
      </c>
      <c r="G4217" t="n">
        <v>158</v>
      </c>
      <c r="H4217" t="n">
        <v>0</v>
      </c>
      <c r="I4217" t="n">
        <v>0</v>
      </c>
      <c r="J4217" t="n">
        <v>0</v>
      </c>
      <c r="K4217" t="n">
        <v>0</v>
      </c>
      <c r="L4217" t="n">
        <v>0</v>
      </c>
      <c r="M4217" t="n">
        <v>0</v>
      </c>
      <c r="N4217" t="n">
        <v>0</v>
      </c>
      <c r="O4217" t="n">
        <v>0</v>
      </c>
      <c r="P4217" t="n">
        <v>0</v>
      </c>
      <c r="Q4217" t="n">
        <v>0</v>
      </c>
      <c r="R4217" s="2" t="inlineStr"/>
    </row>
    <row r="4218" ht="15" customHeight="1">
      <c r="A4218" t="inlineStr">
        <is>
          <t>A 17410-2021</t>
        </is>
      </c>
      <c r="B4218" s="1" t="n">
        <v>44298</v>
      </c>
      <c r="C4218" s="1" t="n">
        <v>45204</v>
      </c>
      <c r="D4218" t="inlineStr">
        <is>
          <t>VÄSTERBOTTENS LÄN</t>
        </is>
      </c>
      <c r="E4218" t="inlineStr">
        <is>
          <t>ROBERTSFORS</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17438-2021</t>
        </is>
      </c>
      <c r="B4219" s="1" t="n">
        <v>44299</v>
      </c>
      <c r="C4219" s="1" t="n">
        <v>45204</v>
      </c>
      <c r="D4219" t="inlineStr">
        <is>
          <t>VÄSTERBOTTENS LÄN</t>
        </is>
      </c>
      <c r="E4219" t="inlineStr">
        <is>
          <t>UMEÅ</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17830-2021</t>
        </is>
      </c>
      <c r="B4220" s="1" t="n">
        <v>44300</v>
      </c>
      <c r="C4220" s="1" t="n">
        <v>45204</v>
      </c>
      <c r="D4220" t="inlineStr">
        <is>
          <t>VÄSTERBOTTENS LÄN</t>
        </is>
      </c>
      <c r="E4220" t="inlineStr">
        <is>
          <t>NORDMALING</t>
        </is>
      </c>
      <c r="G4220" t="n">
        <v>3.3</v>
      </c>
      <c r="H4220" t="n">
        <v>0</v>
      </c>
      <c r="I4220" t="n">
        <v>0</v>
      </c>
      <c r="J4220" t="n">
        <v>0</v>
      </c>
      <c r="K4220" t="n">
        <v>0</v>
      </c>
      <c r="L4220" t="n">
        <v>0</v>
      </c>
      <c r="M4220" t="n">
        <v>0</v>
      </c>
      <c r="N4220" t="n">
        <v>0</v>
      </c>
      <c r="O4220" t="n">
        <v>0</v>
      </c>
      <c r="P4220" t="n">
        <v>0</v>
      </c>
      <c r="Q4220" t="n">
        <v>0</v>
      </c>
      <c r="R4220" s="2" t="inlineStr"/>
    </row>
    <row r="4221" ht="15" customHeight="1">
      <c r="A4221" t="inlineStr">
        <is>
          <t>A 17752-2021</t>
        </is>
      </c>
      <c r="B4221" s="1" t="n">
        <v>44300</v>
      </c>
      <c r="C4221" s="1" t="n">
        <v>45204</v>
      </c>
      <c r="D4221" t="inlineStr">
        <is>
          <t>VÄSTERBOTTENS LÄN</t>
        </is>
      </c>
      <c r="E4221" t="inlineStr">
        <is>
          <t>NORDMALING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18101-2021</t>
        </is>
      </c>
      <c r="B4222" s="1" t="n">
        <v>44302</v>
      </c>
      <c r="C4222" s="1" t="n">
        <v>45204</v>
      </c>
      <c r="D4222" t="inlineStr">
        <is>
          <t>VÄSTERBOTTENS LÄN</t>
        </is>
      </c>
      <c r="E4222" t="inlineStr">
        <is>
          <t>SKELLEFTEÅ</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18104-2021</t>
        </is>
      </c>
      <c r="B4223" s="1" t="n">
        <v>44302</v>
      </c>
      <c r="C4223" s="1" t="n">
        <v>45204</v>
      </c>
      <c r="D4223" t="inlineStr">
        <is>
          <t>VÄSTERBOTTENS LÄN</t>
        </is>
      </c>
      <c r="E4223" t="inlineStr">
        <is>
          <t>SKELLEFTEÅ</t>
        </is>
      </c>
      <c r="G4223" t="n">
        <v>3.8</v>
      </c>
      <c r="H4223" t="n">
        <v>0</v>
      </c>
      <c r="I4223" t="n">
        <v>0</v>
      </c>
      <c r="J4223" t="n">
        <v>0</v>
      </c>
      <c r="K4223" t="n">
        <v>0</v>
      </c>
      <c r="L4223" t="n">
        <v>0</v>
      </c>
      <c r="M4223" t="n">
        <v>0</v>
      </c>
      <c r="N4223" t="n">
        <v>0</v>
      </c>
      <c r="O4223" t="n">
        <v>0</v>
      </c>
      <c r="P4223" t="n">
        <v>0</v>
      </c>
      <c r="Q4223" t="n">
        <v>0</v>
      </c>
      <c r="R4223" s="2" t="inlineStr"/>
    </row>
    <row r="4224" ht="15" customHeight="1">
      <c r="A4224" t="inlineStr">
        <is>
          <t>A 18094-2021</t>
        </is>
      </c>
      <c r="B4224" s="1" t="n">
        <v>44302</v>
      </c>
      <c r="C4224" s="1" t="n">
        <v>45204</v>
      </c>
      <c r="D4224" t="inlineStr">
        <is>
          <t>VÄSTERBOTTENS LÄN</t>
        </is>
      </c>
      <c r="E4224" t="inlineStr">
        <is>
          <t>VINDELN</t>
        </is>
      </c>
      <c r="G4224" t="n">
        <v>3</v>
      </c>
      <c r="H4224" t="n">
        <v>0</v>
      </c>
      <c r="I4224" t="n">
        <v>0</v>
      </c>
      <c r="J4224" t="n">
        <v>0</v>
      </c>
      <c r="K4224" t="n">
        <v>0</v>
      </c>
      <c r="L4224" t="n">
        <v>0</v>
      </c>
      <c r="M4224" t="n">
        <v>0</v>
      </c>
      <c r="N4224" t="n">
        <v>0</v>
      </c>
      <c r="O4224" t="n">
        <v>0</v>
      </c>
      <c r="P4224" t="n">
        <v>0</v>
      </c>
      <c r="Q4224" t="n">
        <v>0</v>
      </c>
      <c r="R4224" s="2" t="inlineStr"/>
    </row>
    <row r="4225" ht="15" customHeight="1">
      <c r="A4225" t="inlineStr">
        <is>
          <t>A 18183-2021</t>
        </is>
      </c>
      <c r="B4225" s="1" t="n">
        <v>44302</v>
      </c>
      <c r="C4225" s="1" t="n">
        <v>45204</v>
      </c>
      <c r="D4225" t="inlineStr">
        <is>
          <t>VÄSTERBOTTENS LÄN</t>
        </is>
      </c>
      <c r="E4225" t="inlineStr">
        <is>
          <t>SKELLEFTEÅ</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18182-2021</t>
        </is>
      </c>
      <c r="B4226" s="1" t="n">
        <v>44302</v>
      </c>
      <c r="C4226" s="1" t="n">
        <v>45204</v>
      </c>
      <c r="D4226" t="inlineStr">
        <is>
          <t>VÄSTERBOTTENS LÄN</t>
        </is>
      </c>
      <c r="E4226" t="inlineStr">
        <is>
          <t>SKELLEFTEÅ</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18188-2021</t>
        </is>
      </c>
      <c r="B4227" s="1" t="n">
        <v>44302</v>
      </c>
      <c r="C4227" s="1" t="n">
        <v>45204</v>
      </c>
      <c r="D4227" t="inlineStr">
        <is>
          <t>VÄSTERBOTTENS LÄN</t>
        </is>
      </c>
      <c r="E4227" t="inlineStr">
        <is>
          <t>ROBERTSFORS</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18248-2021</t>
        </is>
      </c>
      <c r="B4228" s="1" t="n">
        <v>44305</v>
      </c>
      <c r="C4228" s="1" t="n">
        <v>45204</v>
      </c>
      <c r="D4228" t="inlineStr">
        <is>
          <t>VÄSTERBOTTENS LÄN</t>
        </is>
      </c>
      <c r="E4228" t="inlineStr">
        <is>
          <t>UMEÅ</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18353-2021</t>
        </is>
      </c>
      <c r="B4229" s="1" t="n">
        <v>44305</v>
      </c>
      <c r="C4229" s="1" t="n">
        <v>45204</v>
      </c>
      <c r="D4229" t="inlineStr">
        <is>
          <t>VÄSTERBOTTENS LÄN</t>
        </is>
      </c>
      <c r="E4229" t="inlineStr">
        <is>
          <t>SKELLEFTEÅ</t>
        </is>
      </c>
      <c r="G4229" t="n">
        <v>7.2</v>
      </c>
      <c r="H4229" t="n">
        <v>0</v>
      </c>
      <c r="I4229" t="n">
        <v>0</v>
      </c>
      <c r="J4229" t="n">
        <v>0</v>
      </c>
      <c r="K4229" t="n">
        <v>0</v>
      </c>
      <c r="L4229" t="n">
        <v>0</v>
      </c>
      <c r="M4229" t="n">
        <v>0</v>
      </c>
      <c r="N4229" t="n">
        <v>0</v>
      </c>
      <c r="O4229" t="n">
        <v>0</v>
      </c>
      <c r="P4229" t="n">
        <v>0</v>
      </c>
      <c r="Q4229" t="n">
        <v>0</v>
      </c>
      <c r="R4229" s="2" t="inlineStr"/>
    </row>
    <row r="4230" ht="15" customHeight="1">
      <c r="A4230" t="inlineStr">
        <is>
          <t>A 18455-2021</t>
        </is>
      </c>
      <c r="B4230" s="1" t="n">
        <v>44305</v>
      </c>
      <c r="C4230" s="1" t="n">
        <v>45204</v>
      </c>
      <c r="D4230" t="inlineStr">
        <is>
          <t>VÄSTERBOTTENS LÄN</t>
        </is>
      </c>
      <c r="E4230" t="inlineStr">
        <is>
          <t>UMEÅ</t>
        </is>
      </c>
      <c r="F4230" t="inlineStr">
        <is>
          <t>SCA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18685-2021</t>
        </is>
      </c>
      <c r="B4231" s="1" t="n">
        <v>44306</v>
      </c>
      <c r="C4231" s="1" t="n">
        <v>45204</v>
      </c>
      <c r="D4231" t="inlineStr">
        <is>
          <t>VÄSTERBOTTENS LÄN</t>
        </is>
      </c>
      <c r="E4231" t="inlineStr">
        <is>
          <t>UMEÅ</t>
        </is>
      </c>
      <c r="G4231" t="n">
        <v>5</v>
      </c>
      <c r="H4231" t="n">
        <v>0</v>
      </c>
      <c r="I4231" t="n">
        <v>0</v>
      </c>
      <c r="J4231" t="n">
        <v>0</v>
      </c>
      <c r="K4231" t="n">
        <v>0</v>
      </c>
      <c r="L4231" t="n">
        <v>0</v>
      </c>
      <c r="M4231" t="n">
        <v>0</v>
      </c>
      <c r="N4231" t="n">
        <v>0</v>
      </c>
      <c r="O4231" t="n">
        <v>0</v>
      </c>
      <c r="P4231" t="n">
        <v>0</v>
      </c>
      <c r="Q4231" t="n">
        <v>0</v>
      </c>
      <c r="R4231" s="2" t="inlineStr"/>
    </row>
    <row r="4232" ht="15" customHeight="1">
      <c r="A4232" t="inlineStr">
        <is>
          <t>A 18781-2021</t>
        </is>
      </c>
      <c r="B4232" s="1" t="n">
        <v>44307</v>
      </c>
      <c r="C4232" s="1" t="n">
        <v>45204</v>
      </c>
      <c r="D4232" t="inlineStr">
        <is>
          <t>VÄSTERBOTTENS LÄN</t>
        </is>
      </c>
      <c r="E4232" t="inlineStr">
        <is>
          <t>VILHELMINA</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18802-2021</t>
        </is>
      </c>
      <c r="B4233" s="1" t="n">
        <v>44307</v>
      </c>
      <c r="C4233" s="1" t="n">
        <v>45204</v>
      </c>
      <c r="D4233" t="inlineStr">
        <is>
          <t>VÄSTERBOTTENS LÄN</t>
        </is>
      </c>
      <c r="E4233" t="inlineStr">
        <is>
          <t>VILHELMINA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18795-2021</t>
        </is>
      </c>
      <c r="B4234" s="1" t="n">
        <v>44307</v>
      </c>
      <c r="C4234" s="1" t="n">
        <v>45204</v>
      </c>
      <c r="D4234" t="inlineStr">
        <is>
          <t>VÄSTERBOTTENS LÄN</t>
        </is>
      </c>
      <c r="E4234" t="inlineStr">
        <is>
          <t>ROBERTSFORS</t>
        </is>
      </c>
      <c r="G4234" t="n">
        <v>4.5</v>
      </c>
      <c r="H4234" t="n">
        <v>0</v>
      </c>
      <c r="I4234" t="n">
        <v>0</v>
      </c>
      <c r="J4234" t="n">
        <v>0</v>
      </c>
      <c r="K4234" t="n">
        <v>0</v>
      </c>
      <c r="L4234" t="n">
        <v>0</v>
      </c>
      <c r="M4234" t="n">
        <v>0</v>
      </c>
      <c r="N4234" t="n">
        <v>0</v>
      </c>
      <c r="O4234" t="n">
        <v>0</v>
      </c>
      <c r="P4234" t="n">
        <v>0</v>
      </c>
      <c r="Q4234" t="n">
        <v>0</v>
      </c>
      <c r="R4234" s="2" t="inlineStr"/>
    </row>
    <row r="4235" ht="15" customHeight="1">
      <c r="A4235" t="inlineStr">
        <is>
          <t>A 18950-2021</t>
        </is>
      </c>
      <c r="B4235" s="1" t="n">
        <v>44307</v>
      </c>
      <c r="C4235" s="1" t="n">
        <v>45204</v>
      </c>
      <c r="D4235" t="inlineStr">
        <is>
          <t>VÄSTERBOTTENS LÄN</t>
        </is>
      </c>
      <c r="E4235" t="inlineStr">
        <is>
          <t>VILHELMINA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19138-2021</t>
        </is>
      </c>
      <c r="B4236" s="1" t="n">
        <v>44307</v>
      </c>
      <c r="C4236" s="1" t="n">
        <v>45204</v>
      </c>
      <c r="D4236" t="inlineStr">
        <is>
          <t>VÄSTERBOTTENS LÄN</t>
        </is>
      </c>
      <c r="E4236" t="inlineStr">
        <is>
          <t>STORUMAN</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18790-2021</t>
        </is>
      </c>
      <c r="B4237" s="1" t="n">
        <v>44307</v>
      </c>
      <c r="C4237" s="1" t="n">
        <v>45204</v>
      </c>
      <c r="D4237" t="inlineStr">
        <is>
          <t>VÄSTERBOTTENS LÄN</t>
        </is>
      </c>
      <c r="E4237" t="inlineStr">
        <is>
          <t>VILHELMINA</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18971-2021</t>
        </is>
      </c>
      <c r="B4238" s="1" t="n">
        <v>44307</v>
      </c>
      <c r="C4238" s="1" t="n">
        <v>45204</v>
      </c>
      <c r="D4238" t="inlineStr">
        <is>
          <t>VÄSTERBOTTENS LÄN</t>
        </is>
      </c>
      <c r="E4238" t="inlineStr">
        <is>
          <t>VILHELMINA</t>
        </is>
      </c>
      <c r="G4238" t="n">
        <v>2</v>
      </c>
      <c r="H4238" t="n">
        <v>0</v>
      </c>
      <c r="I4238" t="n">
        <v>0</v>
      </c>
      <c r="J4238" t="n">
        <v>0</v>
      </c>
      <c r="K4238" t="n">
        <v>0</v>
      </c>
      <c r="L4238" t="n">
        <v>0</v>
      </c>
      <c r="M4238" t="n">
        <v>0</v>
      </c>
      <c r="N4238" t="n">
        <v>0</v>
      </c>
      <c r="O4238" t="n">
        <v>0</v>
      </c>
      <c r="P4238" t="n">
        <v>0</v>
      </c>
      <c r="Q4238" t="n">
        <v>0</v>
      </c>
      <c r="R4238" s="2" t="inlineStr"/>
    </row>
    <row r="4239" ht="15" customHeight="1">
      <c r="A4239" t="inlineStr">
        <is>
          <t>A 19058-2021</t>
        </is>
      </c>
      <c r="B4239" s="1" t="n">
        <v>44308</v>
      </c>
      <c r="C4239" s="1" t="n">
        <v>45204</v>
      </c>
      <c r="D4239" t="inlineStr">
        <is>
          <t>VÄSTERBOTTENS LÄN</t>
        </is>
      </c>
      <c r="E4239" t="inlineStr">
        <is>
          <t>UMEÅ</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19062-2021</t>
        </is>
      </c>
      <c r="B4240" s="1" t="n">
        <v>44308</v>
      </c>
      <c r="C4240" s="1" t="n">
        <v>45204</v>
      </c>
      <c r="D4240" t="inlineStr">
        <is>
          <t>VÄSTERBOTTENS LÄN</t>
        </is>
      </c>
      <c r="E4240" t="inlineStr">
        <is>
          <t>UMEÅ</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19074-2021</t>
        </is>
      </c>
      <c r="B4241" s="1" t="n">
        <v>44308</v>
      </c>
      <c r="C4241" s="1" t="n">
        <v>45204</v>
      </c>
      <c r="D4241" t="inlineStr">
        <is>
          <t>VÄSTERBOTTENS LÄN</t>
        </is>
      </c>
      <c r="E4241" t="inlineStr">
        <is>
          <t>UMEÅ</t>
        </is>
      </c>
      <c r="G4241" t="n">
        <v>2.6</v>
      </c>
      <c r="H4241" t="n">
        <v>0</v>
      </c>
      <c r="I4241" t="n">
        <v>0</v>
      </c>
      <c r="J4241" t="n">
        <v>0</v>
      </c>
      <c r="K4241" t="n">
        <v>0</v>
      </c>
      <c r="L4241" t="n">
        <v>0</v>
      </c>
      <c r="M4241" t="n">
        <v>0</v>
      </c>
      <c r="N4241" t="n">
        <v>0</v>
      </c>
      <c r="O4241" t="n">
        <v>0</v>
      </c>
      <c r="P4241" t="n">
        <v>0</v>
      </c>
      <c r="Q4241" t="n">
        <v>0</v>
      </c>
      <c r="R4241" s="2" t="inlineStr"/>
    </row>
    <row r="4242" ht="15" customHeight="1">
      <c r="A4242" t="inlineStr">
        <is>
          <t>A 19543-2021</t>
        </is>
      </c>
      <c r="B4242" s="1" t="n">
        <v>44309</v>
      </c>
      <c r="C4242" s="1" t="n">
        <v>45204</v>
      </c>
      <c r="D4242" t="inlineStr">
        <is>
          <t>VÄSTERBOTTENS LÄN</t>
        </is>
      </c>
      <c r="E4242" t="inlineStr">
        <is>
          <t>UMEÅ</t>
        </is>
      </c>
      <c r="G4242" t="n">
        <v>2.3</v>
      </c>
      <c r="H4242" t="n">
        <v>0</v>
      </c>
      <c r="I4242" t="n">
        <v>0</v>
      </c>
      <c r="J4242" t="n">
        <v>0</v>
      </c>
      <c r="K4242" t="n">
        <v>0</v>
      </c>
      <c r="L4242" t="n">
        <v>0</v>
      </c>
      <c r="M4242" t="n">
        <v>0</v>
      </c>
      <c r="N4242" t="n">
        <v>0</v>
      </c>
      <c r="O4242" t="n">
        <v>0</v>
      </c>
      <c r="P4242" t="n">
        <v>0</v>
      </c>
      <c r="Q4242" t="n">
        <v>0</v>
      </c>
      <c r="R4242" s="2" t="inlineStr"/>
    </row>
    <row r="4243" ht="15" customHeight="1">
      <c r="A4243" t="inlineStr">
        <is>
          <t>A 19772-2021</t>
        </is>
      </c>
      <c r="B4243" s="1" t="n">
        <v>44309</v>
      </c>
      <c r="C4243" s="1" t="n">
        <v>45204</v>
      </c>
      <c r="D4243" t="inlineStr">
        <is>
          <t>VÄSTERBOTTENS LÄN</t>
        </is>
      </c>
      <c r="E4243" t="inlineStr">
        <is>
          <t>VINDELN</t>
        </is>
      </c>
      <c r="G4243" t="n">
        <v>4.5</v>
      </c>
      <c r="H4243" t="n">
        <v>0</v>
      </c>
      <c r="I4243" t="n">
        <v>0</v>
      </c>
      <c r="J4243" t="n">
        <v>0</v>
      </c>
      <c r="K4243" t="n">
        <v>0</v>
      </c>
      <c r="L4243" t="n">
        <v>0</v>
      </c>
      <c r="M4243" t="n">
        <v>0</v>
      </c>
      <c r="N4243" t="n">
        <v>0</v>
      </c>
      <c r="O4243" t="n">
        <v>0</v>
      </c>
      <c r="P4243" t="n">
        <v>0</v>
      </c>
      <c r="Q4243" t="n">
        <v>0</v>
      </c>
      <c r="R4243" s="2" t="inlineStr"/>
    </row>
    <row r="4244" ht="15" customHeight="1">
      <c r="A4244" t="inlineStr">
        <is>
          <t>A 19538-2021</t>
        </is>
      </c>
      <c r="B4244" s="1" t="n">
        <v>44309</v>
      </c>
      <c r="C4244" s="1" t="n">
        <v>45204</v>
      </c>
      <c r="D4244" t="inlineStr">
        <is>
          <t>VÄSTERBOTTENS LÄN</t>
        </is>
      </c>
      <c r="E4244" t="inlineStr">
        <is>
          <t>SKELLEFTEÅ</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19679-2021</t>
        </is>
      </c>
      <c r="B4245" s="1" t="n">
        <v>44312</v>
      </c>
      <c r="C4245" s="1" t="n">
        <v>45204</v>
      </c>
      <c r="D4245" t="inlineStr">
        <is>
          <t>VÄSTERBOTTENS LÄN</t>
        </is>
      </c>
      <c r="E4245" t="inlineStr">
        <is>
          <t>SKELLEFTEÅ</t>
        </is>
      </c>
      <c r="F4245" t="inlineStr">
        <is>
          <t>Holmen skog AB</t>
        </is>
      </c>
      <c r="G4245" t="n">
        <v>2.4</v>
      </c>
      <c r="H4245" t="n">
        <v>0</v>
      </c>
      <c r="I4245" t="n">
        <v>0</v>
      </c>
      <c r="J4245" t="n">
        <v>0</v>
      </c>
      <c r="K4245" t="n">
        <v>0</v>
      </c>
      <c r="L4245" t="n">
        <v>0</v>
      </c>
      <c r="M4245" t="n">
        <v>0</v>
      </c>
      <c r="N4245" t="n">
        <v>0</v>
      </c>
      <c r="O4245" t="n">
        <v>0</v>
      </c>
      <c r="P4245" t="n">
        <v>0</v>
      </c>
      <c r="Q4245" t="n">
        <v>0</v>
      </c>
      <c r="R4245" s="2" t="inlineStr"/>
    </row>
    <row r="4246" ht="15" customHeight="1">
      <c r="A4246" t="inlineStr">
        <is>
          <t>A 19748-2021</t>
        </is>
      </c>
      <c r="B4246" s="1" t="n">
        <v>44312</v>
      </c>
      <c r="C4246" s="1" t="n">
        <v>45204</v>
      </c>
      <c r="D4246" t="inlineStr">
        <is>
          <t>VÄSTERBOTTENS LÄN</t>
        </is>
      </c>
      <c r="E4246" t="inlineStr">
        <is>
          <t>SKELLEFTEÅ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19652-2021</t>
        </is>
      </c>
      <c r="B4247" s="1" t="n">
        <v>44312</v>
      </c>
      <c r="C4247" s="1" t="n">
        <v>45204</v>
      </c>
      <c r="D4247" t="inlineStr">
        <is>
          <t>VÄSTERBOTTENS LÄN</t>
        </is>
      </c>
      <c r="E4247" t="inlineStr">
        <is>
          <t>STORUMAN</t>
        </is>
      </c>
      <c r="G4247" t="n">
        <v>26.1</v>
      </c>
      <c r="H4247" t="n">
        <v>0</v>
      </c>
      <c r="I4247" t="n">
        <v>0</v>
      </c>
      <c r="J4247" t="n">
        <v>0</v>
      </c>
      <c r="K4247" t="n">
        <v>0</v>
      </c>
      <c r="L4247" t="n">
        <v>0</v>
      </c>
      <c r="M4247" t="n">
        <v>0</v>
      </c>
      <c r="N4247" t="n">
        <v>0</v>
      </c>
      <c r="O4247" t="n">
        <v>0</v>
      </c>
      <c r="P4247" t="n">
        <v>0</v>
      </c>
      <c r="Q4247" t="n">
        <v>0</v>
      </c>
      <c r="R4247" s="2" t="inlineStr"/>
    </row>
    <row r="4248" ht="15" customHeight="1">
      <c r="A4248" t="inlineStr">
        <is>
          <t>A 19662-2021</t>
        </is>
      </c>
      <c r="B4248" s="1" t="n">
        <v>44312</v>
      </c>
      <c r="C4248" s="1" t="n">
        <v>45204</v>
      </c>
      <c r="D4248" t="inlineStr">
        <is>
          <t>VÄSTERBOTTENS LÄN</t>
        </is>
      </c>
      <c r="E4248" t="inlineStr">
        <is>
          <t>NORSJÖ</t>
        </is>
      </c>
      <c r="F4248" t="inlineStr">
        <is>
          <t>Holmen skog AB</t>
        </is>
      </c>
      <c r="G4248" t="n">
        <v>0.3</v>
      </c>
      <c r="H4248" t="n">
        <v>0</v>
      </c>
      <c r="I4248" t="n">
        <v>0</v>
      </c>
      <c r="J4248" t="n">
        <v>0</v>
      </c>
      <c r="K4248" t="n">
        <v>0</v>
      </c>
      <c r="L4248" t="n">
        <v>0</v>
      </c>
      <c r="M4248" t="n">
        <v>0</v>
      </c>
      <c r="N4248" t="n">
        <v>0</v>
      </c>
      <c r="O4248" t="n">
        <v>0</v>
      </c>
      <c r="P4248" t="n">
        <v>0</v>
      </c>
      <c r="Q4248" t="n">
        <v>0</v>
      </c>
      <c r="R4248" s="2" t="inlineStr"/>
    </row>
    <row r="4249" ht="15" customHeight="1">
      <c r="A4249" t="inlineStr">
        <is>
          <t>A 19749-2021</t>
        </is>
      </c>
      <c r="B4249" s="1" t="n">
        <v>44312</v>
      </c>
      <c r="C4249" s="1" t="n">
        <v>45204</v>
      </c>
      <c r="D4249" t="inlineStr">
        <is>
          <t>VÄSTERBOTTENS LÄN</t>
        </is>
      </c>
      <c r="E4249" t="inlineStr">
        <is>
          <t>UMEÅ</t>
        </is>
      </c>
      <c r="G4249" t="n">
        <v>4.2</v>
      </c>
      <c r="H4249" t="n">
        <v>0</v>
      </c>
      <c r="I4249" t="n">
        <v>0</v>
      </c>
      <c r="J4249" t="n">
        <v>0</v>
      </c>
      <c r="K4249" t="n">
        <v>0</v>
      </c>
      <c r="L4249" t="n">
        <v>0</v>
      </c>
      <c r="M4249" t="n">
        <v>0</v>
      </c>
      <c r="N4249" t="n">
        <v>0</v>
      </c>
      <c r="O4249" t="n">
        <v>0</v>
      </c>
      <c r="P4249" t="n">
        <v>0</v>
      </c>
      <c r="Q4249" t="n">
        <v>0</v>
      </c>
      <c r="R4249" s="2" t="inlineStr"/>
    </row>
    <row r="4250" ht="15" customHeight="1">
      <c r="A4250" t="inlineStr">
        <is>
          <t>A 19648-2021</t>
        </is>
      </c>
      <c r="B4250" s="1" t="n">
        <v>44312</v>
      </c>
      <c r="C4250" s="1" t="n">
        <v>45204</v>
      </c>
      <c r="D4250" t="inlineStr">
        <is>
          <t>VÄSTERBOTTENS LÄN</t>
        </is>
      </c>
      <c r="E4250" t="inlineStr">
        <is>
          <t>STORUMAN</t>
        </is>
      </c>
      <c r="G4250" t="n">
        <v>4.1</v>
      </c>
      <c r="H4250" t="n">
        <v>0</v>
      </c>
      <c r="I4250" t="n">
        <v>0</v>
      </c>
      <c r="J4250" t="n">
        <v>0</v>
      </c>
      <c r="K4250" t="n">
        <v>0</v>
      </c>
      <c r="L4250" t="n">
        <v>0</v>
      </c>
      <c r="M4250" t="n">
        <v>0</v>
      </c>
      <c r="N4250" t="n">
        <v>0</v>
      </c>
      <c r="O4250" t="n">
        <v>0</v>
      </c>
      <c r="P4250" t="n">
        <v>0</v>
      </c>
      <c r="Q4250" t="n">
        <v>0</v>
      </c>
      <c r="R4250" s="2" t="inlineStr"/>
    </row>
    <row r="4251" ht="15" customHeight="1">
      <c r="A4251" t="inlineStr">
        <is>
          <t>A 19667-2021</t>
        </is>
      </c>
      <c r="B4251" s="1" t="n">
        <v>44312</v>
      </c>
      <c r="C4251" s="1" t="n">
        <v>45204</v>
      </c>
      <c r="D4251" t="inlineStr">
        <is>
          <t>VÄSTERBOTTENS LÄN</t>
        </is>
      </c>
      <c r="E4251" t="inlineStr">
        <is>
          <t>STORUMAN</t>
        </is>
      </c>
      <c r="G4251" t="n">
        <v>3.8</v>
      </c>
      <c r="H4251" t="n">
        <v>0</v>
      </c>
      <c r="I4251" t="n">
        <v>0</v>
      </c>
      <c r="J4251" t="n">
        <v>0</v>
      </c>
      <c r="K4251" t="n">
        <v>0</v>
      </c>
      <c r="L4251" t="n">
        <v>0</v>
      </c>
      <c r="M4251" t="n">
        <v>0</v>
      </c>
      <c r="N4251" t="n">
        <v>0</v>
      </c>
      <c r="O4251" t="n">
        <v>0</v>
      </c>
      <c r="P4251" t="n">
        <v>0</v>
      </c>
      <c r="Q4251" t="n">
        <v>0</v>
      </c>
      <c r="R4251" s="2" t="inlineStr"/>
    </row>
    <row r="4252" ht="15" customHeight="1">
      <c r="A4252" t="inlineStr">
        <is>
          <t>A 19688-2021</t>
        </is>
      </c>
      <c r="B4252" s="1" t="n">
        <v>44312</v>
      </c>
      <c r="C4252" s="1" t="n">
        <v>45204</v>
      </c>
      <c r="D4252" t="inlineStr">
        <is>
          <t>VÄSTERBOTTENS LÄN</t>
        </is>
      </c>
      <c r="E4252" t="inlineStr">
        <is>
          <t>BJURHOLM</t>
        </is>
      </c>
      <c r="F4252" t="inlineStr">
        <is>
          <t>Holmen skog AB</t>
        </is>
      </c>
      <c r="G4252" t="n">
        <v>11.2</v>
      </c>
      <c r="H4252" t="n">
        <v>0</v>
      </c>
      <c r="I4252" t="n">
        <v>0</v>
      </c>
      <c r="J4252" t="n">
        <v>0</v>
      </c>
      <c r="K4252" t="n">
        <v>0</v>
      </c>
      <c r="L4252" t="n">
        <v>0</v>
      </c>
      <c r="M4252" t="n">
        <v>0</v>
      </c>
      <c r="N4252" t="n">
        <v>0</v>
      </c>
      <c r="O4252" t="n">
        <v>0</v>
      </c>
      <c r="P4252" t="n">
        <v>0</v>
      </c>
      <c r="Q4252" t="n">
        <v>0</v>
      </c>
      <c r="R4252" s="2" t="inlineStr"/>
    </row>
    <row r="4253" ht="15" customHeight="1">
      <c r="A4253" t="inlineStr">
        <is>
          <t>A 20046-2021</t>
        </is>
      </c>
      <c r="B4253" s="1" t="n">
        <v>44313</v>
      </c>
      <c r="C4253" s="1" t="n">
        <v>45204</v>
      </c>
      <c r="D4253" t="inlineStr">
        <is>
          <t>VÄSTERBOTTENS LÄN</t>
        </is>
      </c>
      <c r="E4253" t="inlineStr">
        <is>
          <t>SKELLEFTEÅ</t>
        </is>
      </c>
      <c r="G4253" t="n">
        <v>3.1</v>
      </c>
      <c r="H4253" t="n">
        <v>0</v>
      </c>
      <c r="I4253" t="n">
        <v>0</v>
      </c>
      <c r="J4253" t="n">
        <v>0</v>
      </c>
      <c r="K4253" t="n">
        <v>0</v>
      </c>
      <c r="L4253" t="n">
        <v>0</v>
      </c>
      <c r="M4253" t="n">
        <v>0</v>
      </c>
      <c r="N4253" t="n">
        <v>0</v>
      </c>
      <c r="O4253" t="n">
        <v>0</v>
      </c>
      <c r="P4253" t="n">
        <v>0</v>
      </c>
      <c r="Q4253" t="n">
        <v>0</v>
      </c>
      <c r="R4253" s="2" t="inlineStr"/>
    </row>
    <row r="4254" ht="15" customHeight="1">
      <c r="A4254" t="inlineStr">
        <is>
          <t>A 20081-2021</t>
        </is>
      </c>
      <c r="B4254" s="1" t="n">
        <v>44313</v>
      </c>
      <c r="C4254" s="1" t="n">
        <v>45204</v>
      </c>
      <c r="D4254" t="inlineStr">
        <is>
          <t>VÄSTERBOTTENS LÄN</t>
        </is>
      </c>
      <c r="E4254" t="inlineStr">
        <is>
          <t>BJURHOLM</t>
        </is>
      </c>
      <c r="G4254" t="n">
        <v>6.8</v>
      </c>
      <c r="H4254" t="n">
        <v>0</v>
      </c>
      <c r="I4254" t="n">
        <v>0</v>
      </c>
      <c r="J4254" t="n">
        <v>0</v>
      </c>
      <c r="K4254" t="n">
        <v>0</v>
      </c>
      <c r="L4254" t="n">
        <v>0</v>
      </c>
      <c r="M4254" t="n">
        <v>0</v>
      </c>
      <c r="N4254" t="n">
        <v>0</v>
      </c>
      <c r="O4254" t="n">
        <v>0</v>
      </c>
      <c r="P4254" t="n">
        <v>0</v>
      </c>
      <c r="Q4254" t="n">
        <v>0</v>
      </c>
      <c r="R4254" s="2" t="inlineStr"/>
    </row>
    <row r="4255" ht="15" customHeight="1">
      <c r="A4255" t="inlineStr">
        <is>
          <t>A 20498-2021</t>
        </is>
      </c>
      <c r="B4255" s="1" t="n">
        <v>44313</v>
      </c>
      <c r="C4255" s="1" t="n">
        <v>45204</v>
      </c>
      <c r="D4255" t="inlineStr">
        <is>
          <t>VÄSTERBOTTENS LÄN</t>
        </is>
      </c>
      <c r="E4255" t="inlineStr">
        <is>
          <t>UMEÅ</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20035-2021</t>
        </is>
      </c>
      <c r="B4256" s="1" t="n">
        <v>44313</v>
      </c>
      <c r="C4256" s="1" t="n">
        <v>45204</v>
      </c>
      <c r="D4256" t="inlineStr">
        <is>
          <t>VÄSTERBOTTENS LÄN</t>
        </is>
      </c>
      <c r="E4256" t="inlineStr">
        <is>
          <t>NORDMALING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20051-2021</t>
        </is>
      </c>
      <c r="B4257" s="1" t="n">
        <v>44313</v>
      </c>
      <c r="C4257" s="1" t="n">
        <v>45204</v>
      </c>
      <c r="D4257" t="inlineStr">
        <is>
          <t>VÄSTERBOTTENS LÄN</t>
        </is>
      </c>
      <c r="E4257" t="inlineStr">
        <is>
          <t>SKELLEFTEÅ</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20121-2021</t>
        </is>
      </c>
      <c r="B4258" s="1" t="n">
        <v>44314</v>
      </c>
      <c r="C4258" s="1" t="n">
        <v>45204</v>
      </c>
      <c r="D4258" t="inlineStr">
        <is>
          <t>VÄSTERBOTTENS LÄN</t>
        </is>
      </c>
      <c r="E4258" t="inlineStr">
        <is>
          <t>MALÅ</t>
        </is>
      </c>
      <c r="G4258" t="n">
        <v>3.4</v>
      </c>
      <c r="H4258" t="n">
        <v>0</v>
      </c>
      <c r="I4258" t="n">
        <v>0</v>
      </c>
      <c r="J4258" t="n">
        <v>0</v>
      </c>
      <c r="K4258" t="n">
        <v>0</v>
      </c>
      <c r="L4258" t="n">
        <v>0</v>
      </c>
      <c r="M4258" t="n">
        <v>0</v>
      </c>
      <c r="N4258" t="n">
        <v>0</v>
      </c>
      <c r="O4258" t="n">
        <v>0</v>
      </c>
      <c r="P4258" t="n">
        <v>0</v>
      </c>
      <c r="Q4258" t="n">
        <v>0</v>
      </c>
      <c r="R4258" s="2" t="inlineStr"/>
    </row>
    <row r="4259" ht="15" customHeight="1">
      <c r="A4259" t="inlineStr">
        <is>
          <t>A 20381-2021</t>
        </is>
      </c>
      <c r="B4259" s="1" t="n">
        <v>44314</v>
      </c>
      <c r="C4259" s="1" t="n">
        <v>45204</v>
      </c>
      <c r="D4259" t="inlineStr">
        <is>
          <t>VÄSTERBOTTENS LÄN</t>
        </is>
      </c>
      <c r="E4259" t="inlineStr">
        <is>
          <t>SKELLEFTEÅ</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20454-2021</t>
        </is>
      </c>
      <c r="B4260" s="1" t="n">
        <v>44314</v>
      </c>
      <c r="C4260" s="1" t="n">
        <v>45204</v>
      </c>
      <c r="D4260" t="inlineStr">
        <is>
          <t>VÄSTERBOTTENS LÄN</t>
        </is>
      </c>
      <c r="E4260" t="inlineStr">
        <is>
          <t>UMEÅ</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20406-2021</t>
        </is>
      </c>
      <c r="B4261" s="1" t="n">
        <v>44314</v>
      </c>
      <c r="C4261" s="1" t="n">
        <v>45204</v>
      </c>
      <c r="D4261" t="inlineStr">
        <is>
          <t>VÄSTERBOTTENS LÄN</t>
        </is>
      </c>
      <c r="E4261" t="inlineStr">
        <is>
          <t>ROBERTSFORS</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20459-2021</t>
        </is>
      </c>
      <c r="B4262" s="1" t="n">
        <v>44314</v>
      </c>
      <c r="C4262" s="1" t="n">
        <v>45204</v>
      </c>
      <c r="D4262" t="inlineStr">
        <is>
          <t>VÄSTERBOTTENS LÄN</t>
        </is>
      </c>
      <c r="E4262" t="inlineStr">
        <is>
          <t>UMEÅ</t>
        </is>
      </c>
      <c r="G4262" t="n">
        <v>0.3</v>
      </c>
      <c r="H4262" t="n">
        <v>0</v>
      </c>
      <c r="I4262" t="n">
        <v>0</v>
      </c>
      <c r="J4262" t="n">
        <v>0</v>
      </c>
      <c r="K4262" t="n">
        <v>0</v>
      </c>
      <c r="L4262" t="n">
        <v>0</v>
      </c>
      <c r="M4262" t="n">
        <v>0</v>
      </c>
      <c r="N4262" t="n">
        <v>0</v>
      </c>
      <c r="O4262" t="n">
        <v>0</v>
      </c>
      <c r="P4262" t="n">
        <v>0</v>
      </c>
      <c r="Q4262" t="n">
        <v>0</v>
      </c>
      <c r="R4262" s="2" t="inlineStr"/>
    </row>
    <row r="4263" ht="15" customHeight="1">
      <c r="A4263" t="inlineStr">
        <is>
          <t>A 20568-2021</t>
        </is>
      </c>
      <c r="B4263" s="1" t="n">
        <v>44316</v>
      </c>
      <c r="C4263" s="1" t="n">
        <v>45204</v>
      </c>
      <c r="D4263" t="inlineStr">
        <is>
          <t>VÄSTERBOTTENS LÄN</t>
        </is>
      </c>
      <c r="E4263" t="inlineStr">
        <is>
          <t>VILHELMINA</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20823-2021</t>
        </is>
      </c>
      <c r="B4264" s="1" t="n">
        <v>44317</v>
      </c>
      <c r="C4264" s="1" t="n">
        <v>45204</v>
      </c>
      <c r="D4264" t="inlineStr">
        <is>
          <t>VÄSTERBOTTENS LÄN</t>
        </is>
      </c>
      <c r="E4264" t="inlineStr">
        <is>
          <t>SORSELE</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20824-2021</t>
        </is>
      </c>
      <c r="B4265" s="1" t="n">
        <v>44317</v>
      </c>
      <c r="C4265" s="1" t="n">
        <v>45204</v>
      </c>
      <c r="D4265" t="inlineStr">
        <is>
          <t>VÄSTERBOTTENS LÄN</t>
        </is>
      </c>
      <c r="E4265" t="inlineStr">
        <is>
          <t>SORSELE</t>
        </is>
      </c>
      <c r="G4265" t="n">
        <v>0.3</v>
      </c>
      <c r="H4265" t="n">
        <v>0</v>
      </c>
      <c r="I4265" t="n">
        <v>0</v>
      </c>
      <c r="J4265" t="n">
        <v>0</v>
      </c>
      <c r="K4265" t="n">
        <v>0</v>
      </c>
      <c r="L4265" t="n">
        <v>0</v>
      </c>
      <c r="M4265" t="n">
        <v>0</v>
      </c>
      <c r="N4265" t="n">
        <v>0</v>
      </c>
      <c r="O4265" t="n">
        <v>0</v>
      </c>
      <c r="P4265" t="n">
        <v>0</v>
      </c>
      <c r="Q4265" t="n">
        <v>0</v>
      </c>
      <c r="R4265" s="2" t="inlineStr"/>
    </row>
    <row r="4266" ht="15" customHeight="1">
      <c r="A4266" t="inlineStr">
        <is>
          <t>A 20976-2021</t>
        </is>
      </c>
      <c r="B4266" s="1" t="n">
        <v>44318</v>
      </c>
      <c r="C4266" s="1" t="n">
        <v>45204</v>
      </c>
      <c r="D4266" t="inlineStr">
        <is>
          <t>VÄSTERBOTTENS LÄN</t>
        </is>
      </c>
      <c r="E4266" t="inlineStr">
        <is>
          <t>NORDMALING</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24606-2021</t>
        </is>
      </c>
      <c r="B4267" s="1" t="n">
        <v>44319</v>
      </c>
      <c r="C4267" s="1" t="n">
        <v>45204</v>
      </c>
      <c r="D4267" t="inlineStr">
        <is>
          <t>VÄSTERBOTTENS LÄN</t>
        </is>
      </c>
      <c r="E4267" t="inlineStr">
        <is>
          <t>SKELLEFTEÅ</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20856-2021</t>
        </is>
      </c>
      <c r="B4268" s="1" t="n">
        <v>44319</v>
      </c>
      <c r="C4268" s="1" t="n">
        <v>45204</v>
      </c>
      <c r="D4268" t="inlineStr">
        <is>
          <t>VÄSTERBOTTENS LÄN</t>
        </is>
      </c>
      <c r="E4268" t="inlineStr">
        <is>
          <t>SKELLEFTEÅ</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21136-2021</t>
        </is>
      </c>
      <c r="B4269" s="1" t="n">
        <v>44319</v>
      </c>
      <c r="C4269" s="1" t="n">
        <v>45204</v>
      </c>
      <c r="D4269" t="inlineStr">
        <is>
          <t>VÄSTERBOTTENS LÄN</t>
        </is>
      </c>
      <c r="E4269" t="inlineStr">
        <is>
          <t>VINDELN</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21261-2021</t>
        </is>
      </c>
      <c r="B4270" s="1" t="n">
        <v>44320</v>
      </c>
      <c r="C4270" s="1" t="n">
        <v>45204</v>
      </c>
      <c r="D4270" t="inlineStr">
        <is>
          <t>VÄSTERBOTTENS LÄN</t>
        </is>
      </c>
      <c r="E4270" t="inlineStr">
        <is>
          <t>UMEÅ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21581-2021</t>
        </is>
      </c>
      <c r="B4271" s="1" t="n">
        <v>44321</v>
      </c>
      <c r="C4271" s="1" t="n">
        <v>45204</v>
      </c>
      <c r="D4271" t="inlineStr">
        <is>
          <t>VÄSTERBOTTENS LÄN</t>
        </is>
      </c>
      <c r="E4271" t="inlineStr">
        <is>
          <t>UMEÅ</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21626-2021</t>
        </is>
      </c>
      <c r="B4272" s="1" t="n">
        <v>44321</v>
      </c>
      <c r="C4272" s="1" t="n">
        <v>45204</v>
      </c>
      <c r="D4272" t="inlineStr">
        <is>
          <t>VÄSTERBOTTENS LÄN</t>
        </is>
      </c>
      <c r="E4272" t="inlineStr">
        <is>
          <t>ROBERTSFORS</t>
        </is>
      </c>
      <c r="G4272" t="n">
        <v>2.1</v>
      </c>
      <c r="H4272" t="n">
        <v>0</v>
      </c>
      <c r="I4272" t="n">
        <v>0</v>
      </c>
      <c r="J4272" t="n">
        <v>0</v>
      </c>
      <c r="K4272" t="n">
        <v>0</v>
      </c>
      <c r="L4272" t="n">
        <v>0</v>
      </c>
      <c r="M4272" t="n">
        <v>0</v>
      </c>
      <c r="N4272" t="n">
        <v>0</v>
      </c>
      <c r="O4272" t="n">
        <v>0</v>
      </c>
      <c r="P4272" t="n">
        <v>0</v>
      </c>
      <c r="Q4272" t="n">
        <v>0</v>
      </c>
      <c r="R4272" s="2" t="inlineStr"/>
    </row>
    <row r="4273" ht="15" customHeight="1">
      <c r="A4273" t="inlineStr">
        <is>
          <t>A 21726-2021</t>
        </is>
      </c>
      <c r="B4273" s="1" t="n">
        <v>44322</v>
      </c>
      <c r="C4273" s="1" t="n">
        <v>45204</v>
      </c>
      <c r="D4273" t="inlineStr">
        <is>
          <t>VÄSTERBOTTENS LÄN</t>
        </is>
      </c>
      <c r="E4273" t="inlineStr">
        <is>
          <t>VILHELMINA</t>
        </is>
      </c>
      <c r="G4273" t="n">
        <v>19.6</v>
      </c>
      <c r="H4273" t="n">
        <v>0</v>
      </c>
      <c r="I4273" t="n">
        <v>0</v>
      </c>
      <c r="J4273" t="n">
        <v>0</v>
      </c>
      <c r="K4273" t="n">
        <v>0</v>
      </c>
      <c r="L4273" t="n">
        <v>0</v>
      </c>
      <c r="M4273" t="n">
        <v>0</v>
      </c>
      <c r="N4273" t="n">
        <v>0</v>
      </c>
      <c r="O4273" t="n">
        <v>0</v>
      </c>
      <c r="P4273" t="n">
        <v>0</v>
      </c>
      <c r="Q4273" t="n">
        <v>0</v>
      </c>
      <c r="R4273" s="2" t="inlineStr"/>
    </row>
    <row r="4274" ht="15" customHeight="1">
      <c r="A4274" t="inlineStr">
        <is>
          <t>A 21955-2021</t>
        </is>
      </c>
      <c r="B4274" s="1" t="n">
        <v>44322</v>
      </c>
      <c r="C4274" s="1" t="n">
        <v>45204</v>
      </c>
      <c r="D4274" t="inlineStr">
        <is>
          <t>VÄSTERBOTTENS LÄN</t>
        </is>
      </c>
      <c r="E4274" t="inlineStr">
        <is>
          <t>STORUMAN</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22067-2021</t>
        </is>
      </c>
      <c r="B4275" s="1" t="n">
        <v>44322</v>
      </c>
      <c r="C4275" s="1" t="n">
        <v>45204</v>
      </c>
      <c r="D4275" t="inlineStr">
        <is>
          <t>VÄSTERBOTTENS LÄN</t>
        </is>
      </c>
      <c r="E4275" t="inlineStr">
        <is>
          <t>SKELLEFTEÅ</t>
        </is>
      </c>
      <c r="G4275" t="n">
        <v>10.7</v>
      </c>
      <c r="H4275" t="n">
        <v>0</v>
      </c>
      <c r="I4275" t="n">
        <v>0</v>
      </c>
      <c r="J4275" t="n">
        <v>0</v>
      </c>
      <c r="K4275" t="n">
        <v>0</v>
      </c>
      <c r="L4275" t="n">
        <v>0</v>
      </c>
      <c r="M4275" t="n">
        <v>0</v>
      </c>
      <c r="N4275" t="n">
        <v>0</v>
      </c>
      <c r="O4275" t="n">
        <v>0</v>
      </c>
      <c r="P4275" t="n">
        <v>0</v>
      </c>
      <c r="Q4275" t="n">
        <v>0</v>
      </c>
      <c r="R4275" s="2" t="inlineStr"/>
    </row>
    <row r="4276" ht="15" customHeight="1">
      <c r="A4276" t="inlineStr">
        <is>
          <t>A 22672-2021</t>
        </is>
      </c>
      <c r="B4276" s="1" t="n">
        <v>44322</v>
      </c>
      <c r="C4276" s="1" t="n">
        <v>45204</v>
      </c>
      <c r="D4276" t="inlineStr">
        <is>
          <t>VÄSTERBOTTENS LÄN</t>
        </is>
      </c>
      <c r="E4276" t="inlineStr">
        <is>
          <t>SORSELE</t>
        </is>
      </c>
      <c r="F4276" t="inlineStr">
        <is>
          <t>Allmännings- och besparingsskogar</t>
        </is>
      </c>
      <c r="G4276" t="n">
        <v>74</v>
      </c>
      <c r="H4276" t="n">
        <v>0</v>
      </c>
      <c r="I4276" t="n">
        <v>0</v>
      </c>
      <c r="J4276" t="n">
        <v>0</v>
      </c>
      <c r="K4276" t="n">
        <v>0</v>
      </c>
      <c r="L4276" t="n">
        <v>0</v>
      </c>
      <c r="M4276" t="n">
        <v>0</v>
      </c>
      <c r="N4276" t="n">
        <v>0</v>
      </c>
      <c r="O4276" t="n">
        <v>0</v>
      </c>
      <c r="P4276" t="n">
        <v>0</v>
      </c>
      <c r="Q4276" t="n">
        <v>0</v>
      </c>
      <c r="R4276" s="2" t="inlineStr"/>
    </row>
    <row r="4277" ht="15" customHeight="1">
      <c r="A4277" t="inlineStr">
        <is>
          <t>A 22568-2021</t>
        </is>
      </c>
      <c r="B4277" s="1" t="n">
        <v>44322</v>
      </c>
      <c r="C4277" s="1" t="n">
        <v>45204</v>
      </c>
      <c r="D4277" t="inlineStr">
        <is>
          <t>VÄSTERBOTTENS LÄN</t>
        </is>
      </c>
      <c r="E4277" t="inlineStr">
        <is>
          <t>SKELLEFTEÅ</t>
        </is>
      </c>
      <c r="G4277" t="n">
        <v>1.4</v>
      </c>
      <c r="H4277" t="n">
        <v>0</v>
      </c>
      <c r="I4277" t="n">
        <v>0</v>
      </c>
      <c r="J4277" t="n">
        <v>0</v>
      </c>
      <c r="K4277" t="n">
        <v>0</v>
      </c>
      <c r="L4277" t="n">
        <v>0</v>
      </c>
      <c r="M4277" t="n">
        <v>0</v>
      </c>
      <c r="N4277" t="n">
        <v>0</v>
      </c>
      <c r="O4277" t="n">
        <v>0</v>
      </c>
      <c r="P4277" t="n">
        <v>0</v>
      </c>
      <c r="Q4277" t="n">
        <v>0</v>
      </c>
      <c r="R4277" s="2" t="inlineStr"/>
    </row>
    <row r="4278" ht="15" customHeight="1">
      <c r="A4278" t="inlineStr">
        <is>
          <t>A 22379-2021</t>
        </is>
      </c>
      <c r="B4278" s="1" t="n">
        <v>44323</v>
      </c>
      <c r="C4278" s="1" t="n">
        <v>45204</v>
      </c>
      <c r="D4278" t="inlineStr">
        <is>
          <t>VÄSTERBOTTENS LÄN</t>
        </is>
      </c>
      <c r="E4278" t="inlineStr">
        <is>
          <t>LYCKSELE</t>
        </is>
      </c>
      <c r="G4278" t="n">
        <v>8.9</v>
      </c>
      <c r="H4278" t="n">
        <v>0</v>
      </c>
      <c r="I4278" t="n">
        <v>0</v>
      </c>
      <c r="J4278" t="n">
        <v>0</v>
      </c>
      <c r="K4278" t="n">
        <v>0</v>
      </c>
      <c r="L4278" t="n">
        <v>0</v>
      </c>
      <c r="M4278" t="n">
        <v>0</v>
      </c>
      <c r="N4278" t="n">
        <v>0</v>
      </c>
      <c r="O4278" t="n">
        <v>0</v>
      </c>
      <c r="P4278" t="n">
        <v>0</v>
      </c>
      <c r="Q4278" t="n">
        <v>0</v>
      </c>
      <c r="R4278" s="2" t="inlineStr"/>
    </row>
    <row r="4279" ht="15" customHeight="1">
      <c r="A4279" t="inlineStr">
        <is>
          <t>A 21961-2021</t>
        </is>
      </c>
      <c r="B4279" s="1" t="n">
        <v>44323</v>
      </c>
      <c r="C4279" s="1" t="n">
        <v>45204</v>
      </c>
      <c r="D4279" t="inlineStr">
        <is>
          <t>VÄSTERBOTTENS LÄN</t>
        </is>
      </c>
      <c r="E4279" t="inlineStr">
        <is>
          <t>LYCKSELE</t>
        </is>
      </c>
      <c r="G4279" t="n">
        <v>11.1</v>
      </c>
      <c r="H4279" t="n">
        <v>0</v>
      </c>
      <c r="I4279" t="n">
        <v>0</v>
      </c>
      <c r="J4279" t="n">
        <v>0</v>
      </c>
      <c r="K4279" t="n">
        <v>0</v>
      </c>
      <c r="L4279" t="n">
        <v>0</v>
      </c>
      <c r="M4279" t="n">
        <v>0</v>
      </c>
      <c r="N4279" t="n">
        <v>0</v>
      </c>
      <c r="O4279" t="n">
        <v>0</v>
      </c>
      <c r="P4279" t="n">
        <v>0</v>
      </c>
      <c r="Q4279" t="n">
        <v>0</v>
      </c>
      <c r="R4279" s="2" t="inlineStr"/>
    </row>
    <row r="4280" ht="15" customHeight="1">
      <c r="A4280" t="inlineStr">
        <is>
          <t>A 22259-2021</t>
        </is>
      </c>
      <c r="B4280" s="1" t="n">
        <v>44323</v>
      </c>
      <c r="C4280" s="1" t="n">
        <v>45204</v>
      </c>
      <c r="D4280" t="inlineStr">
        <is>
          <t>VÄSTERBOTTENS LÄN</t>
        </is>
      </c>
      <c r="E4280" t="inlineStr">
        <is>
          <t>VINDELN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22125-2021</t>
        </is>
      </c>
      <c r="B4281" s="1" t="n">
        <v>44323</v>
      </c>
      <c r="C4281" s="1" t="n">
        <v>45204</v>
      </c>
      <c r="D4281" t="inlineStr">
        <is>
          <t>VÄSTERBOTTENS LÄN</t>
        </is>
      </c>
      <c r="E4281" t="inlineStr">
        <is>
          <t>VINDELN</t>
        </is>
      </c>
      <c r="G4281" t="n">
        <v>6.4</v>
      </c>
      <c r="H4281" t="n">
        <v>0</v>
      </c>
      <c r="I4281" t="n">
        <v>0</v>
      </c>
      <c r="J4281" t="n">
        <v>0</v>
      </c>
      <c r="K4281" t="n">
        <v>0</v>
      </c>
      <c r="L4281" t="n">
        <v>0</v>
      </c>
      <c r="M4281" t="n">
        <v>0</v>
      </c>
      <c r="N4281" t="n">
        <v>0</v>
      </c>
      <c r="O4281" t="n">
        <v>0</v>
      </c>
      <c r="P4281" t="n">
        <v>0</v>
      </c>
      <c r="Q4281" t="n">
        <v>0</v>
      </c>
      <c r="R4281" s="2" t="inlineStr"/>
    </row>
    <row r="4282" ht="15" customHeight="1">
      <c r="A4282" t="inlineStr">
        <is>
          <t>A 22534-2021</t>
        </is>
      </c>
      <c r="B4282" s="1" t="n">
        <v>44326</v>
      </c>
      <c r="C4282" s="1" t="n">
        <v>45204</v>
      </c>
      <c r="D4282" t="inlineStr">
        <is>
          <t>VÄSTERBOTTENS LÄN</t>
        </is>
      </c>
      <c r="E4282" t="inlineStr">
        <is>
          <t>SORSELE</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22279-2021</t>
        </is>
      </c>
      <c r="B4283" s="1" t="n">
        <v>44326</v>
      </c>
      <c r="C4283" s="1" t="n">
        <v>45204</v>
      </c>
      <c r="D4283" t="inlineStr">
        <is>
          <t>VÄSTERBOTTENS LÄN</t>
        </is>
      </c>
      <c r="E4283" t="inlineStr">
        <is>
          <t>UMEÅ</t>
        </is>
      </c>
      <c r="G4283" t="n">
        <v>3.2</v>
      </c>
      <c r="H4283" t="n">
        <v>0</v>
      </c>
      <c r="I4283" t="n">
        <v>0</v>
      </c>
      <c r="J4283" t="n">
        <v>0</v>
      </c>
      <c r="K4283" t="n">
        <v>0</v>
      </c>
      <c r="L4283" t="n">
        <v>0</v>
      </c>
      <c r="M4283" t="n">
        <v>0</v>
      </c>
      <c r="N4283" t="n">
        <v>0</v>
      </c>
      <c r="O4283" t="n">
        <v>0</v>
      </c>
      <c r="P4283" t="n">
        <v>0</v>
      </c>
      <c r="Q4283" t="n">
        <v>0</v>
      </c>
      <c r="R4283" s="2" t="inlineStr"/>
    </row>
    <row r="4284" ht="15" customHeight="1">
      <c r="A4284" t="inlineStr">
        <is>
          <t>A 22377-2021</t>
        </is>
      </c>
      <c r="B4284" s="1" t="n">
        <v>44326</v>
      </c>
      <c r="C4284" s="1" t="n">
        <v>45204</v>
      </c>
      <c r="D4284" t="inlineStr">
        <is>
          <t>VÄSTERBOTTENS LÄN</t>
        </is>
      </c>
      <c r="E4284" t="inlineStr">
        <is>
          <t>SORSELE</t>
        </is>
      </c>
      <c r="G4284" t="n">
        <v>4</v>
      </c>
      <c r="H4284" t="n">
        <v>0</v>
      </c>
      <c r="I4284" t="n">
        <v>0</v>
      </c>
      <c r="J4284" t="n">
        <v>0</v>
      </c>
      <c r="K4284" t="n">
        <v>0</v>
      </c>
      <c r="L4284" t="n">
        <v>0</v>
      </c>
      <c r="M4284" t="n">
        <v>0</v>
      </c>
      <c r="N4284" t="n">
        <v>0</v>
      </c>
      <c r="O4284" t="n">
        <v>0</v>
      </c>
      <c r="P4284" t="n">
        <v>0</v>
      </c>
      <c r="Q4284" t="n">
        <v>0</v>
      </c>
      <c r="R4284" s="2" t="inlineStr"/>
    </row>
    <row r="4285" ht="15" customHeight="1">
      <c r="A4285" t="inlineStr">
        <is>
          <t>A 22430-2021</t>
        </is>
      </c>
      <c r="B4285" s="1" t="n">
        <v>44326</v>
      </c>
      <c r="C4285" s="1" t="n">
        <v>45204</v>
      </c>
      <c r="D4285" t="inlineStr">
        <is>
          <t>VÄSTERBOTTENS LÄN</t>
        </is>
      </c>
      <c r="E4285" t="inlineStr">
        <is>
          <t>SORSELE</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22503-2021</t>
        </is>
      </c>
      <c r="B4286" s="1" t="n">
        <v>44326</v>
      </c>
      <c r="C4286" s="1" t="n">
        <v>45204</v>
      </c>
      <c r="D4286" t="inlineStr">
        <is>
          <t>VÄSTERBOTTENS LÄN</t>
        </is>
      </c>
      <c r="E4286" t="inlineStr">
        <is>
          <t>UMEÅ</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22425-2021</t>
        </is>
      </c>
      <c r="B4287" s="1" t="n">
        <v>44326</v>
      </c>
      <c r="C4287" s="1" t="n">
        <v>45204</v>
      </c>
      <c r="D4287" t="inlineStr">
        <is>
          <t>VÄSTERBOTTENS LÄN</t>
        </is>
      </c>
      <c r="E4287" t="inlineStr">
        <is>
          <t>SORSELE</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22626-2021</t>
        </is>
      </c>
      <c r="B4288" s="1" t="n">
        <v>44326</v>
      </c>
      <c r="C4288" s="1" t="n">
        <v>45204</v>
      </c>
      <c r="D4288" t="inlineStr">
        <is>
          <t>VÄSTERBOTTENS LÄN</t>
        </is>
      </c>
      <c r="E4288" t="inlineStr">
        <is>
          <t>SKELLEFTEÅ</t>
        </is>
      </c>
      <c r="G4288" t="n">
        <v>8.4</v>
      </c>
      <c r="H4288" t="n">
        <v>0</v>
      </c>
      <c r="I4288" t="n">
        <v>0</v>
      </c>
      <c r="J4288" t="n">
        <v>0</v>
      </c>
      <c r="K4288" t="n">
        <v>0</v>
      </c>
      <c r="L4288" t="n">
        <v>0</v>
      </c>
      <c r="M4288" t="n">
        <v>0</v>
      </c>
      <c r="N4288" t="n">
        <v>0</v>
      </c>
      <c r="O4288" t="n">
        <v>0</v>
      </c>
      <c r="P4288" t="n">
        <v>0</v>
      </c>
      <c r="Q4288" t="n">
        <v>0</v>
      </c>
      <c r="R4288" s="2" t="inlineStr"/>
    </row>
    <row r="4289" ht="15" customHeight="1">
      <c r="A4289" t="inlineStr">
        <is>
          <t>A 23278-2021</t>
        </is>
      </c>
      <c r="B4289" s="1" t="n">
        <v>44328</v>
      </c>
      <c r="C4289" s="1" t="n">
        <v>45204</v>
      </c>
      <c r="D4289" t="inlineStr">
        <is>
          <t>VÄSTERBOTTENS LÄN</t>
        </is>
      </c>
      <c r="E4289" t="inlineStr">
        <is>
          <t>VILHELMINA</t>
        </is>
      </c>
      <c r="F4289" t="inlineStr">
        <is>
          <t>Allmännings- och besparingsskogar</t>
        </is>
      </c>
      <c r="G4289" t="n">
        <v>13.6</v>
      </c>
      <c r="H4289" t="n">
        <v>0</v>
      </c>
      <c r="I4289" t="n">
        <v>0</v>
      </c>
      <c r="J4289" t="n">
        <v>0</v>
      </c>
      <c r="K4289" t="n">
        <v>0</v>
      </c>
      <c r="L4289" t="n">
        <v>0</v>
      </c>
      <c r="M4289" t="n">
        <v>0</v>
      </c>
      <c r="N4289" t="n">
        <v>0</v>
      </c>
      <c r="O4289" t="n">
        <v>0</v>
      </c>
      <c r="P4289" t="n">
        <v>0</v>
      </c>
      <c r="Q4289" t="n">
        <v>0</v>
      </c>
      <c r="R4289" s="2" t="inlineStr"/>
    </row>
    <row r="4290" ht="15" customHeight="1">
      <c r="A4290" t="inlineStr">
        <is>
          <t>A 23270-2021</t>
        </is>
      </c>
      <c r="B4290" s="1" t="n">
        <v>44328</v>
      </c>
      <c r="C4290" s="1" t="n">
        <v>45204</v>
      </c>
      <c r="D4290" t="inlineStr">
        <is>
          <t>VÄSTERBOTTENS LÄN</t>
        </is>
      </c>
      <c r="E4290" t="inlineStr">
        <is>
          <t>VILHELMINA</t>
        </is>
      </c>
      <c r="F4290" t="inlineStr">
        <is>
          <t>Allmännings- och besparingsskogar</t>
        </is>
      </c>
      <c r="G4290" t="n">
        <v>14.7</v>
      </c>
      <c r="H4290" t="n">
        <v>0</v>
      </c>
      <c r="I4290" t="n">
        <v>0</v>
      </c>
      <c r="J4290" t="n">
        <v>0</v>
      </c>
      <c r="K4290" t="n">
        <v>0</v>
      </c>
      <c r="L4290" t="n">
        <v>0</v>
      </c>
      <c r="M4290" t="n">
        <v>0</v>
      </c>
      <c r="N4290" t="n">
        <v>0</v>
      </c>
      <c r="O4290" t="n">
        <v>0</v>
      </c>
      <c r="P4290" t="n">
        <v>0</v>
      </c>
      <c r="Q4290" t="n">
        <v>0</v>
      </c>
      <c r="R4290" s="2" t="inlineStr"/>
    </row>
    <row r="4291" ht="15" customHeight="1">
      <c r="A4291" t="inlineStr">
        <is>
          <t>A 23022-2021</t>
        </is>
      </c>
      <c r="B4291" s="1" t="n">
        <v>44328</v>
      </c>
      <c r="C4291" s="1" t="n">
        <v>45204</v>
      </c>
      <c r="D4291" t="inlineStr">
        <is>
          <t>VÄSTERBOTTENS LÄN</t>
        </is>
      </c>
      <c r="E4291" t="inlineStr">
        <is>
          <t>ÅSELE</t>
        </is>
      </c>
      <c r="F4291" t="inlineStr">
        <is>
          <t>SCA</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23261-2021</t>
        </is>
      </c>
      <c r="B4292" s="1" t="n">
        <v>44330</v>
      </c>
      <c r="C4292" s="1" t="n">
        <v>45204</v>
      </c>
      <c r="D4292" t="inlineStr">
        <is>
          <t>VÄSTERBOTTENS LÄN</t>
        </is>
      </c>
      <c r="E4292" t="inlineStr">
        <is>
          <t>VILHELMINA</t>
        </is>
      </c>
      <c r="G4292" t="n">
        <v>4.5</v>
      </c>
      <c r="H4292" t="n">
        <v>0</v>
      </c>
      <c r="I4292" t="n">
        <v>0</v>
      </c>
      <c r="J4292" t="n">
        <v>0</v>
      </c>
      <c r="K4292" t="n">
        <v>0</v>
      </c>
      <c r="L4292" t="n">
        <v>0</v>
      </c>
      <c r="M4292" t="n">
        <v>0</v>
      </c>
      <c r="N4292" t="n">
        <v>0</v>
      </c>
      <c r="O4292" t="n">
        <v>0</v>
      </c>
      <c r="P4292" t="n">
        <v>0</v>
      </c>
      <c r="Q4292" t="n">
        <v>0</v>
      </c>
      <c r="R4292" s="2" t="inlineStr"/>
    </row>
    <row r="4293" ht="15" customHeight="1">
      <c r="A4293" t="inlineStr">
        <is>
          <t>A 23285-2021</t>
        </is>
      </c>
      <c r="B4293" s="1" t="n">
        <v>44330</v>
      </c>
      <c r="C4293" s="1" t="n">
        <v>45204</v>
      </c>
      <c r="D4293" t="inlineStr">
        <is>
          <t>VÄSTERBOTTENS LÄN</t>
        </is>
      </c>
      <c r="E4293" t="inlineStr">
        <is>
          <t>UMEÅ</t>
        </is>
      </c>
      <c r="G4293" t="n">
        <v>4.6</v>
      </c>
      <c r="H4293" t="n">
        <v>0</v>
      </c>
      <c r="I4293" t="n">
        <v>0</v>
      </c>
      <c r="J4293" t="n">
        <v>0</v>
      </c>
      <c r="K4293" t="n">
        <v>0</v>
      </c>
      <c r="L4293" t="n">
        <v>0</v>
      </c>
      <c r="M4293" t="n">
        <v>0</v>
      </c>
      <c r="N4293" t="n">
        <v>0</v>
      </c>
      <c r="O4293" t="n">
        <v>0</v>
      </c>
      <c r="P4293" t="n">
        <v>0</v>
      </c>
      <c r="Q4293" t="n">
        <v>0</v>
      </c>
      <c r="R4293" s="2" t="inlineStr"/>
    </row>
    <row r="4294" ht="15" customHeight="1">
      <c r="A4294" t="inlineStr">
        <is>
          <t>A 23135-2021</t>
        </is>
      </c>
      <c r="B4294" s="1" t="n">
        <v>44330</v>
      </c>
      <c r="C4294" s="1" t="n">
        <v>45204</v>
      </c>
      <c r="D4294" t="inlineStr">
        <is>
          <t>VÄSTERBOTTENS LÄN</t>
        </is>
      </c>
      <c r="E4294" t="inlineStr">
        <is>
          <t>SORSELE</t>
        </is>
      </c>
      <c r="F4294" t="inlineStr">
        <is>
          <t>SCA</t>
        </is>
      </c>
      <c r="G4294" t="n">
        <v>10.5</v>
      </c>
      <c r="H4294" t="n">
        <v>0</v>
      </c>
      <c r="I4294" t="n">
        <v>0</v>
      </c>
      <c r="J4294" t="n">
        <v>0</v>
      </c>
      <c r="K4294" t="n">
        <v>0</v>
      </c>
      <c r="L4294" t="n">
        <v>0</v>
      </c>
      <c r="M4294" t="n">
        <v>0</v>
      </c>
      <c r="N4294" t="n">
        <v>0</v>
      </c>
      <c r="O4294" t="n">
        <v>0</v>
      </c>
      <c r="P4294" t="n">
        <v>0</v>
      </c>
      <c r="Q4294" t="n">
        <v>0</v>
      </c>
      <c r="R4294" s="2" t="inlineStr"/>
    </row>
    <row r="4295" ht="15" customHeight="1">
      <c r="A4295" t="inlineStr">
        <is>
          <t>A 23143-2021</t>
        </is>
      </c>
      <c r="B4295" s="1" t="n">
        <v>44331</v>
      </c>
      <c r="C4295" s="1" t="n">
        <v>45204</v>
      </c>
      <c r="D4295" t="inlineStr">
        <is>
          <t>VÄSTERBOTTENS LÄN</t>
        </is>
      </c>
      <c r="E4295" t="inlineStr">
        <is>
          <t>ROBERTSFORS</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23408-2021</t>
        </is>
      </c>
      <c r="B4296" s="1" t="n">
        <v>44333</v>
      </c>
      <c r="C4296" s="1" t="n">
        <v>45204</v>
      </c>
      <c r="D4296" t="inlineStr">
        <is>
          <t>VÄSTERBOTTENS LÄN</t>
        </is>
      </c>
      <c r="E4296" t="inlineStr">
        <is>
          <t>SKELLEFTEÅ</t>
        </is>
      </c>
      <c r="F4296" t="inlineStr">
        <is>
          <t>Holmen skog AB</t>
        </is>
      </c>
      <c r="G4296" t="n">
        <v>4.2</v>
      </c>
      <c r="H4296" t="n">
        <v>0</v>
      </c>
      <c r="I4296" t="n">
        <v>0</v>
      </c>
      <c r="J4296" t="n">
        <v>0</v>
      </c>
      <c r="K4296" t="n">
        <v>0</v>
      </c>
      <c r="L4296" t="n">
        <v>0</v>
      </c>
      <c r="M4296" t="n">
        <v>0</v>
      </c>
      <c r="N4296" t="n">
        <v>0</v>
      </c>
      <c r="O4296" t="n">
        <v>0</v>
      </c>
      <c r="P4296" t="n">
        <v>0</v>
      </c>
      <c r="Q4296" t="n">
        <v>0</v>
      </c>
      <c r="R4296" s="2" t="inlineStr"/>
    </row>
    <row r="4297" ht="15" customHeight="1">
      <c r="A4297" t="inlineStr">
        <is>
          <t>A 23657-2021</t>
        </is>
      </c>
      <c r="B4297" s="1" t="n">
        <v>44334</v>
      </c>
      <c r="C4297" s="1" t="n">
        <v>45204</v>
      </c>
      <c r="D4297" t="inlineStr">
        <is>
          <t>VÄSTERBOTTENS LÄN</t>
        </is>
      </c>
      <c r="E4297" t="inlineStr">
        <is>
          <t>VINDELN</t>
        </is>
      </c>
      <c r="F4297" t="inlineStr">
        <is>
          <t>Sveaskog</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23801-2021</t>
        </is>
      </c>
      <c r="B4298" s="1" t="n">
        <v>44334</v>
      </c>
      <c r="C4298" s="1" t="n">
        <v>45204</v>
      </c>
      <c r="D4298" t="inlineStr">
        <is>
          <t>VÄSTERBOTTENS LÄN</t>
        </is>
      </c>
      <c r="E4298" t="inlineStr">
        <is>
          <t>SKELLEFTEÅ</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23885-2021</t>
        </is>
      </c>
      <c r="B4299" s="1" t="n">
        <v>44335</v>
      </c>
      <c r="C4299" s="1" t="n">
        <v>45204</v>
      </c>
      <c r="D4299" t="inlineStr">
        <is>
          <t>VÄSTERBOTTENS LÄN</t>
        </is>
      </c>
      <c r="E4299" t="inlineStr">
        <is>
          <t>SKELLEFTEÅ</t>
        </is>
      </c>
      <c r="F4299" t="inlineStr">
        <is>
          <t>Holmen skog AB</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24027-2021</t>
        </is>
      </c>
      <c r="B4300" s="1" t="n">
        <v>44335</v>
      </c>
      <c r="C4300" s="1" t="n">
        <v>45204</v>
      </c>
      <c r="D4300" t="inlineStr">
        <is>
          <t>VÄSTERBOTTENS LÄN</t>
        </is>
      </c>
      <c r="E4300" t="inlineStr">
        <is>
          <t>NORDMALING</t>
        </is>
      </c>
      <c r="G4300" t="n">
        <v>10</v>
      </c>
      <c r="H4300" t="n">
        <v>0</v>
      </c>
      <c r="I4300" t="n">
        <v>0</v>
      </c>
      <c r="J4300" t="n">
        <v>0</v>
      </c>
      <c r="K4300" t="n">
        <v>0</v>
      </c>
      <c r="L4300" t="n">
        <v>0</v>
      </c>
      <c r="M4300" t="n">
        <v>0</v>
      </c>
      <c r="N4300" t="n">
        <v>0</v>
      </c>
      <c r="O4300" t="n">
        <v>0</v>
      </c>
      <c r="P4300" t="n">
        <v>0</v>
      </c>
      <c r="Q4300" t="n">
        <v>0</v>
      </c>
      <c r="R4300" s="2" t="inlineStr"/>
    </row>
    <row r="4301" ht="15" customHeight="1">
      <c r="A4301" t="inlineStr">
        <is>
          <t>A 24203-2021</t>
        </is>
      </c>
      <c r="B4301" s="1" t="n">
        <v>44336</v>
      </c>
      <c r="C4301" s="1" t="n">
        <v>45204</v>
      </c>
      <c r="D4301" t="inlineStr">
        <is>
          <t>VÄSTERBOTTENS LÄN</t>
        </is>
      </c>
      <c r="E4301" t="inlineStr">
        <is>
          <t>DOROTEA</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24206-2021</t>
        </is>
      </c>
      <c r="B4302" s="1" t="n">
        <v>44336</v>
      </c>
      <c r="C4302" s="1" t="n">
        <v>45204</v>
      </c>
      <c r="D4302" t="inlineStr">
        <is>
          <t>VÄSTERBOTTENS LÄN</t>
        </is>
      </c>
      <c r="E4302" t="inlineStr">
        <is>
          <t>DOROTEA</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24207-2021</t>
        </is>
      </c>
      <c r="B4303" s="1" t="n">
        <v>44336</v>
      </c>
      <c r="C4303" s="1" t="n">
        <v>45204</v>
      </c>
      <c r="D4303" t="inlineStr">
        <is>
          <t>VÄSTERBOTTENS LÄN</t>
        </is>
      </c>
      <c r="E4303" t="inlineStr">
        <is>
          <t>DOROTEA</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24503-2021</t>
        </is>
      </c>
      <c r="B4304" s="1" t="n">
        <v>44337</v>
      </c>
      <c r="C4304" s="1" t="n">
        <v>45204</v>
      </c>
      <c r="D4304" t="inlineStr">
        <is>
          <t>VÄSTERBOTTENS LÄN</t>
        </is>
      </c>
      <c r="E4304" t="inlineStr">
        <is>
          <t>MALÅ</t>
        </is>
      </c>
      <c r="G4304" t="n">
        <v>33.3</v>
      </c>
      <c r="H4304" t="n">
        <v>0</v>
      </c>
      <c r="I4304" t="n">
        <v>0</v>
      </c>
      <c r="J4304" t="n">
        <v>0</v>
      </c>
      <c r="K4304" t="n">
        <v>0</v>
      </c>
      <c r="L4304" t="n">
        <v>0</v>
      </c>
      <c r="M4304" t="n">
        <v>0</v>
      </c>
      <c r="N4304" t="n">
        <v>0</v>
      </c>
      <c r="O4304" t="n">
        <v>0</v>
      </c>
      <c r="P4304" t="n">
        <v>0</v>
      </c>
      <c r="Q4304" t="n">
        <v>0</v>
      </c>
      <c r="R4304" s="2" t="inlineStr"/>
    </row>
    <row r="4305" ht="15" customHeight="1">
      <c r="A4305" t="inlineStr">
        <is>
          <t>A 24364-2021</t>
        </is>
      </c>
      <c r="B4305" s="1" t="n">
        <v>44337</v>
      </c>
      <c r="C4305" s="1" t="n">
        <v>45204</v>
      </c>
      <c r="D4305" t="inlineStr">
        <is>
          <t>VÄSTERBOTTENS LÄN</t>
        </is>
      </c>
      <c r="E4305" t="inlineStr">
        <is>
          <t>DOROTEA</t>
        </is>
      </c>
      <c r="F4305" t="inlineStr">
        <is>
          <t>SCA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24572-2021</t>
        </is>
      </c>
      <c r="B4306" s="1" t="n">
        <v>44339</v>
      </c>
      <c r="C4306" s="1" t="n">
        <v>45204</v>
      </c>
      <c r="D4306" t="inlineStr">
        <is>
          <t>VÄSTERBOTTENS LÄN</t>
        </is>
      </c>
      <c r="E4306" t="inlineStr">
        <is>
          <t>ROBERTSFORS</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24869-2021</t>
        </is>
      </c>
      <c r="B4307" s="1" t="n">
        <v>44340</v>
      </c>
      <c r="C4307" s="1" t="n">
        <v>45204</v>
      </c>
      <c r="D4307" t="inlineStr">
        <is>
          <t>VÄSTERBOTTENS LÄN</t>
        </is>
      </c>
      <c r="E4307" t="inlineStr">
        <is>
          <t>VINDELN</t>
        </is>
      </c>
      <c r="G4307" t="n">
        <v>17.1</v>
      </c>
      <c r="H4307" t="n">
        <v>0</v>
      </c>
      <c r="I4307" t="n">
        <v>0</v>
      </c>
      <c r="J4307" t="n">
        <v>0</v>
      </c>
      <c r="K4307" t="n">
        <v>0</v>
      </c>
      <c r="L4307" t="n">
        <v>0</v>
      </c>
      <c r="M4307" t="n">
        <v>0</v>
      </c>
      <c r="N4307" t="n">
        <v>0</v>
      </c>
      <c r="O4307" t="n">
        <v>0</v>
      </c>
      <c r="P4307" t="n">
        <v>0</v>
      </c>
      <c r="Q4307" t="n">
        <v>0</v>
      </c>
      <c r="R4307" s="2" t="inlineStr"/>
    </row>
    <row r="4308" ht="15" customHeight="1">
      <c r="A4308" t="inlineStr">
        <is>
          <t>A 24892-2021</t>
        </is>
      </c>
      <c r="B4308" s="1" t="n">
        <v>44340</v>
      </c>
      <c r="C4308" s="1" t="n">
        <v>45204</v>
      </c>
      <c r="D4308" t="inlineStr">
        <is>
          <t>VÄSTERBOTTENS LÄN</t>
        </is>
      </c>
      <c r="E4308" t="inlineStr">
        <is>
          <t>VINDELN</t>
        </is>
      </c>
      <c r="G4308" t="n">
        <v>10</v>
      </c>
      <c r="H4308" t="n">
        <v>0</v>
      </c>
      <c r="I4308" t="n">
        <v>0</v>
      </c>
      <c r="J4308" t="n">
        <v>0</v>
      </c>
      <c r="K4308" t="n">
        <v>0</v>
      </c>
      <c r="L4308" t="n">
        <v>0</v>
      </c>
      <c r="M4308" t="n">
        <v>0</v>
      </c>
      <c r="N4308" t="n">
        <v>0</v>
      </c>
      <c r="O4308" t="n">
        <v>0</v>
      </c>
      <c r="P4308" t="n">
        <v>0</v>
      </c>
      <c r="Q4308" t="n">
        <v>0</v>
      </c>
      <c r="R4308" s="2" t="inlineStr"/>
    </row>
    <row r="4309" ht="15" customHeight="1">
      <c r="A4309" t="inlineStr">
        <is>
          <t>A 24653-2021</t>
        </is>
      </c>
      <c r="B4309" s="1" t="n">
        <v>44340</v>
      </c>
      <c r="C4309" s="1" t="n">
        <v>45204</v>
      </c>
      <c r="D4309" t="inlineStr">
        <is>
          <t>VÄSTERBOTTENS LÄN</t>
        </is>
      </c>
      <c r="E4309" t="inlineStr">
        <is>
          <t>SKELLEFTEÅ</t>
        </is>
      </c>
      <c r="G4309" t="n">
        <v>6.7</v>
      </c>
      <c r="H4309" t="n">
        <v>0</v>
      </c>
      <c r="I4309" t="n">
        <v>0</v>
      </c>
      <c r="J4309" t="n">
        <v>0</v>
      </c>
      <c r="K4309" t="n">
        <v>0</v>
      </c>
      <c r="L4309" t="n">
        <v>0</v>
      </c>
      <c r="M4309" t="n">
        <v>0</v>
      </c>
      <c r="N4309" t="n">
        <v>0</v>
      </c>
      <c r="O4309" t="n">
        <v>0</v>
      </c>
      <c r="P4309" t="n">
        <v>0</v>
      </c>
      <c r="Q4309" t="n">
        <v>0</v>
      </c>
      <c r="R4309" s="2" t="inlineStr"/>
    </row>
    <row r="4310" ht="15" customHeight="1">
      <c r="A4310" t="inlineStr">
        <is>
          <t>A 24868-2021</t>
        </is>
      </c>
      <c r="B4310" s="1" t="n">
        <v>44340</v>
      </c>
      <c r="C4310" s="1" t="n">
        <v>45204</v>
      </c>
      <c r="D4310" t="inlineStr">
        <is>
          <t>VÄSTERBOTTENS LÄN</t>
        </is>
      </c>
      <c r="E4310" t="inlineStr">
        <is>
          <t>VINDELN</t>
        </is>
      </c>
      <c r="G4310" t="n">
        <v>7.9</v>
      </c>
      <c r="H4310" t="n">
        <v>0</v>
      </c>
      <c r="I4310" t="n">
        <v>0</v>
      </c>
      <c r="J4310" t="n">
        <v>0</v>
      </c>
      <c r="K4310" t="n">
        <v>0</v>
      </c>
      <c r="L4310" t="n">
        <v>0</v>
      </c>
      <c r="M4310" t="n">
        <v>0</v>
      </c>
      <c r="N4310" t="n">
        <v>0</v>
      </c>
      <c r="O4310" t="n">
        <v>0</v>
      </c>
      <c r="P4310" t="n">
        <v>0</v>
      </c>
      <c r="Q4310" t="n">
        <v>0</v>
      </c>
      <c r="R4310" s="2" t="inlineStr"/>
    </row>
    <row r="4311" ht="15" customHeight="1">
      <c r="A4311" t="inlineStr">
        <is>
          <t>A 24875-2021</t>
        </is>
      </c>
      <c r="B4311" s="1" t="n">
        <v>44340</v>
      </c>
      <c r="C4311" s="1" t="n">
        <v>45204</v>
      </c>
      <c r="D4311" t="inlineStr">
        <is>
          <t>VÄSTERBOTTENS LÄN</t>
        </is>
      </c>
      <c r="E4311" t="inlineStr">
        <is>
          <t>VINDELN</t>
        </is>
      </c>
      <c r="G4311" t="n">
        <v>7.1</v>
      </c>
      <c r="H4311" t="n">
        <v>0</v>
      </c>
      <c r="I4311" t="n">
        <v>0</v>
      </c>
      <c r="J4311" t="n">
        <v>0</v>
      </c>
      <c r="K4311" t="n">
        <v>0</v>
      </c>
      <c r="L4311" t="n">
        <v>0</v>
      </c>
      <c r="M4311" t="n">
        <v>0</v>
      </c>
      <c r="N4311" t="n">
        <v>0</v>
      </c>
      <c r="O4311" t="n">
        <v>0</v>
      </c>
      <c r="P4311" t="n">
        <v>0</v>
      </c>
      <c r="Q4311" t="n">
        <v>0</v>
      </c>
      <c r="R4311" s="2" t="inlineStr"/>
    </row>
    <row r="4312" ht="15" customHeight="1">
      <c r="A4312" t="inlineStr">
        <is>
          <t>A 24871-2021</t>
        </is>
      </c>
      <c r="B4312" s="1" t="n">
        <v>44340</v>
      </c>
      <c r="C4312" s="1" t="n">
        <v>45204</v>
      </c>
      <c r="D4312" t="inlineStr">
        <is>
          <t>VÄSTERBOTTENS LÄN</t>
        </is>
      </c>
      <c r="E4312" t="inlineStr">
        <is>
          <t>VINDELN</t>
        </is>
      </c>
      <c r="G4312" t="n">
        <v>10.7</v>
      </c>
      <c r="H4312" t="n">
        <v>0</v>
      </c>
      <c r="I4312" t="n">
        <v>0</v>
      </c>
      <c r="J4312" t="n">
        <v>0</v>
      </c>
      <c r="K4312" t="n">
        <v>0</v>
      </c>
      <c r="L4312" t="n">
        <v>0</v>
      </c>
      <c r="M4312" t="n">
        <v>0</v>
      </c>
      <c r="N4312" t="n">
        <v>0</v>
      </c>
      <c r="O4312" t="n">
        <v>0</v>
      </c>
      <c r="P4312" t="n">
        <v>0</v>
      </c>
      <c r="Q4312" t="n">
        <v>0</v>
      </c>
      <c r="R4312" s="2" t="inlineStr"/>
    </row>
    <row r="4313" ht="15" customHeight="1">
      <c r="A4313" t="inlineStr">
        <is>
          <t>A 24895-2021</t>
        </is>
      </c>
      <c r="B4313" s="1" t="n">
        <v>44340</v>
      </c>
      <c r="C4313" s="1" t="n">
        <v>45204</v>
      </c>
      <c r="D4313" t="inlineStr">
        <is>
          <t>VÄSTERBOTTENS LÄN</t>
        </is>
      </c>
      <c r="E4313" t="inlineStr">
        <is>
          <t>VINDELN</t>
        </is>
      </c>
      <c r="G4313" t="n">
        <v>2</v>
      </c>
      <c r="H4313" t="n">
        <v>0</v>
      </c>
      <c r="I4313" t="n">
        <v>0</v>
      </c>
      <c r="J4313" t="n">
        <v>0</v>
      </c>
      <c r="K4313" t="n">
        <v>0</v>
      </c>
      <c r="L4313" t="n">
        <v>0</v>
      </c>
      <c r="M4313" t="n">
        <v>0</v>
      </c>
      <c r="N4313" t="n">
        <v>0</v>
      </c>
      <c r="O4313" t="n">
        <v>0</v>
      </c>
      <c r="P4313" t="n">
        <v>0</v>
      </c>
      <c r="Q4313" t="n">
        <v>0</v>
      </c>
      <c r="R4313" s="2" t="inlineStr"/>
    </row>
    <row r="4314" ht="15" customHeight="1">
      <c r="A4314" t="inlineStr">
        <is>
          <t>A 24797-2021</t>
        </is>
      </c>
      <c r="B4314" s="1" t="n">
        <v>44340</v>
      </c>
      <c r="C4314" s="1" t="n">
        <v>45204</v>
      </c>
      <c r="D4314" t="inlineStr">
        <is>
          <t>VÄSTERBOTTENS LÄN</t>
        </is>
      </c>
      <c r="E4314" t="inlineStr">
        <is>
          <t>ROBERTSFORS</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24873-2021</t>
        </is>
      </c>
      <c r="B4315" s="1" t="n">
        <v>44340</v>
      </c>
      <c r="C4315" s="1" t="n">
        <v>45204</v>
      </c>
      <c r="D4315" t="inlineStr">
        <is>
          <t>VÄSTERBOTTENS LÄN</t>
        </is>
      </c>
      <c r="E4315" t="inlineStr">
        <is>
          <t>VINDELN</t>
        </is>
      </c>
      <c r="G4315" t="n">
        <v>23</v>
      </c>
      <c r="H4315" t="n">
        <v>0</v>
      </c>
      <c r="I4315" t="n">
        <v>0</v>
      </c>
      <c r="J4315" t="n">
        <v>0</v>
      </c>
      <c r="K4315" t="n">
        <v>0</v>
      </c>
      <c r="L4315" t="n">
        <v>0</v>
      </c>
      <c r="M4315" t="n">
        <v>0</v>
      </c>
      <c r="N4315" t="n">
        <v>0</v>
      </c>
      <c r="O4315" t="n">
        <v>0</v>
      </c>
      <c r="P4315" t="n">
        <v>0</v>
      </c>
      <c r="Q4315" t="n">
        <v>0</v>
      </c>
      <c r="R4315" s="2" t="inlineStr"/>
    </row>
    <row r="4316" ht="15" customHeight="1">
      <c r="A4316" t="inlineStr">
        <is>
          <t>A 24901-2021</t>
        </is>
      </c>
      <c r="B4316" s="1" t="n">
        <v>44340</v>
      </c>
      <c r="C4316" s="1" t="n">
        <v>45204</v>
      </c>
      <c r="D4316" t="inlineStr">
        <is>
          <t>VÄSTERBOTTENS LÄN</t>
        </is>
      </c>
      <c r="E4316" t="inlineStr">
        <is>
          <t>VINDELN</t>
        </is>
      </c>
      <c r="G4316" t="n">
        <v>10</v>
      </c>
      <c r="H4316" t="n">
        <v>0</v>
      </c>
      <c r="I4316" t="n">
        <v>0</v>
      </c>
      <c r="J4316" t="n">
        <v>0</v>
      </c>
      <c r="K4316" t="n">
        <v>0</v>
      </c>
      <c r="L4316" t="n">
        <v>0</v>
      </c>
      <c r="M4316" t="n">
        <v>0</v>
      </c>
      <c r="N4316" t="n">
        <v>0</v>
      </c>
      <c r="O4316" t="n">
        <v>0</v>
      </c>
      <c r="P4316" t="n">
        <v>0</v>
      </c>
      <c r="Q4316" t="n">
        <v>0</v>
      </c>
      <c r="R4316" s="2" t="inlineStr"/>
    </row>
    <row r="4317" ht="15" customHeight="1">
      <c r="A4317" t="inlineStr">
        <is>
          <t>A 25129-2021</t>
        </is>
      </c>
      <c r="B4317" s="1" t="n">
        <v>44341</v>
      </c>
      <c r="C4317" s="1" t="n">
        <v>45204</v>
      </c>
      <c r="D4317" t="inlineStr">
        <is>
          <t>VÄSTERBOTTENS LÄN</t>
        </is>
      </c>
      <c r="E4317" t="inlineStr">
        <is>
          <t>ÅSELE</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24599-2021</t>
        </is>
      </c>
      <c r="B4318" s="1" t="n">
        <v>44341</v>
      </c>
      <c r="C4318" s="1" t="n">
        <v>45204</v>
      </c>
      <c r="D4318" t="inlineStr">
        <is>
          <t>VÄSTERBOTTENS LÄN</t>
        </is>
      </c>
      <c r="E4318" t="inlineStr">
        <is>
          <t>VILHELMINA</t>
        </is>
      </c>
      <c r="G4318" t="n">
        <v>14.5</v>
      </c>
      <c r="H4318" t="n">
        <v>0</v>
      </c>
      <c r="I4318" t="n">
        <v>0</v>
      </c>
      <c r="J4318" t="n">
        <v>0</v>
      </c>
      <c r="K4318" t="n">
        <v>0</v>
      </c>
      <c r="L4318" t="n">
        <v>0</v>
      </c>
      <c r="M4318" t="n">
        <v>0</v>
      </c>
      <c r="N4318" t="n">
        <v>0</v>
      </c>
      <c r="O4318" t="n">
        <v>0</v>
      </c>
      <c r="P4318" t="n">
        <v>0</v>
      </c>
      <c r="Q4318" t="n">
        <v>0</v>
      </c>
      <c r="R4318" s="2" t="inlineStr"/>
    </row>
    <row r="4319" ht="15" customHeight="1">
      <c r="A4319" t="inlineStr">
        <is>
          <t>A 24942-2021</t>
        </is>
      </c>
      <c r="B4319" s="1" t="n">
        <v>44341</v>
      </c>
      <c r="C4319" s="1" t="n">
        <v>45204</v>
      </c>
      <c r="D4319" t="inlineStr">
        <is>
          <t>VÄSTERBOTTENS LÄN</t>
        </is>
      </c>
      <c r="E4319" t="inlineStr">
        <is>
          <t>UMEÅ</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24983-2021</t>
        </is>
      </c>
      <c r="B4320" s="1" t="n">
        <v>44341</v>
      </c>
      <c r="C4320" s="1" t="n">
        <v>45204</v>
      </c>
      <c r="D4320" t="inlineStr">
        <is>
          <t>VÄSTERBOTTENS LÄN</t>
        </is>
      </c>
      <c r="E4320" t="inlineStr">
        <is>
          <t>VILHELMINA</t>
        </is>
      </c>
      <c r="G4320" t="n">
        <v>12.9</v>
      </c>
      <c r="H4320" t="n">
        <v>0</v>
      </c>
      <c r="I4320" t="n">
        <v>0</v>
      </c>
      <c r="J4320" t="n">
        <v>0</v>
      </c>
      <c r="K4320" t="n">
        <v>0</v>
      </c>
      <c r="L4320" t="n">
        <v>0</v>
      </c>
      <c r="M4320" t="n">
        <v>0</v>
      </c>
      <c r="N4320" t="n">
        <v>0</v>
      </c>
      <c r="O4320" t="n">
        <v>0</v>
      </c>
      <c r="P4320" t="n">
        <v>0</v>
      </c>
      <c r="Q4320" t="n">
        <v>0</v>
      </c>
      <c r="R4320" s="2" t="inlineStr"/>
    </row>
    <row r="4321" ht="15" customHeight="1">
      <c r="A4321" t="inlineStr">
        <is>
          <t>A 25102-2021</t>
        </is>
      </c>
      <c r="B4321" s="1" t="n">
        <v>44341</v>
      </c>
      <c r="C4321" s="1" t="n">
        <v>45204</v>
      </c>
      <c r="D4321" t="inlineStr">
        <is>
          <t>VÄSTERBOTTENS LÄN</t>
        </is>
      </c>
      <c r="E4321" t="inlineStr">
        <is>
          <t>VILHELMINA</t>
        </is>
      </c>
      <c r="G4321" t="n">
        <v>6.7</v>
      </c>
      <c r="H4321" t="n">
        <v>0</v>
      </c>
      <c r="I4321" t="n">
        <v>0</v>
      </c>
      <c r="J4321" t="n">
        <v>0</v>
      </c>
      <c r="K4321" t="n">
        <v>0</v>
      </c>
      <c r="L4321" t="n">
        <v>0</v>
      </c>
      <c r="M4321" t="n">
        <v>0</v>
      </c>
      <c r="N4321" t="n">
        <v>0</v>
      </c>
      <c r="O4321" t="n">
        <v>0</v>
      </c>
      <c r="P4321" t="n">
        <v>0</v>
      </c>
      <c r="Q4321" t="n">
        <v>0</v>
      </c>
      <c r="R4321" s="2" t="inlineStr"/>
    </row>
    <row r="4322" ht="15" customHeight="1">
      <c r="A4322" t="inlineStr">
        <is>
          <t>A 24898-2021</t>
        </is>
      </c>
      <c r="B4322" s="1" t="n">
        <v>44341</v>
      </c>
      <c r="C4322" s="1" t="n">
        <v>45204</v>
      </c>
      <c r="D4322" t="inlineStr">
        <is>
          <t>VÄSTERBOTTENS LÄN</t>
        </is>
      </c>
      <c r="E4322" t="inlineStr">
        <is>
          <t>VINDELN</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25401-2021</t>
        </is>
      </c>
      <c r="B4323" s="1" t="n">
        <v>44342</v>
      </c>
      <c r="C4323" s="1" t="n">
        <v>45204</v>
      </c>
      <c r="D4323" t="inlineStr">
        <is>
          <t>VÄSTERBOTTENS LÄN</t>
        </is>
      </c>
      <c r="E4323" t="inlineStr">
        <is>
          <t>NORDMALING</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25512-2021</t>
        </is>
      </c>
      <c r="B4324" s="1" t="n">
        <v>44342</v>
      </c>
      <c r="C4324" s="1" t="n">
        <v>45204</v>
      </c>
      <c r="D4324" t="inlineStr">
        <is>
          <t>VÄSTERBOTTENS LÄN</t>
        </is>
      </c>
      <c r="E4324" t="inlineStr">
        <is>
          <t>SKELLEFTEÅ</t>
        </is>
      </c>
      <c r="F4324" t="inlineStr">
        <is>
          <t>SCA</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25491-2021</t>
        </is>
      </c>
      <c r="B4325" s="1" t="n">
        <v>44342</v>
      </c>
      <c r="C4325" s="1" t="n">
        <v>45204</v>
      </c>
      <c r="D4325" t="inlineStr">
        <is>
          <t>VÄSTERBOTTENS LÄN</t>
        </is>
      </c>
      <c r="E4325" t="inlineStr">
        <is>
          <t>SKELLEFTEÅ</t>
        </is>
      </c>
      <c r="G4325" t="n">
        <v>2.9</v>
      </c>
      <c r="H4325" t="n">
        <v>0</v>
      </c>
      <c r="I4325" t="n">
        <v>0</v>
      </c>
      <c r="J4325" t="n">
        <v>0</v>
      </c>
      <c r="K4325" t="n">
        <v>0</v>
      </c>
      <c r="L4325" t="n">
        <v>0</v>
      </c>
      <c r="M4325" t="n">
        <v>0</v>
      </c>
      <c r="N4325" t="n">
        <v>0</v>
      </c>
      <c r="O4325" t="n">
        <v>0</v>
      </c>
      <c r="P4325" t="n">
        <v>0</v>
      </c>
      <c r="Q4325" t="n">
        <v>0</v>
      </c>
      <c r="R4325" s="2" t="inlineStr"/>
    </row>
    <row r="4326" ht="15" customHeight="1">
      <c r="A4326" t="inlineStr">
        <is>
          <t>A 25403-2021</t>
        </is>
      </c>
      <c r="B4326" s="1" t="n">
        <v>44342</v>
      </c>
      <c r="C4326" s="1" t="n">
        <v>45204</v>
      </c>
      <c r="D4326" t="inlineStr">
        <is>
          <t>VÄSTERBOTTENS LÄN</t>
        </is>
      </c>
      <c r="E4326" t="inlineStr">
        <is>
          <t>NORDMALING</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25859-2021</t>
        </is>
      </c>
      <c r="B4327" s="1" t="n">
        <v>44343</v>
      </c>
      <c r="C4327" s="1" t="n">
        <v>45204</v>
      </c>
      <c r="D4327" t="inlineStr">
        <is>
          <t>VÄSTERBOTTENS LÄN</t>
        </is>
      </c>
      <c r="E4327" t="inlineStr">
        <is>
          <t>UMEÅ</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25977-2021</t>
        </is>
      </c>
      <c r="B4328" s="1" t="n">
        <v>44344</v>
      </c>
      <c r="C4328" s="1" t="n">
        <v>45204</v>
      </c>
      <c r="D4328" t="inlineStr">
        <is>
          <t>VÄSTERBOTTENS LÄN</t>
        </is>
      </c>
      <c r="E4328" t="inlineStr">
        <is>
          <t>VILHELMINA</t>
        </is>
      </c>
      <c r="F4328" t="inlineStr">
        <is>
          <t>Sveaskog</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26032-2021</t>
        </is>
      </c>
      <c r="B4329" s="1" t="n">
        <v>44344</v>
      </c>
      <c r="C4329" s="1" t="n">
        <v>45204</v>
      </c>
      <c r="D4329" t="inlineStr">
        <is>
          <t>VÄSTERBOTTENS LÄN</t>
        </is>
      </c>
      <c r="E4329" t="inlineStr">
        <is>
          <t>ÅSELE</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25976-2021</t>
        </is>
      </c>
      <c r="B4330" s="1" t="n">
        <v>44344</v>
      </c>
      <c r="C4330" s="1" t="n">
        <v>45204</v>
      </c>
      <c r="D4330" t="inlineStr">
        <is>
          <t>VÄSTERBOTTENS LÄN</t>
        </is>
      </c>
      <c r="E4330" t="inlineStr">
        <is>
          <t>VILHELMINA</t>
        </is>
      </c>
      <c r="F4330" t="inlineStr">
        <is>
          <t>Sveaskog</t>
        </is>
      </c>
      <c r="G4330" t="n">
        <v>5.9</v>
      </c>
      <c r="H4330" t="n">
        <v>0</v>
      </c>
      <c r="I4330" t="n">
        <v>0</v>
      </c>
      <c r="J4330" t="n">
        <v>0</v>
      </c>
      <c r="K4330" t="n">
        <v>0</v>
      </c>
      <c r="L4330" t="n">
        <v>0</v>
      </c>
      <c r="M4330" t="n">
        <v>0</v>
      </c>
      <c r="N4330" t="n">
        <v>0</v>
      </c>
      <c r="O4330" t="n">
        <v>0</v>
      </c>
      <c r="P4330" t="n">
        <v>0</v>
      </c>
      <c r="Q4330" t="n">
        <v>0</v>
      </c>
      <c r="R4330" s="2" t="inlineStr"/>
    </row>
    <row r="4331" ht="15" customHeight="1">
      <c r="A4331" t="inlineStr">
        <is>
          <t>A 25994-2021</t>
        </is>
      </c>
      <c r="B4331" s="1" t="n">
        <v>44344</v>
      </c>
      <c r="C4331" s="1" t="n">
        <v>45204</v>
      </c>
      <c r="D4331" t="inlineStr">
        <is>
          <t>VÄSTERBOTTENS LÄN</t>
        </is>
      </c>
      <c r="E4331" t="inlineStr">
        <is>
          <t>NORDMALING</t>
        </is>
      </c>
      <c r="F4331" t="inlineStr">
        <is>
          <t>Kyrkan</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26030-2021</t>
        </is>
      </c>
      <c r="B4332" s="1" t="n">
        <v>44344</v>
      </c>
      <c r="C4332" s="1" t="n">
        <v>45204</v>
      </c>
      <c r="D4332" t="inlineStr">
        <is>
          <t>VÄSTERBOTTENS LÄN</t>
        </is>
      </c>
      <c r="E4332" t="inlineStr">
        <is>
          <t>ÅSELE</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26364-2021</t>
        </is>
      </c>
      <c r="B4333" s="1" t="n">
        <v>44347</v>
      </c>
      <c r="C4333" s="1" t="n">
        <v>45204</v>
      </c>
      <c r="D4333" t="inlineStr">
        <is>
          <t>VÄSTERBOTTENS LÄN</t>
        </is>
      </c>
      <c r="E4333" t="inlineStr">
        <is>
          <t>NORDMALING</t>
        </is>
      </c>
      <c r="F4333" t="inlineStr">
        <is>
          <t>Kyrkan</t>
        </is>
      </c>
      <c r="G4333" t="n">
        <v>5.2</v>
      </c>
      <c r="H4333" t="n">
        <v>0</v>
      </c>
      <c r="I4333" t="n">
        <v>0</v>
      </c>
      <c r="J4333" t="n">
        <v>0</v>
      </c>
      <c r="K4333" t="n">
        <v>0</v>
      </c>
      <c r="L4333" t="n">
        <v>0</v>
      </c>
      <c r="M4333" t="n">
        <v>0</v>
      </c>
      <c r="N4333" t="n">
        <v>0</v>
      </c>
      <c r="O4333" t="n">
        <v>0</v>
      </c>
      <c r="P4333" t="n">
        <v>0</v>
      </c>
      <c r="Q4333" t="n">
        <v>0</v>
      </c>
      <c r="R4333" s="2" t="inlineStr"/>
    </row>
    <row r="4334" ht="15" customHeight="1">
      <c r="A4334" t="inlineStr">
        <is>
          <t>A 26483-2021</t>
        </is>
      </c>
      <c r="B4334" s="1" t="n">
        <v>44347</v>
      </c>
      <c r="C4334" s="1" t="n">
        <v>45204</v>
      </c>
      <c r="D4334" t="inlineStr">
        <is>
          <t>VÄSTERBOTTENS LÄN</t>
        </is>
      </c>
      <c r="E4334" t="inlineStr">
        <is>
          <t>VILHELMINA</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26574-2021</t>
        </is>
      </c>
      <c r="B4335" s="1" t="n">
        <v>44348</v>
      </c>
      <c r="C4335" s="1" t="n">
        <v>45204</v>
      </c>
      <c r="D4335" t="inlineStr">
        <is>
          <t>VÄSTERBOTTENS LÄN</t>
        </is>
      </c>
      <c r="E4335" t="inlineStr">
        <is>
          <t>VINDELN</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26473-2021</t>
        </is>
      </c>
      <c r="B4336" s="1" t="n">
        <v>44348</v>
      </c>
      <c r="C4336" s="1" t="n">
        <v>45204</v>
      </c>
      <c r="D4336" t="inlineStr">
        <is>
          <t>VÄSTERBOTTENS LÄN</t>
        </is>
      </c>
      <c r="E4336" t="inlineStr">
        <is>
          <t>SKELLEFTEÅ</t>
        </is>
      </c>
      <c r="G4336" t="n">
        <v>0.3</v>
      </c>
      <c r="H4336" t="n">
        <v>0</v>
      </c>
      <c r="I4336" t="n">
        <v>0</v>
      </c>
      <c r="J4336" t="n">
        <v>0</v>
      </c>
      <c r="K4336" t="n">
        <v>0</v>
      </c>
      <c r="L4336" t="n">
        <v>0</v>
      </c>
      <c r="M4336" t="n">
        <v>0</v>
      </c>
      <c r="N4336" t="n">
        <v>0</v>
      </c>
      <c r="O4336" t="n">
        <v>0</v>
      </c>
      <c r="P4336" t="n">
        <v>0</v>
      </c>
      <c r="Q4336" t="n">
        <v>0</v>
      </c>
      <c r="R4336" s="2" t="inlineStr"/>
    </row>
    <row r="4337" ht="15" customHeight="1">
      <c r="A4337" t="inlineStr">
        <is>
          <t>A 26599-2021</t>
        </is>
      </c>
      <c r="B4337" s="1" t="n">
        <v>44348</v>
      </c>
      <c r="C4337" s="1" t="n">
        <v>45204</v>
      </c>
      <c r="D4337" t="inlineStr">
        <is>
          <t>VÄSTERBOTTENS LÄN</t>
        </is>
      </c>
      <c r="E4337" t="inlineStr">
        <is>
          <t>SKELLEFTEÅ</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26635-2021</t>
        </is>
      </c>
      <c r="B4338" s="1" t="n">
        <v>44348</v>
      </c>
      <c r="C4338" s="1" t="n">
        <v>45204</v>
      </c>
      <c r="D4338" t="inlineStr">
        <is>
          <t>VÄSTERBOTTENS LÄN</t>
        </is>
      </c>
      <c r="E4338" t="inlineStr">
        <is>
          <t>LYCKSELE</t>
        </is>
      </c>
      <c r="F4338" t="inlineStr">
        <is>
          <t>Holmen skog AB</t>
        </is>
      </c>
      <c r="G4338" t="n">
        <v>10.4</v>
      </c>
      <c r="H4338" t="n">
        <v>0</v>
      </c>
      <c r="I4338" t="n">
        <v>0</v>
      </c>
      <c r="J4338" t="n">
        <v>0</v>
      </c>
      <c r="K4338" t="n">
        <v>0</v>
      </c>
      <c r="L4338" t="n">
        <v>0</v>
      </c>
      <c r="M4338" t="n">
        <v>0</v>
      </c>
      <c r="N4338" t="n">
        <v>0</v>
      </c>
      <c r="O4338" t="n">
        <v>0</v>
      </c>
      <c r="P4338" t="n">
        <v>0</v>
      </c>
      <c r="Q4338" t="n">
        <v>0</v>
      </c>
      <c r="R4338" s="2" t="inlineStr"/>
    </row>
    <row r="4339" ht="15" customHeight="1">
      <c r="A4339" t="inlineStr">
        <is>
          <t>A 26718-2021</t>
        </is>
      </c>
      <c r="B4339" s="1" t="n">
        <v>44349</v>
      </c>
      <c r="C4339" s="1" t="n">
        <v>45204</v>
      </c>
      <c r="D4339" t="inlineStr">
        <is>
          <t>VÄSTERBOTTENS LÄN</t>
        </is>
      </c>
      <c r="E4339" t="inlineStr">
        <is>
          <t>VINDELN</t>
        </is>
      </c>
      <c r="G4339" t="n">
        <v>9</v>
      </c>
      <c r="H4339" t="n">
        <v>0</v>
      </c>
      <c r="I4339" t="n">
        <v>0</v>
      </c>
      <c r="J4339" t="n">
        <v>0</v>
      </c>
      <c r="K4339" t="n">
        <v>0</v>
      </c>
      <c r="L4339" t="n">
        <v>0</v>
      </c>
      <c r="M4339" t="n">
        <v>0</v>
      </c>
      <c r="N4339" t="n">
        <v>0</v>
      </c>
      <c r="O4339" t="n">
        <v>0</v>
      </c>
      <c r="P4339" t="n">
        <v>0</v>
      </c>
      <c r="Q4339" t="n">
        <v>0</v>
      </c>
      <c r="R4339" s="2" t="inlineStr"/>
    </row>
    <row r="4340" ht="15" customHeight="1">
      <c r="A4340" t="inlineStr">
        <is>
          <t>A 26901-2021</t>
        </is>
      </c>
      <c r="B4340" s="1" t="n">
        <v>44349</v>
      </c>
      <c r="C4340" s="1" t="n">
        <v>45204</v>
      </c>
      <c r="D4340" t="inlineStr">
        <is>
          <t>VÄSTERBOTTENS LÄN</t>
        </is>
      </c>
      <c r="E4340" t="inlineStr">
        <is>
          <t>SORSELE</t>
        </is>
      </c>
      <c r="F4340" t="inlineStr">
        <is>
          <t>Sveaskog</t>
        </is>
      </c>
      <c r="G4340" t="n">
        <v>4.7</v>
      </c>
      <c r="H4340" t="n">
        <v>0</v>
      </c>
      <c r="I4340" t="n">
        <v>0</v>
      </c>
      <c r="J4340" t="n">
        <v>0</v>
      </c>
      <c r="K4340" t="n">
        <v>0</v>
      </c>
      <c r="L4340" t="n">
        <v>0</v>
      </c>
      <c r="M4340" t="n">
        <v>0</v>
      </c>
      <c r="N4340" t="n">
        <v>0</v>
      </c>
      <c r="O4340" t="n">
        <v>0</v>
      </c>
      <c r="P4340" t="n">
        <v>0</v>
      </c>
      <c r="Q4340" t="n">
        <v>0</v>
      </c>
      <c r="R4340" s="2" t="inlineStr"/>
    </row>
    <row r="4341" ht="15" customHeight="1">
      <c r="A4341" t="inlineStr">
        <is>
          <t>A 27172-2021</t>
        </is>
      </c>
      <c r="B4341" s="1" t="n">
        <v>44350</v>
      </c>
      <c r="C4341" s="1" t="n">
        <v>45204</v>
      </c>
      <c r="D4341" t="inlineStr">
        <is>
          <t>VÄSTERBOTTENS LÄN</t>
        </is>
      </c>
      <c r="E4341" t="inlineStr">
        <is>
          <t>UMEÅ</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27284-2021</t>
        </is>
      </c>
      <c r="B4342" s="1" t="n">
        <v>44350</v>
      </c>
      <c r="C4342" s="1" t="n">
        <v>45204</v>
      </c>
      <c r="D4342" t="inlineStr">
        <is>
          <t>VÄSTERBOTTENS LÄN</t>
        </is>
      </c>
      <c r="E4342" t="inlineStr">
        <is>
          <t>SORSELE</t>
        </is>
      </c>
      <c r="G4342" t="n">
        <v>7</v>
      </c>
      <c r="H4342" t="n">
        <v>0</v>
      </c>
      <c r="I4342" t="n">
        <v>0</v>
      </c>
      <c r="J4342" t="n">
        <v>0</v>
      </c>
      <c r="K4342" t="n">
        <v>0</v>
      </c>
      <c r="L4342" t="n">
        <v>0</v>
      </c>
      <c r="M4342" t="n">
        <v>0</v>
      </c>
      <c r="N4342" t="n">
        <v>0</v>
      </c>
      <c r="O4342" t="n">
        <v>0</v>
      </c>
      <c r="P4342" t="n">
        <v>0</v>
      </c>
      <c r="Q4342" t="n">
        <v>0</v>
      </c>
      <c r="R4342" s="2" t="inlineStr"/>
    </row>
    <row r="4343" ht="15" customHeight="1">
      <c r="A4343" t="inlineStr">
        <is>
          <t>A 27059-2021</t>
        </is>
      </c>
      <c r="B4343" s="1" t="n">
        <v>44350</v>
      </c>
      <c r="C4343" s="1" t="n">
        <v>45204</v>
      </c>
      <c r="D4343" t="inlineStr">
        <is>
          <t>VÄSTERBOTTENS LÄN</t>
        </is>
      </c>
      <c r="E4343" t="inlineStr">
        <is>
          <t>VILHELMINA</t>
        </is>
      </c>
      <c r="F4343" t="inlineStr">
        <is>
          <t>Allmännings- och besparingsskogar</t>
        </is>
      </c>
      <c r="G4343" t="n">
        <v>301.6</v>
      </c>
      <c r="H4343" t="n">
        <v>0</v>
      </c>
      <c r="I4343" t="n">
        <v>0</v>
      </c>
      <c r="J4343" t="n">
        <v>0</v>
      </c>
      <c r="K4343" t="n">
        <v>0</v>
      </c>
      <c r="L4343" t="n">
        <v>0</v>
      </c>
      <c r="M4343" t="n">
        <v>0</v>
      </c>
      <c r="N4343" t="n">
        <v>0</v>
      </c>
      <c r="O4343" t="n">
        <v>0</v>
      </c>
      <c r="P4343" t="n">
        <v>0</v>
      </c>
      <c r="Q4343" t="n">
        <v>0</v>
      </c>
      <c r="R4343" s="2" t="inlineStr"/>
    </row>
    <row r="4344" ht="15" customHeight="1">
      <c r="A4344" t="inlineStr">
        <is>
          <t>A 27301-2021</t>
        </is>
      </c>
      <c r="B4344" s="1" t="n">
        <v>44350</v>
      </c>
      <c r="C4344" s="1" t="n">
        <v>45204</v>
      </c>
      <c r="D4344" t="inlineStr">
        <is>
          <t>VÄSTERBOTTENS LÄN</t>
        </is>
      </c>
      <c r="E4344" t="inlineStr">
        <is>
          <t>ÅSELE</t>
        </is>
      </c>
      <c r="F4344" t="inlineStr">
        <is>
          <t>Övriga Aktiebolag</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27273-2021</t>
        </is>
      </c>
      <c r="B4345" s="1" t="n">
        <v>44350</v>
      </c>
      <c r="C4345" s="1" t="n">
        <v>45204</v>
      </c>
      <c r="D4345" t="inlineStr">
        <is>
          <t>VÄSTERBOTTENS LÄN</t>
        </is>
      </c>
      <c r="E4345" t="inlineStr">
        <is>
          <t>SORSELE</t>
        </is>
      </c>
      <c r="G4345" t="n">
        <v>4.8</v>
      </c>
      <c r="H4345" t="n">
        <v>0</v>
      </c>
      <c r="I4345" t="n">
        <v>0</v>
      </c>
      <c r="J4345" t="n">
        <v>0</v>
      </c>
      <c r="K4345" t="n">
        <v>0</v>
      </c>
      <c r="L4345" t="n">
        <v>0</v>
      </c>
      <c r="M4345" t="n">
        <v>0</v>
      </c>
      <c r="N4345" t="n">
        <v>0</v>
      </c>
      <c r="O4345" t="n">
        <v>0</v>
      </c>
      <c r="P4345" t="n">
        <v>0</v>
      </c>
      <c r="Q4345" t="n">
        <v>0</v>
      </c>
      <c r="R4345" s="2" t="inlineStr"/>
    </row>
    <row r="4346" ht="15" customHeight="1">
      <c r="A4346" t="inlineStr">
        <is>
          <t>A 27315-2021</t>
        </is>
      </c>
      <c r="B4346" s="1" t="n">
        <v>44350</v>
      </c>
      <c r="C4346" s="1" t="n">
        <v>45204</v>
      </c>
      <c r="D4346" t="inlineStr">
        <is>
          <t>VÄSTERBOTTENS LÄN</t>
        </is>
      </c>
      <c r="E4346" t="inlineStr">
        <is>
          <t>ÅSELE</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27508-2021</t>
        </is>
      </c>
      <c r="B4347" s="1" t="n">
        <v>44351</v>
      </c>
      <c r="C4347" s="1" t="n">
        <v>45204</v>
      </c>
      <c r="D4347" t="inlineStr">
        <is>
          <t>VÄSTERBOTTENS LÄN</t>
        </is>
      </c>
      <c r="E4347" t="inlineStr">
        <is>
          <t>DOROTEA</t>
        </is>
      </c>
      <c r="F4347" t="inlineStr">
        <is>
          <t>Kommuner</t>
        </is>
      </c>
      <c r="G4347" t="n">
        <v>0.2</v>
      </c>
      <c r="H4347" t="n">
        <v>0</v>
      </c>
      <c r="I4347" t="n">
        <v>0</v>
      </c>
      <c r="J4347" t="n">
        <v>0</v>
      </c>
      <c r="K4347" t="n">
        <v>0</v>
      </c>
      <c r="L4347" t="n">
        <v>0</v>
      </c>
      <c r="M4347" t="n">
        <v>0</v>
      </c>
      <c r="N4347" t="n">
        <v>0</v>
      </c>
      <c r="O4347" t="n">
        <v>0</v>
      </c>
      <c r="P4347" t="n">
        <v>0</v>
      </c>
      <c r="Q4347" t="n">
        <v>0</v>
      </c>
      <c r="R4347" s="2" t="inlineStr"/>
    </row>
    <row r="4348" ht="15" customHeight="1">
      <c r="A4348" t="inlineStr">
        <is>
          <t>A 27514-2021</t>
        </is>
      </c>
      <c r="B4348" s="1" t="n">
        <v>44351</v>
      </c>
      <c r="C4348" s="1" t="n">
        <v>45204</v>
      </c>
      <c r="D4348" t="inlineStr">
        <is>
          <t>VÄSTERBOTTENS LÄN</t>
        </is>
      </c>
      <c r="E4348" t="inlineStr">
        <is>
          <t>DOROTEA</t>
        </is>
      </c>
      <c r="F4348" t="inlineStr">
        <is>
          <t>Kommuner</t>
        </is>
      </c>
      <c r="G4348" t="n">
        <v>0.1</v>
      </c>
      <c r="H4348" t="n">
        <v>0</v>
      </c>
      <c r="I4348" t="n">
        <v>0</v>
      </c>
      <c r="J4348" t="n">
        <v>0</v>
      </c>
      <c r="K4348" t="n">
        <v>0</v>
      </c>
      <c r="L4348" t="n">
        <v>0</v>
      </c>
      <c r="M4348" t="n">
        <v>0</v>
      </c>
      <c r="N4348" t="n">
        <v>0</v>
      </c>
      <c r="O4348" t="n">
        <v>0</v>
      </c>
      <c r="P4348" t="n">
        <v>0</v>
      </c>
      <c r="Q4348" t="n">
        <v>0</v>
      </c>
      <c r="R4348" s="2" t="inlineStr"/>
    </row>
    <row r="4349" ht="15" customHeight="1">
      <c r="A4349" t="inlineStr">
        <is>
          <t>A 27475-2021</t>
        </is>
      </c>
      <c r="B4349" s="1" t="n">
        <v>44351</v>
      </c>
      <c r="C4349" s="1" t="n">
        <v>45204</v>
      </c>
      <c r="D4349" t="inlineStr">
        <is>
          <t>VÄSTERBOTTENS LÄN</t>
        </is>
      </c>
      <c r="E4349" t="inlineStr">
        <is>
          <t>VINDELN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27503-2021</t>
        </is>
      </c>
      <c r="B4350" s="1" t="n">
        <v>44351</v>
      </c>
      <c r="C4350" s="1" t="n">
        <v>45204</v>
      </c>
      <c r="D4350" t="inlineStr">
        <is>
          <t>VÄSTERBOTTENS LÄN</t>
        </is>
      </c>
      <c r="E4350" t="inlineStr">
        <is>
          <t>DOROTEA</t>
        </is>
      </c>
      <c r="F4350" t="inlineStr">
        <is>
          <t>Kommuner</t>
        </is>
      </c>
      <c r="G4350" t="n">
        <v>0.2</v>
      </c>
      <c r="H4350" t="n">
        <v>0</v>
      </c>
      <c r="I4350" t="n">
        <v>0</v>
      </c>
      <c r="J4350" t="n">
        <v>0</v>
      </c>
      <c r="K4350" t="n">
        <v>0</v>
      </c>
      <c r="L4350" t="n">
        <v>0</v>
      </c>
      <c r="M4350" t="n">
        <v>0</v>
      </c>
      <c r="N4350" t="n">
        <v>0</v>
      </c>
      <c r="O4350" t="n">
        <v>0</v>
      </c>
      <c r="P4350" t="n">
        <v>0</v>
      </c>
      <c r="Q4350" t="n">
        <v>0</v>
      </c>
      <c r="R4350" s="2" t="inlineStr"/>
    </row>
    <row r="4351" ht="15" customHeight="1">
      <c r="A4351" t="inlineStr">
        <is>
          <t>A 27509-2021</t>
        </is>
      </c>
      <c r="B4351" s="1" t="n">
        <v>44351</v>
      </c>
      <c r="C4351" s="1" t="n">
        <v>45204</v>
      </c>
      <c r="D4351" t="inlineStr">
        <is>
          <t>VÄSTERBOTTENS LÄN</t>
        </is>
      </c>
      <c r="E4351" t="inlineStr">
        <is>
          <t>DOROTEA</t>
        </is>
      </c>
      <c r="G4351" t="n">
        <v>0.3</v>
      </c>
      <c r="H4351" t="n">
        <v>0</v>
      </c>
      <c r="I4351" t="n">
        <v>0</v>
      </c>
      <c r="J4351" t="n">
        <v>0</v>
      </c>
      <c r="K4351" t="n">
        <v>0</v>
      </c>
      <c r="L4351" t="n">
        <v>0</v>
      </c>
      <c r="M4351" t="n">
        <v>0</v>
      </c>
      <c r="N4351" t="n">
        <v>0</v>
      </c>
      <c r="O4351" t="n">
        <v>0</v>
      </c>
      <c r="P4351" t="n">
        <v>0</v>
      </c>
      <c r="Q4351" t="n">
        <v>0</v>
      </c>
      <c r="R4351" s="2" t="inlineStr"/>
    </row>
    <row r="4352" ht="15" customHeight="1">
      <c r="A4352" t="inlineStr">
        <is>
          <t>A 27444-2021</t>
        </is>
      </c>
      <c r="B4352" s="1" t="n">
        <v>44351</v>
      </c>
      <c r="C4352" s="1" t="n">
        <v>45204</v>
      </c>
      <c r="D4352" t="inlineStr">
        <is>
          <t>VÄSTERBOTTENS LÄN</t>
        </is>
      </c>
      <c r="E4352" t="inlineStr">
        <is>
          <t>SKELLEFTEÅ</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27506-2021</t>
        </is>
      </c>
      <c r="B4353" s="1" t="n">
        <v>44351</v>
      </c>
      <c r="C4353" s="1" t="n">
        <v>45204</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27511-2021</t>
        </is>
      </c>
      <c r="B4354" s="1" t="n">
        <v>44351</v>
      </c>
      <c r="C4354" s="1" t="n">
        <v>45204</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27860-2021</t>
        </is>
      </c>
      <c r="B4355" s="1" t="n">
        <v>44354</v>
      </c>
      <c r="C4355" s="1" t="n">
        <v>45204</v>
      </c>
      <c r="D4355" t="inlineStr">
        <is>
          <t>VÄSTERBOTTENS LÄN</t>
        </is>
      </c>
      <c r="E4355" t="inlineStr">
        <is>
          <t>NORDMALING</t>
        </is>
      </c>
      <c r="F4355" t="inlineStr">
        <is>
          <t>Kyrkan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27945-2021</t>
        </is>
      </c>
      <c r="B4356" s="1" t="n">
        <v>44354</v>
      </c>
      <c r="C4356" s="1" t="n">
        <v>45204</v>
      </c>
      <c r="D4356" t="inlineStr">
        <is>
          <t>VÄSTERBOTTENS LÄN</t>
        </is>
      </c>
      <c r="E4356" t="inlineStr">
        <is>
          <t>LYCKSELE</t>
        </is>
      </c>
      <c r="F4356" t="inlineStr">
        <is>
          <t>Holmen skog AB</t>
        </is>
      </c>
      <c r="G4356" t="n">
        <v>3.3</v>
      </c>
      <c r="H4356" t="n">
        <v>0</v>
      </c>
      <c r="I4356" t="n">
        <v>0</v>
      </c>
      <c r="J4356" t="n">
        <v>0</v>
      </c>
      <c r="K4356" t="n">
        <v>0</v>
      </c>
      <c r="L4356" t="n">
        <v>0</v>
      </c>
      <c r="M4356" t="n">
        <v>0</v>
      </c>
      <c r="N4356" t="n">
        <v>0</v>
      </c>
      <c r="O4356" t="n">
        <v>0</v>
      </c>
      <c r="P4356" t="n">
        <v>0</v>
      </c>
      <c r="Q4356" t="n">
        <v>0</v>
      </c>
      <c r="R4356" s="2" t="inlineStr"/>
    </row>
    <row r="4357" ht="15" customHeight="1">
      <c r="A4357" t="inlineStr">
        <is>
          <t>A 27804-2021</t>
        </is>
      </c>
      <c r="B4357" s="1" t="n">
        <v>44354</v>
      </c>
      <c r="C4357" s="1" t="n">
        <v>45204</v>
      </c>
      <c r="D4357" t="inlineStr">
        <is>
          <t>VÄSTERBOTTENS LÄN</t>
        </is>
      </c>
      <c r="E4357" t="inlineStr">
        <is>
          <t>UMEÅ</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27942-2021</t>
        </is>
      </c>
      <c r="B4358" s="1" t="n">
        <v>44354</v>
      </c>
      <c r="C4358" s="1" t="n">
        <v>45204</v>
      </c>
      <c r="D4358" t="inlineStr">
        <is>
          <t>VÄSTERBOTTENS LÄN</t>
        </is>
      </c>
      <c r="E4358" t="inlineStr">
        <is>
          <t>VINDELN</t>
        </is>
      </c>
      <c r="F4358" t="inlineStr">
        <is>
          <t>Holmen skog AB</t>
        </is>
      </c>
      <c r="G4358" t="n">
        <v>23.4</v>
      </c>
      <c r="H4358" t="n">
        <v>0</v>
      </c>
      <c r="I4358" t="n">
        <v>0</v>
      </c>
      <c r="J4358" t="n">
        <v>0</v>
      </c>
      <c r="K4358" t="n">
        <v>0</v>
      </c>
      <c r="L4358" t="n">
        <v>0</v>
      </c>
      <c r="M4358" t="n">
        <v>0</v>
      </c>
      <c r="N4358" t="n">
        <v>0</v>
      </c>
      <c r="O4358" t="n">
        <v>0</v>
      </c>
      <c r="P4358" t="n">
        <v>0</v>
      </c>
      <c r="Q4358" t="n">
        <v>0</v>
      </c>
      <c r="R4358" s="2" t="inlineStr"/>
    </row>
    <row r="4359" ht="15" customHeight="1">
      <c r="A4359" t="inlineStr">
        <is>
          <t>A 27998-2021</t>
        </is>
      </c>
      <c r="B4359" s="1" t="n">
        <v>44354</v>
      </c>
      <c r="C4359" s="1" t="n">
        <v>45204</v>
      </c>
      <c r="D4359" t="inlineStr">
        <is>
          <t>VÄSTERBOTTENS LÄN</t>
        </is>
      </c>
      <c r="E4359" t="inlineStr">
        <is>
          <t>UMEÅ</t>
        </is>
      </c>
      <c r="G4359" t="n">
        <v>5.1</v>
      </c>
      <c r="H4359" t="n">
        <v>0</v>
      </c>
      <c r="I4359" t="n">
        <v>0</v>
      </c>
      <c r="J4359" t="n">
        <v>0</v>
      </c>
      <c r="K4359" t="n">
        <v>0</v>
      </c>
      <c r="L4359" t="n">
        <v>0</v>
      </c>
      <c r="M4359" t="n">
        <v>0</v>
      </c>
      <c r="N4359" t="n">
        <v>0</v>
      </c>
      <c r="O4359" t="n">
        <v>0</v>
      </c>
      <c r="P4359" t="n">
        <v>0</v>
      </c>
      <c r="Q4359" t="n">
        <v>0</v>
      </c>
      <c r="R4359" s="2" t="inlineStr"/>
    </row>
    <row r="4360" ht="15" customHeight="1">
      <c r="A4360" t="inlineStr">
        <is>
          <t>A 28094-2021</t>
        </is>
      </c>
      <c r="B4360" s="1" t="n">
        <v>44355</v>
      </c>
      <c r="C4360" s="1" t="n">
        <v>45204</v>
      </c>
      <c r="D4360" t="inlineStr">
        <is>
          <t>VÄSTERBOTTENS LÄN</t>
        </is>
      </c>
      <c r="E4360" t="inlineStr">
        <is>
          <t>SORSELE</t>
        </is>
      </c>
      <c r="G4360" t="n">
        <v>3.9</v>
      </c>
      <c r="H4360" t="n">
        <v>0</v>
      </c>
      <c r="I4360" t="n">
        <v>0</v>
      </c>
      <c r="J4360" t="n">
        <v>0</v>
      </c>
      <c r="K4360" t="n">
        <v>0</v>
      </c>
      <c r="L4360" t="n">
        <v>0</v>
      </c>
      <c r="M4360" t="n">
        <v>0</v>
      </c>
      <c r="N4360" t="n">
        <v>0</v>
      </c>
      <c r="O4360" t="n">
        <v>0</v>
      </c>
      <c r="P4360" t="n">
        <v>0</v>
      </c>
      <c r="Q4360" t="n">
        <v>0</v>
      </c>
      <c r="R4360" s="2" t="inlineStr"/>
    </row>
    <row r="4361" ht="15" customHeight="1">
      <c r="A4361" t="inlineStr">
        <is>
          <t>A 28109-2021</t>
        </is>
      </c>
      <c r="B4361" s="1" t="n">
        <v>44355</v>
      </c>
      <c r="C4361" s="1" t="n">
        <v>45204</v>
      </c>
      <c r="D4361" t="inlineStr">
        <is>
          <t>VÄSTERBOTTENS LÄN</t>
        </is>
      </c>
      <c r="E4361" t="inlineStr">
        <is>
          <t>UMEÅ</t>
        </is>
      </c>
      <c r="G4361" t="n">
        <v>2.2</v>
      </c>
      <c r="H4361" t="n">
        <v>0</v>
      </c>
      <c r="I4361" t="n">
        <v>0</v>
      </c>
      <c r="J4361" t="n">
        <v>0</v>
      </c>
      <c r="K4361" t="n">
        <v>0</v>
      </c>
      <c r="L4361" t="n">
        <v>0</v>
      </c>
      <c r="M4361" t="n">
        <v>0</v>
      </c>
      <c r="N4361" t="n">
        <v>0</v>
      </c>
      <c r="O4361" t="n">
        <v>0</v>
      </c>
      <c r="P4361" t="n">
        <v>0</v>
      </c>
      <c r="Q4361" t="n">
        <v>0</v>
      </c>
      <c r="R4361" s="2" t="inlineStr"/>
    </row>
    <row r="4362" ht="15" customHeight="1">
      <c r="A4362" t="inlineStr">
        <is>
          <t>A 28267-2021</t>
        </is>
      </c>
      <c r="B4362" s="1" t="n">
        <v>44355</v>
      </c>
      <c r="C4362" s="1" t="n">
        <v>45204</v>
      </c>
      <c r="D4362" t="inlineStr">
        <is>
          <t>VÄSTERBOTTENS LÄN</t>
        </is>
      </c>
      <c r="E4362" t="inlineStr">
        <is>
          <t>UMEÅ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28065-2021</t>
        </is>
      </c>
      <c r="B4363" s="1" t="n">
        <v>44355</v>
      </c>
      <c r="C4363" s="1" t="n">
        <v>45204</v>
      </c>
      <c r="D4363" t="inlineStr">
        <is>
          <t>VÄSTERBOTTENS LÄN</t>
        </is>
      </c>
      <c r="E4363" t="inlineStr">
        <is>
          <t>VÄNNÄS</t>
        </is>
      </c>
      <c r="G4363" t="n">
        <v>4.5</v>
      </c>
      <c r="H4363" t="n">
        <v>0</v>
      </c>
      <c r="I4363" t="n">
        <v>0</v>
      </c>
      <c r="J4363" t="n">
        <v>0</v>
      </c>
      <c r="K4363" t="n">
        <v>0</v>
      </c>
      <c r="L4363" t="n">
        <v>0</v>
      </c>
      <c r="M4363" t="n">
        <v>0</v>
      </c>
      <c r="N4363" t="n">
        <v>0</v>
      </c>
      <c r="O4363" t="n">
        <v>0</v>
      </c>
      <c r="P4363" t="n">
        <v>0</v>
      </c>
      <c r="Q4363" t="n">
        <v>0</v>
      </c>
      <c r="R4363" s="2" t="inlineStr"/>
    </row>
    <row r="4364" ht="15" customHeight="1">
      <c r="A4364" t="inlineStr">
        <is>
          <t>A 28191-2021</t>
        </is>
      </c>
      <c r="B4364" s="1" t="n">
        <v>44355</v>
      </c>
      <c r="C4364" s="1" t="n">
        <v>45204</v>
      </c>
      <c r="D4364" t="inlineStr">
        <is>
          <t>VÄSTERBOTTENS LÄN</t>
        </is>
      </c>
      <c r="E4364" t="inlineStr">
        <is>
          <t>SKELLEFTEÅ</t>
        </is>
      </c>
      <c r="G4364" t="n">
        <v>7.6</v>
      </c>
      <c r="H4364" t="n">
        <v>0</v>
      </c>
      <c r="I4364" t="n">
        <v>0</v>
      </c>
      <c r="J4364" t="n">
        <v>0</v>
      </c>
      <c r="K4364" t="n">
        <v>0</v>
      </c>
      <c r="L4364" t="n">
        <v>0</v>
      </c>
      <c r="M4364" t="n">
        <v>0</v>
      </c>
      <c r="N4364" t="n">
        <v>0</v>
      </c>
      <c r="O4364" t="n">
        <v>0</v>
      </c>
      <c r="P4364" t="n">
        <v>0</v>
      </c>
      <c r="Q4364" t="n">
        <v>0</v>
      </c>
      <c r="R4364" s="2" t="inlineStr"/>
    </row>
    <row r="4365" ht="15" customHeight="1">
      <c r="A4365" t="inlineStr">
        <is>
          <t>A 28244-2021</t>
        </is>
      </c>
      <c r="B4365" s="1" t="n">
        <v>44355</v>
      </c>
      <c r="C4365" s="1" t="n">
        <v>45204</v>
      </c>
      <c r="D4365" t="inlineStr">
        <is>
          <t>VÄSTERBOTTENS LÄN</t>
        </is>
      </c>
      <c r="E4365" t="inlineStr">
        <is>
          <t>SKELLEFTEÅ</t>
        </is>
      </c>
      <c r="F4365" t="inlineStr">
        <is>
          <t>Holmen skog AB</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28121-2021</t>
        </is>
      </c>
      <c r="B4366" s="1" t="n">
        <v>44355</v>
      </c>
      <c r="C4366" s="1" t="n">
        <v>45204</v>
      </c>
      <c r="D4366" t="inlineStr">
        <is>
          <t>VÄSTERBOTTENS LÄN</t>
        </is>
      </c>
      <c r="E4366" t="inlineStr">
        <is>
          <t>SKELLEFTEÅ</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28097-2021</t>
        </is>
      </c>
      <c r="B4367" s="1" t="n">
        <v>44355</v>
      </c>
      <c r="C4367" s="1" t="n">
        <v>45204</v>
      </c>
      <c r="D4367" t="inlineStr">
        <is>
          <t>VÄSTERBOTTENS LÄN</t>
        </is>
      </c>
      <c r="E4367" t="inlineStr">
        <is>
          <t>SORSELE</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28608-2021</t>
        </is>
      </c>
      <c r="B4368" s="1" t="n">
        <v>44356</v>
      </c>
      <c r="C4368" s="1" t="n">
        <v>45204</v>
      </c>
      <c r="D4368" t="inlineStr">
        <is>
          <t>VÄSTERBOTTENS LÄN</t>
        </is>
      </c>
      <c r="E4368" t="inlineStr">
        <is>
          <t>ÅSELE</t>
        </is>
      </c>
      <c r="F4368" t="inlineStr">
        <is>
          <t>SCA</t>
        </is>
      </c>
      <c r="G4368" t="n">
        <v>13.2</v>
      </c>
      <c r="H4368" t="n">
        <v>0</v>
      </c>
      <c r="I4368" t="n">
        <v>0</v>
      </c>
      <c r="J4368" t="n">
        <v>0</v>
      </c>
      <c r="K4368" t="n">
        <v>0</v>
      </c>
      <c r="L4368" t="n">
        <v>0</v>
      </c>
      <c r="M4368" t="n">
        <v>0</v>
      </c>
      <c r="N4368" t="n">
        <v>0</v>
      </c>
      <c r="O4368" t="n">
        <v>0</v>
      </c>
      <c r="P4368" t="n">
        <v>0</v>
      </c>
      <c r="Q4368" t="n">
        <v>0</v>
      </c>
      <c r="R4368" s="2" t="inlineStr"/>
    </row>
    <row r="4369" ht="15" customHeight="1">
      <c r="A4369" t="inlineStr">
        <is>
          <t>A 28462-2021</t>
        </is>
      </c>
      <c r="B4369" s="1" t="n">
        <v>44356</v>
      </c>
      <c r="C4369" s="1" t="n">
        <v>45204</v>
      </c>
      <c r="D4369" t="inlineStr">
        <is>
          <t>VÄSTERBOTTENS LÄN</t>
        </is>
      </c>
      <c r="E4369" t="inlineStr">
        <is>
          <t>NORSJÖ</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28525-2021</t>
        </is>
      </c>
      <c r="B4370" s="1" t="n">
        <v>44356</v>
      </c>
      <c r="C4370" s="1" t="n">
        <v>45204</v>
      </c>
      <c r="D4370" t="inlineStr">
        <is>
          <t>VÄSTERBOTTENS LÄN</t>
        </is>
      </c>
      <c r="E4370" t="inlineStr">
        <is>
          <t>SKELLEFTEÅ</t>
        </is>
      </c>
      <c r="F4370" t="inlineStr">
        <is>
          <t>Kyrkan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28699-2021</t>
        </is>
      </c>
      <c r="B4371" s="1" t="n">
        <v>44356</v>
      </c>
      <c r="C4371" s="1" t="n">
        <v>45204</v>
      </c>
      <c r="D4371" t="inlineStr">
        <is>
          <t>VÄSTERBOTTENS LÄN</t>
        </is>
      </c>
      <c r="E4371" t="inlineStr">
        <is>
          <t>VINDELN</t>
        </is>
      </c>
      <c r="G4371" t="n">
        <v>8.199999999999999</v>
      </c>
      <c r="H4371" t="n">
        <v>0</v>
      </c>
      <c r="I4371" t="n">
        <v>0</v>
      </c>
      <c r="J4371" t="n">
        <v>0</v>
      </c>
      <c r="K4371" t="n">
        <v>0</v>
      </c>
      <c r="L4371" t="n">
        <v>0</v>
      </c>
      <c r="M4371" t="n">
        <v>0</v>
      </c>
      <c r="N4371" t="n">
        <v>0</v>
      </c>
      <c r="O4371" t="n">
        <v>0</v>
      </c>
      <c r="P4371" t="n">
        <v>0</v>
      </c>
      <c r="Q4371" t="n">
        <v>0</v>
      </c>
      <c r="R4371" s="2" t="inlineStr"/>
    </row>
    <row r="4372" ht="15" customHeight="1">
      <c r="A4372" t="inlineStr">
        <is>
          <t>A 28666-2021</t>
        </is>
      </c>
      <c r="B4372" s="1" t="n">
        <v>44357</v>
      </c>
      <c r="C4372" s="1" t="n">
        <v>45204</v>
      </c>
      <c r="D4372" t="inlineStr">
        <is>
          <t>VÄSTERBOTTENS LÄN</t>
        </is>
      </c>
      <c r="E4372" t="inlineStr">
        <is>
          <t>SKELLEFTEÅ</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28895-2021</t>
        </is>
      </c>
      <c r="B4373" s="1" t="n">
        <v>44357</v>
      </c>
      <c r="C4373" s="1" t="n">
        <v>45204</v>
      </c>
      <c r="D4373" t="inlineStr">
        <is>
          <t>VÄSTERBOTTENS LÄN</t>
        </is>
      </c>
      <c r="E4373" t="inlineStr">
        <is>
          <t>VILHELMINA</t>
        </is>
      </c>
      <c r="F4373" t="inlineStr">
        <is>
          <t>SCA</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29115-2021</t>
        </is>
      </c>
      <c r="B4374" s="1" t="n">
        <v>44358</v>
      </c>
      <c r="C4374" s="1" t="n">
        <v>45204</v>
      </c>
      <c r="D4374" t="inlineStr">
        <is>
          <t>VÄSTERBOTTENS LÄN</t>
        </is>
      </c>
      <c r="E4374" t="inlineStr">
        <is>
          <t>SKELLEFTEÅ</t>
        </is>
      </c>
      <c r="G4374" t="n">
        <v>4.4</v>
      </c>
      <c r="H4374" t="n">
        <v>0</v>
      </c>
      <c r="I4374" t="n">
        <v>0</v>
      </c>
      <c r="J4374" t="n">
        <v>0</v>
      </c>
      <c r="K4374" t="n">
        <v>0</v>
      </c>
      <c r="L4374" t="n">
        <v>0</v>
      </c>
      <c r="M4374" t="n">
        <v>0</v>
      </c>
      <c r="N4374" t="n">
        <v>0</v>
      </c>
      <c r="O4374" t="n">
        <v>0</v>
      </c>
      <c r="P4374" t="n">
        <v>0</v>
      </c>
      <c r="Q4374" t="n">
        <v>0</v>
      </c>
      <c r="R4374" s="2" t="inlineStr"/>
    </row>
    <row r="4375" ht="15" customHeight="1">
      <c r="A4375" t="inlineStr">
        <is>
          <t>A 29150-2021</t>
        </is>
      </c>
      <c r="B4375" s="1" t="n">
        <v>44358</v>
      </c>
      <c r="C4375" s="1" t="n">
        <v>45204</v>
      </c>
      <c r="D4375" t="inlineStr">
        <is>
          <t>VÄSTERBOTTENS LÄN</t>
        </is>
      </c>
      <c r="E4375" t="inlineStr">
        <is>
          <t>LYCKSELE</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29332-2021</t>
        </is>
      </c>
      <c r="B4376" s="1" t="n">
        <v>44361</v>
      </c>
      <c r="C4376" s="1" t="n">
        <v>45204</v>
      </c>
      <c r="D4376" t="inlineStr">
        <is>
          <t>VÄSTERBOTTENS LÄN</t>
        </is>
      </c>
      <c r="E4376" t="inlineStr">
        <is>
          <t>VILHELMINA</t>
        </is>
      </c>
      <c r="F4376" t="inlineStr">
        <is>
          <t>Allmännings- och besparingsskogar</t>
        </is>
      </c>
      <c r="G4376" t="n">
        <v>51.8</v>
      </c>
      <c r="H4376" t="n">
        <v>0</v>
      </c>
      <c r="I4376" t="n">
        <v>0</v>
      </c>
      <c r="J4376" t="n">
        <v>0</v>
      </c>
      <c r="K4376" t="n">
        <v>0</v>
      </c>
      <c r="L4376" t="n">
        <v>0</v>
      </c>
      <c r="M4376" t="n">
        <v>0</v>
      </c>
      <c r="N4376" t="n">
        <v>0</v>
      </c>
      <c r="O4376" t="n">
        <v>0</v>
      </c>
      <c r="P4376" t="n">
        <v>0</v>
      </c>
      <c r="Q4376" t="n">
        <v>0</v>
      </c>
      <c r="R4376" s="2" t="inlineStr"/>
    </row>
    <row r="4377" ht="15" customHeight="1">
      <c r="A4377" t="inlineStr">
        <is>
          <t>A 29376-2021</t>
        </is>
      </c>
      <c r="B4377" s="1" t="n">
        <v>44361</v>
      </c>
      <c r="C4377" s="1" t="n">
        <v>45204</v>
      </c>
      <c r="D4377" t="inlineStr">
        <is>
          <t>VÄSTERBOTTENS LÄN</t>
        </is>
      </c>
      <c r="E4377" t="inlineStr">
        <is>
          <t>VILHELMINA</t>
        </is>
      </c>
      <c r="F4377" t="inlineStr">
        <is>
          <t>Allmännings- och besparingsskogar</t>
        </is>
      </c>
      <c r="G4377" t="n">
        <v>110.8</v>
      </c>
      <c r="H4377" t="n">
        <v>0</v>
      </c>
      <c r="I4377" t="n">
        <v>0</v>
      </c>
      <c r="J4377" t="n">
        <v>0</v>
      </c>
      <c r="K4377" t="n">
        <v>0</v>
      </c>
      <c r="L4377" t="n">
        <v>0</v>
      </c>
      <c r="M4377" t="n">
        <v>0</v>
      </c>
      <c r="N4377" t="n">
        <v>0</v>
      </c>
      <c r="O4377" t="n">
        <v>0</v>
      </c>
      <c r="P4377" t="n">
        <v>0</v>
      </c>
      <c r="Q4377" t="n">
        <v>0</v>
      </c>
      <c r="R4377" s="2" t="inlineStr"/>
    </row>
    <row r="4378" ht="15" customHeight="1">
      <c r="A4378" t="inlineStr">
        <is>
          <t>A 29529-2021</t>
        </is>
      </c>
      <c r="B4378" s="1" t="n">
        <v>44361</v>
      </c>
      <c r="C4378" s="1" t="n">
        <v>45204</v>
      </c>
      <c r="D4378" t="inlineStr">
        <is>
          <t>VÄSTERBOTTENS LÄN</t>
        </is>
      </c>
      <c r="E4378" t="inlineStr">
        <is>
          <t>UMEÅ</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29347-2021</t>
        </is>
      </c>
      <c r="B4379" s="1" t="n">
        <v>44361</v>
      </c>
      <c r="C4379" s="1" t="n">
        <v>45204</v>
      </c>
      <c r="D4379" t="inlineStr">
        <is>
          <t>VÄSTERBOTTENS LÄN</t>
        </is>
      </c>
      <c r="E4379" t="inlineStr">
        <is>
          <t>VILHELMINA</t>
        </is>
      </c>
      <c r="F4379" t="inlineStr">
        <is>
          <t>Allmännings- och besparingsskogar</t>
        </is>
      </c>
      <c r="G4379" t="n">
        <v>52</v>
      </c>
      <c r="H4379" t="n">
        <v>0</v>
      </c>
      <c r="I4379" t="n">
        <v>0</v>
      </c>
      <c r="J4379" t="n">
        <v>0</v>
      </c>
      <c r="K4379" t="n">
        <v>0</v>
      </c>
      <c r="L4379" t="n">
        <v>0</v>
      </c>
      <c r="M4379" t="n">
        <v>0</v>
      </c>
      <c r="N4379" t="n">
        <v>0</v>
      </c>
      <c r="O4379" t="n">
        <v>0</v>
      </c>
      <c r="P4379" t="n">
        <v>0</v>
      </c>
      <c r="Q4379" t="n">
        <v>0</v>
      </c>
      <c r="R4379" s="2" t="inlineStr"/>
    </row>
    <row r="4380" ht="15" customHeight="1">
      <c r="A4380" t="inlineStr">
        <is>
          <t>A 29276-2021</t>
        </is>
      </c>
      <c r="B4380" s="1" t="n">
        <v>44361</v>
      </c>
      <c r="C4380" s="1" t="n">
        <v>45204</v>
      </c>
      <c r="D4380" t="inlineStr">
        <is>
          <t>VÄSTERBOTTENS LÄN</t>
        </is>
      </c>
      <c r="E4380" t="inlineStr">
        <is>
          <t>SKELLEFTEÅ</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29534-2021</t>
        </is>
      </c>
      <c r="B4381" s="1" t="n">
        <v>44361</v>
      </c>
      <c r="C4381" s="1" t="n">
        <v>45204</v>
      </c>
      <c r="D4381" t="inlineStr">
        <is>
          <t>VÄSTERBOTTENS LÄN</t>
        </is>
      </c>
      <c r="E4381" t="inlineStr">
        <is>
          <t>UMEÅ</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29278-2021</t>
        </is>
      </c>
      <c r="B4382" s="1" t="n">
        <v>44361</v>
      </c>
      <c r="C4382" s="1" t="n">
        <v>45204</v>
      </c>
      <c r="D4382" t="inlineStr">
        <is>
          <t>VÄSTERBOTTENS LÄN</t>
        </is>
      </c>
      <c r="E4382" t="inlineStr">
        <is>
          <t>LYCKSELE</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29319-2021</t>
        </is>
      </c>
      <c r="B4383" s="1" t="n">
        <v>44361</v>
      </c>
      <c r="C4383" s="1" t="n">
        <v>45204</v>
      </c>
      <c r="D4383" t="inlineStr">
        <is>
          <t>VÄSTERBOTTENS LÄN</t>
        </is>
      </c>
      <c r="E4383" t="inlineStr">
        <is>
          <t>SKELLEFTEÅ</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29392-2021</t>
        </is>
      </c>
      <c r="B4384" s="1" t="n">
        <v>44361</v>
      </c>
      <c r="C4384" s="1" t="n">
        <v>45204</v>
      </c>
      <c r="D4384" t="inlineStr">
        <is>
          <t>VÄSTERBOTTENS LÄN</t>
        </is>
      </c>
      <c r="E4384" t="inlineStr">
        <is>
          <t>VILHELMINA</t>
        </is>
      </c>
      <c r="F4384" t="inlineStr">
        <is>
          <t>Allmännings- och besparingsskogar</t>
        </is>
      </c>
      <c r="G4384" t="n">
        <v>275</v>
      </c>
      <c r="H4384" t="n">
        <v>0</v>
      </c>
      <c r="I4384" t="n">
        <v>0</v>
      </c>
      <c r="J4384" t="n">
        <v>0</v>
      </c>
      <c r="K4384" t="n">
        <v>0</v>
      </c>
      <c r="L4384" t="n">
        <v>0</v>
      </c>
      <c r="M4384" t="n">
        <v>0</v>
      </c>
      <c r="N4384" t="n">
        <v>0</v>
      </c>
      <c r="O4384" t="n">
        <v>0</v>
      </c>
      <c r="P4384" t="n">
        <v>0</v>
      </c>
      <c r="Q4384" t="n">
        <v>0</v>
      </c>
      <c r="R4384" s="2" t="inlineStr"/>
    </row>
    <row r="4385" ht="15" customHeight="1">
      <c r="A4385" t="inlineStr">
        <is>
          <t>A 29649-2021</t>
        </is>
      </c>
      <c r="B4385" s="1" t="n">
        <v>44362</v>
      </c>
      <c r="C4385" s="1" t="n">
        <v>45204</v>
      </c>
      <c r="D4385" t="inlineStr">
        <is>
          <t>VÄSTERBOTTENS LÄN</t>
        </is>
      </c>
      <c r="E4385" t="inlineStr">
        <is>
          <t>SKELLEFTEÅ</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29731-2021</t>
        </is>
      </c>
      <c r="B4386" s="1" t="n">
        <v>44362</v>
      </c>
      <c r="C4386" s="1" t="n">
        <v>45204</v>
      </c>
      <c r="D4386" t="inlineStr">
        <is>
          <t>VÄSTERBOTTENS LÄN</t>
        </is>
      </c>
      <c r="E4386" t="inlineStr">
        <is>
          <t>SKELLEFTEÅ</t>
        </is>
      </c>
      <c r="F4386" t="inlineStr">
        <is>
          <t>Holmen skog AB</t>
        </is>
      </c>
      <c r="G4386" t="n">
        <v>15.1</v>
      </c>
      <c r="H4386" t="n">
        <v>0</v>
      </c>
      <c r="I4386" t="n">
        <v>0</v>
      </c>
      <c r="J4386" t="n">
        <v>0</v>
      </c>
      <c r="K4386" t="n">
        <v>0</v>
      </c>
      <c r="L4386" t="n">
        <v>0</v>
      </c>
      <c r="M4386" t="n">
        <v>0</v>
      </c>
      <c r="N4386" t="n">
        <v>0</v>
      </c>
      <c r="O4386" t="n">
        <v>0</v>
      </c>
      <c r="P4386" t="n">
        <v>0</v>
      </c>
      <c r="Q4386" t="n">
        <v>0</v>
      </c>
      <c r="R4386" s="2" t="inlineStr"/>
    </row>
    <row r="4387" ht="15" customHeight="1">
      <c r="A4387" t="inlineStr">
        <is>
          <t>A 29923-2021</t>
        </is>
      </c>
      <c r="B4387" s="1" t="n">
        <v>44362</v>
      </c>
      <c r="C4387" s="1" t="n">
        <v>45204</v>
      </c>
      <c r="D4387" t="inlineStr">
        <is>
          <t>VÄSTERBOTTENS LÄN</t>
        </is>
      </c>
      <c r="E4387" t="inlineStr">
        <is>
          <t>NORSJÖ</t>
        </is>
      </c>
      <c r="F4387" t="inlineStr">
        <is>
          <t>SCA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29712-2021</t>
        </is>
      </c>
      <c r="B4388" s="1" t="n">
        <v>44362</v>
      </c>
      <c r="C4388" s="1" t="n">
        <v>45204</v>
      </c>
      <c r="D4388" t="inlineStr">
        <is>
          <t>VÄSTERBOTTENS LÄN</t>
        </is>
      </c>
      <c r="E4388" t="inlineStr">
        <is>
          <t>VÄNNÄS</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29922-2021</t>
        </is>
      </c>
      <c r="B4389" s="1" t="n">
        <v>44362</v>
      </c>
      <c r="C4389" s="1" t="n">
        <v>45204</v>
      </c>
      <c r="D4389" t="inlineStr">
        <is>
          <t>VÄSTERBOTTENS LÄN</t>
        </is>
      </c>
      <c r="E4389" t="inlineStr">
        <is>
          <t>NORSJÖ</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30344-2021</t>
        </is>
      </c>
      <c r="B4390" s="1" t="n">
        <v>44363</v>
      </c>
      <c r="C4390" s="1" t="n">
        <v>45204</v>
      </c>
      <c r="D4390" t="inlineStr">
        <is>
          <t>VÄSTERBOTTENS LÄN</t>
        </is>
      </c>
      <c r="E4390" t="inlineStr">
        <is>
          <t>NORDMALING</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30086-2021</t>
        </is>
      </c>
      <c r="B4391" s="1" t="n">
        <v>44363</v>
      </c>
      <c r="C4391" s="1" t="n">
        <v>45204</v>
      </c>
      <c r="D4391" t="inlineStr">
        <is>
          <t>VÄSTERBOTTENS LÄN</t>
        </is>
      </c>
      <c r="E4391" t="inlineStr">
        <is>
          <t>SKELLEFTEÅ</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30194-2021</t>
        </is>
      </c>
      <c r="B4392" s="1" t="n">
        <v>44363</v>
      </c>
      <c r="C4392" s="1" t="n">
        <v>45204</v>
      </c>
      <c r="D4392" t="inlineStr">
        <is>
          <t>VÄSTERBOTTENS LÄN</t>
        </is>
      </c>
      <c r="E4392" t="inlineStr">
        <is>
          <t>SKELLEFTEÅ</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30332-2021</t>
        </is>
      </c>
      <c r="B4393" s="1" t="n">
        <v>44364</v>
      </c>
      <c r="C4393" s="1" t="n">
        <v>45204</v>
      </c>
      <c r="D4393" t="inlineStr">
        <is>
          <t>VÄSTERBOTTENS LÄN</t>
        </is>
      </c>
      <c r="E4393" t="inlineStr">
        <is>
          <t>SKELLEFTEÅ</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30413-2021</t>
        </is>
      </c>
      <c r="B4394" s="1" t="n">
        <v>44364</v>
      </c>
      <c r="C4394" s="1" t="n">
        <v>45204</v>
      </c>
      <c r="D4394" t="inlineStr">
        <is>
          <t>VÄSTERBOTTENS LÄN</t>
        </is>
      </c>
      <c r="E4394" t="inlineStr">
        <is>
          <t>SORSELE</t>
        </is>
      </c>
      <c r="G4394" t="n">
        <v>8</v>
      </c>
      <c r="H4394" t="n">
        <v>0</v>
      </c>
      <c r="I4394" t="n">
        <v>0</v>
      </c>
      <c r="J4394" t="n">
        <v>0</v>
      </c>
      <c r="K4394" t="n">
        <v>0</v>
      </c>
      <c r="L4394" t="n">
        <v>0</v>
      </c>
      <c r="M4394" t="n">
        <v>0</v>
      </c>
      <c r="N4394" t="n">
        <v>0</v>
      </c>
      <c r="O4394" t="n">
        <v>0</v>
      </c>
      <c r="P4394" t="n">
        <v>0</v>
      </c>
      <c r="Q4394" t="n">
        <v>0</v>
      </c>
      <c r="R4394" s="2" t="inlineStr"/>
    </row>
    <row r="4395" ht="15" customHeight="1">
      <c r="A4395" t="inlineStr">
        <is>
          <t>A 30434-2021</t>
        </is>
      </c>
      <c r="B4395" s="1" t="n">
        <v>44364</v>
      </c>
      <c r="C4395" s="1" t="n">
        <v>45204</v>
      </c>
      <c r="D4395" t="inlineStr">
        <is>
          <t>VÄSTERBOTTENS LÄN</t>
        </is>
      </c>
      <c r="E4395" t="inlineStr">
        <is>
          <t>STORUMAN</t>
        </is>
      </c>
      <c r="F4395" t="inlineStr">
        <is>
          <t>Sveaskog</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30437-2021</t>
        </is>
      </c>
      <c r="B4396" s="1" t="n">
        <v>44364</v>
      </c>
      <c r="C4396" s="1" t="n">
        <v>45204</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30449-2021</t>
        </is>
      </c>
      <c r="B4397" s="1" t="n">
        <v>44364</v>
      </c>
      <c r="C4397" s="1" t="n">
        <v>45204</v>
      </c>
      <c r="D4397" t="inlineStr">
        <is>
          <t>VÄSTERBOTTENS LÄN</t>
        </is>
      </c>
      <c r="E4397" t="inlineStr">
        <is>
          <t>SKELLEFTEÅ</t>
        </is>
      </c>
      <c r="G4397" t="n">
        <v>2.6</v>
      </c>
      <c r="H4397" t="n">
        <v>0</v>
      </c>
      <c r="I4397" t="n">
        <v>0</v>
      </c>
      <c r="J4397" t="n">
        <v>0</v>
      </c>
      <c r="K4397" t="n">
        <v>0</v>
      </c>
      <c r="L4397" t="n">
        <v>0</v>
      </c>
      <c r="M4397" t="n">
        <v>0</v>
      </c>
      <c r="N4397" t="n">
        <v>0</v>
      </c>
      <c r="O4397" t="n">
        <v>0</v>
      </c>
      <c r="P4397" t="n">
        <v>0</v>
      </c>
      <c r="Q4397" t="n">
        <v>0</v>
      </c>
      <c r="R4397" s="2" t="inlineStr"/>
    </row>
    <row r="4398" ht="15" customHeight="1">
      <c r="A4398" t="inlineStr">
        <is>
          <t>A 30626-2021</t>
        </is>
      </c>
      <c r="B4398" s="1" t="n">
        <v>44364</v>
      </c>
      <c r="C4398" s="1" t="n">
        <v>45204</v>
      </c>
      <c r="D4398" t="inlineStr">
        <is>
          <t>VÄSTERBOTTENS LÄN</t>
        </is>
      </c>
      <c r="E4398" t="inlineStr">
        <is>
          <t>SORSELE</t>
        </is>
      </c>
      <c r="G4398" t="n">
        <v>6</v>
      </c>
      <c r="H4398" t="n">
        <v>0</v>
      </c>
      <c r="I4398" t="n">
        <v>0</v>
      </c>
      <c r="J4398" t="n">
        <v>0</v>
      </c>
      <c r="K4398" t="n">
        <v>0</v>
      </c>
      <c r="L4398" t="n">
        <v>0</v>
      </c>
      <c r="M4398" t="n">
        <v>0</v>
      </c>
      <c r="N4398" t="n">
        <v>0</v>
      </c>
      <c r="O4398" t="n">
        <v>0</v>
      </c>
      <c r="P4398" t="n">
        <v>0</v>
      </c>
      <c r="Q4398" t="n">
        <v>0</v>
      </c>
      <c r="R4398" s="2" t="inlineStr"/>
    </row>
    <row r="4399" ht="15" customHeight="1">
      <c r="A4399" t="inlineStr">
        <is>
          <t>A 30683-2021</t>
        </is>
      </c>
      <c r="B4399" s="1" t="n">
        <v>44365</v>
      </c>
      <c r="C4399" s="1" t="n">
        <v>45204</v>
      </c>
      <c r="D4399" t="inlineStr">
        <is>
          <t>VÄSTERBOTTENS LÄN</t>
        </is>
      </c>
      <c r="E4399" t="inlineStr">
        <is>
          <t>MALÅ</t>
        </is>
      </c>
      <c r="F4399" t="inlineStr">
        <is>
          <t>Sveaskog</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30704-2021</t>
        </is>
      </c>
      <c r="B4400" s="1" t="n">
        <v>44365</v>
      </c>
      <c r="C4400" s="1" t="n">
        <v>45204</v>
      </c>
      <c r="D4400" t="inlineStr">
        <is>
          <t>VÄSTERBOTTENS LÄN</t>
        </is>
      </c>
      <c r="E4400" t="inlineStr">
        <is>
          <t>SKELLEFTEÅ</t>
        </is>
      </c>
      <c r="G4400" t="n">
        <v>20.2</v>
      </c>
      <c r="H4400" t="n">
        <v>0</v>
      </c>
      <c r="I4400" t="n">
        <v>0</v>
      </c>
      <c r="J4400" t="n">
        <v>0</v>
      </c>
      <c r="K4400" t="n">
        <v>0</v>
      </c>
      <c r="L4400" t="n">
        <v>0</v>
      </c>
      <c r="M4400" t="n">
        <v>0</v>
      </c>
      <c r="N4400" t="n">
        <v>0</v>
      </c>
      <c r="O4400" t="n">
        <v>0</v>
      </c>
      <c r="P4400" t="n">
        <v>0</v>
      </c>
      <c r="Q4400" t="n">
        <v>0</v>
      </c>
      <c r="R4400" s="2" t="inlineStr"/>
    </row>
    <row r="4401" ht="15" customHeight="1">
      <c r="A4401" t="inlineStr">
        <is>
          <t>A 30744-2021</t>
        </is>
      </c>
      <c r="B4401" s="1" t="n">
        <v>44365</v>
      </c>
      <c r="C4401" s="1" t="n">
        <v>45204</v>
      </c>
      <c r="D4401" t="inlineStr">
        <is>
          <t>VÄSTERBOTTENS LÄN</t>
        </is>
      </c>
      <c r="E4401" t="inlineStr">
        <is>
          <t>SKELLEFTEÅ</t>
        </is>
      </c>
      <c r="G4401" t="n">
        <v>38.3</v>
      </c>
      <c r="H4401" t="n">
        <v>0</v>
      </c>
      <c r="I4401" t="n">
        <v>0</v>
      </c>
      <c r="J4401" t="n">
        <v>0</v>
      </c>
      <c r="K4401" t="n">
        <v>0</v>
      </c>
      <c r="L4401" t="n">
        <v>0</v>
      </c>
      <c r="M4401" t="n">
        <v>0</v>
      </c>
      <c r="N4401" t="n">
        <v>0</v>
      </c>
      <c r="O4401" t="n">
        <v>0</v>
      </c>
      <c r="P4401" t="n">
        <v>0</v>
      </c>
      <c r="Q4401" t="n">
        <v>0</v>
      </c>
      <c r="R4401" s="2" t="inlineStr"/>
    </row>
    <row r="4402" ht="15" customHeight="1">
      <c r="A4402" t="inlineStr">
        <is>
          <t>A 30990-2021</t>
        </is>
      </c>
      <c r="B4402" s="1" t="n">
        <v>44365</v>
      </c>
      <c r="C4402" s="1" t="n">
        <v>45204</v>
      </c>
      <c r="D4402" t="inlineStr">
        <is>
          <t>VÄSTERBOTTENS LÄN</t>
        </is>
      </c>
      <c r="E4402" t="inlineStr">
        <is>
          <t>VINDELN</t>
        </is>
      </c>
      <c r="F4402" t="inlineStr">
        <is>
          <t>SCA</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31185-2021</t>
        </is>
      </c>
      <c r="B4403" s="1" t="n">
        <v>44367</v>
      </c>
      <c r="C4403" s="1" t="n">
        <v>45204</v>
      </c>
      <c r="D4403" t="inlineStr">
        <is>
          <t>VÄSTERBOTTENS LÄN</t>
        </is>
      </c>
      <c r="E4403" t="inlineStr">
        <is>
          <t>SKELLEFTEÅ</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31029-2021</t>
        </is>
      </c>
      <c r="B4404" s="1" t="n">
        <v>44367</v>
      </c>
      <c r="C4404" s="1" t="n">
        <v>45204</v>
      </c>
      <c r="D4404" t="inlineStr">
        <is>
          <t>VÄSTERBOTTENS LÄN</t>
        </is>
      </c>
      <c r="E4404" t="inlineStr">
        <is>
          <t>NORSJÖ</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31186-2021</t>
        </is>
      </c>
      <c r="B4405" s="1" t="n">
        <v>44368</v>
      </c>
      <c r="C4405" s="1" t="n">
        <v>45204</v>
      </c>
      <c r="D4405" t="inlineStr">
        <is>
          <t>VÄSTERBOTTENS LÄN</t>
        </is>
      </c>
      <c r="E4405" t="inlineStr">
        <is>
          <t>SKELLEFTEÅ</t>
        </is>
      </c>
      <c r="G4405" t="n">
        <v>2.7</v>
      </c>
      <c r="H4405" t="n">
        <v>0</v>
      </c>
      <c r="I4405" t="n">
        <v>0</v>
      </c>
      <c r="J4405" t="n">
        <v>0</v>
      </c>
      <c r="K4405" t="n">
        <v>0</v>
      </c>
      <c r="L4405" t="n">
        <v>0</v>
      </c>
      <c r="M4405" t="n">
        <v>0</v>
      </c>
      <c r="N4405" t="n">
        <v>0</v>
      </c>
      <c r="O4405" t="n">
        <v>0</v>
      </c>
      <c r="P4405" t="n">
        <v>0</v>
      </c>
      <c r="Q4405" t="n">
        <v>0</v>
      </c>
      <c r="R4405" s="2" t="inlineStr"/>
    </row>
    <row r="4406" ht="15" customHeight="1">
      <c r="A4406" t="inlineStr">
        <is>
          <t>A 31419-2021</t>
        </is>
      </c>
      <c r="B4406" s="1" t="n">
        <v>44368</v>
      </c>
      <c r="C4406" s="1" t="n">
        <v>45204</v>
      </c>
      <c r="D4406" t="inlineStr">
        <is>
          <t>VÄSTERBOTTENS LÄN</t>
        </is>
      </c>
      <c r="E4406" t="inlineStr">
        <is>
          <t>SKELLEFTEÅ</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31105-2021</t>
        </is>
      </c>
      <c r="B4407" s="1" t="n">
        <v>44368</v>
      </c>
      <c r="C4407" s="1" t="n">
        <v>45204</v>
      </c>
      <c r="D4407" t="inlineStr">
        <is>
          <t>VÄSTERBOTTENS LÄN</t>
        </is>
      </c>
      <c r="E4407" t="inlineStr">
        <is>
          <t>ÅSELE</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31414-2021</t>
        </is>
      </c>
      <c r="B4408" s="1" t="n">
        <v>44368</v>
      </c>
      <c r="C4408" s="1" t="n">
        <v>45204</v>
      </c>
      <c r="D4408" t="inlineStr">
        <is>
          <t>VÄSTERBOTTENS LÄN</t>
        </is>
      </c>
      <c r="E4408" t="inlineStr">
        <is>
          <t>NORSJÖ</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31251-2021</t>
        </is>
      </c>
      <c r="B4409" s="1" t="n">
        <v>44368</v>
      </c>
      <c r="C4409" s="1" t="n">
        <v>45204</v>
      </c>
      <c r="D4409" t="inlineStr">
        <is>
          <t>VÄSTERBOTTENS LÄN</t>
        </is>
      </c>
      <c r="E4409" t="inlineStr">
        <is>
          <t>SKELLEFTEÅ</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31181-2021</t>
        </is>
      </c>
      <c r="B4410" s="1" t="n">
        <v>44368</v>
      </c>
      <c r="C4410" s="1" t="n">
        <v>45204</v>
      </c>
      <c r="D4410" t="inlineStr">
        <is>
          <t>VÄSTERBOTTENS LÄN</t>
        </is>
      </c>
      <c r="E4410" t="inlineStr">
        <is>
          <t>SKELLEFTEÅ</t>
        </is>
      </c>
      <c r="G4410" t="n">
        <v>6.3</v>
      </c>
      <c r="H4410" t="n">
        <v>0</v>
      </c>
      <c r="I4410" t="n">
        <v>0</v>
      </c>
      <c r="J4410" t="n">
        <v>0</v>
      </c>
      <c r="K4410" t="n">
        <v>0</v>
      </c>
      <c r="L4410" t="n">
        <v>0</v>
      </c>
      <c r="M4410" t="n">
        <v>0</v>
      </c>
      <c r="N4410" t="n">
        <v>0</v>
      </c>
      <c r="O4410" t="n">
        <v>0</v>
      </c>
      <c r="P4410" t="n">
        <v>0</v>
      </c>
      <c r="Q4410" t="n">
        <v>0</v>
      </c>
      <c r="R4410" s="2" t="inlineStr"/>
    </row>
    <row r="4411" ht="15" customHeight="1">
      <c r="A4411" t="inlineStr">
        <is>
          <t>A 31197-2021</t>
        </is>
      </c>
      <c r="B4411" s="1" t="n">
        <v>44368</v>
      </c>
      <c r="C4411" s="1" t="n">
        <v>45204</v>
      </c>
      <c r="D4411" t="inlineStr">
        <is>
          <t>VÄSTERBOTTENS LÄN</t>
        </is>
      </c>
      <c r="E4411" t="inlineStr">
        <is>
          <t>SKELLEFTEÅ</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31323-2021</t>
        </is>
      </c>
      <c r="B4412" s="1" t="n">
        <v>44368</v>
      </c>
      <c r="C4412" s="1" t="n">
        <v>45204</v>
      </c>
      <c r="D4412" t="inlineStr">
        <is>
          <t>VÄSTERBOTTENS LÄN</t>
        </is>
      </c>
      <c r="E4412" t="inlineStr">
        <is>
          <t>VINDELN</t>
        </is>
      </c>
      <c r="G4412" t="n">
        <v>8</v>
      </c>
      <c r="H4412" t="n">
        <v>0</v>
      </c>
      <c r="I4412" t="n">
        <v>0</v>
      </c>
      <c r="J4412" t="n">
        <v>0</v>
      </c>
      <c r="K4412" t="n">
        <v>0</v>
      </c>
      <c r="L4412" t="n">
        <v>0</v>
      </c>
      <c r="M4412" t="n">
        <v>0</v>
      </c>
      <c r="N4412" t="n">
        <v>0</v>
      </c>
      <c r="O4412" t="n">
        <v>0</v>
      </c>
      <c r="P4412" t="n">
        <v>0</v>
      </c>
      <c r="Q4412" t="n">
        <v>0</v>
      </c>
      <c r="R4412" s="2" t="inlineStr"/>
    </row>
    <row r="4413" ht="15" customHeight="1">
      <c r="A4413" t="inlineStr">
        <is>
          <t>A 31434-2021</t>
        </is>
      </c>
      <c r="B4413" s="1" t="n">
        <v>44369</v>
      </c>
      <c r="C4413" s="1" t="n">
        <v>45204</v>
      </c>
      <c r="D4413" t="inlineStr">
        <is>
          <t>VÄSTERBOTTENS LÄN</t>
        </is>
      </c>
      <c r="E4413" t="inlineStr">
        <is>
          <t>NORDMALING</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31469-2021</t>
        </is>
      </c>
      <c r="B4414" s="1" t="n">
        <v>44369</v>
      </c>
      <c r="C4414" s="1" t="n">
        <v>45204</v>
      </c>
      <c r="D4414" t="inlineStr">
        <is>
          <t>VÄSTERBOTTENS LÄN</t>
        </is>
      </c>
      <c r="E4414" t="inlineStr">
        <is>
          <t>LYCKSELE</t>
        </is>
      </c>
      <c r="F4414" t="inlineStr">
        <is>
          <t>Sveaskog</t>
        </is>
      </c>
      <c r="G4414" t="n">
        <v>6.3</v>
      </c>
      <c r="H4414" t="n">
        <v>0</v>
      </c>
      <c r="I4414" t="n">
        <v>0</v>
      </c>
      <c r="J4414" t="n">
        <v>0</v>
      </c>
      <c r="K4414" t="n">
        <v>0</v>
      </c>
      <c r="L4414" t="n">
        <v>0</v>
      </c>
      <c r="M4414" t="n">
        <v>0</v>
      </c>
      <c r="N4414" t="n">
        <v>0</v>
      </c>
      <c r="O4414" t="n">
        <v>0</v>
      </c>
      <c r="P4414" t="n">
        <v>0</v>
      </c>
      <c r="Q4414" t="n">
        <v>0</v>
      </c>
      <c r="R4414" s="2" t="inlineStr"/>
    </row>
    <row r="4415" ht="15" customHeight="1">
      <c r="A4415" t="inlineStr">
        <is>
          <t>A 31769-2021</t>
        </is>
      </c>
      <c r="B4415" s="1" t="n">
        <v>44369</v>
      </c>
      <c r="C4415" s="1" t="n">
        <v>45204</v>
      </c>
      <c r="D4415" t="inlineStr">
        <is>
          <t>VÄSTERBOTTENS LÄN</t>
        </is>
      </c>
      <c r="E4415" t="inlineStr">
        <is>
          <t>MALÅ</t>
        </is>
      </c>
      <c r="G4415" t="n">
        <v>5</v>
      </c>
      <c r="H4415" t="n">
        <v>0</v>
      </c>
      <c r="I4415" t="n">
        <v>0</v>
      </c>
      <c r="J4415" t="n">
        <v>0</v>
      </c>
      <c r="K4415" t="n">
        <v>0</v>
      </c>
      <c r="L4415" t="n">
        <v>0</v>
      </c>
      <c r="M4415" t="n">
        <v>0</v>
      </c>
      <c r="N4415" t="n">
        <v>0</v>
      </c>
      <c r="O4415" t="n">
        <v>0</v>
      </c>
      <c r="P4415" t="n">
        <v>0</v>
      </c>
      <c r="Q4415" t="n">
        <v>0</v>
      </c>
      <c r="R4415" s="2" t="inlineStr"/>
    </row>
    <row r="4416" ht="15" customHeight="1">
      <c r="A4416" t="inlineStr">
        <is>
          <t>A 31466-2021</t>
        </is>
      </c>
      <c r="B4416" s="1" t="n">
        <v>44369</v>
      </c>
      <c r="C4416" s="1" t="n">
        <v>45204</v>
      </c>
      <c r="D4416" t="inlineStr">
        <is>
          <t>VÄSTERBOTTENS LÄN</t>
        </is>
      </c>
      <c r="E4416" t="inlineStr">
        <is>
          <t>LYCKSELE</t>
        </is>
      </c>
      <c r="F4416" t="inlineStr">
        <is>
          <t>Sveaskog</t>
        </is>
      </c>
      <c r="G4416" t="n">
        <v>18.3</v>
      </c>
      <c r="H4416" t="n">
        <v>0</v>
      </c>
      <c r="I4416" t="n">
        <v>0</v>
      </c>
      <c r="J4416" t="n">
        <v>0</v>
      </c>
      <c r="K4416" t="n">
        <v>0</v>
      </c>
      <c r="L4416" t="n">
        <v>0</v>
      </c>
      <c r="M4416" t="n">
        <v>0</v>
      </c>
      <c r="N4416" t="n">
        <v>0</v>
      </c>
      <c r="O4416" t="n">
        <v>0</v>
      </c>
      <c r="P4416" t="n">
        <v>0</v>
      </c>
      <c r="Q4416" t="n">
        <v>0</v>
      </c>
      <c r="R4416" s="2" t="inlineStr"/>
    </row>
    <row r="4417" ht="15" customHeight="1">
      <c r="A4417" t="inlineStr">
        <is>
          <t>A 31766-2021</t>
        </is>
      </c>
      <c r="B4417" s="1" t="n">
        <v>44369</v>
      </c>
      <c r="C4417" s="1" t="n">
        <v>45204</v>
      </c>
      <c r="D4417" t="inlineStr">
        <is>
          <t>VÄSTERBOTTENS LÄN</t>
        </is>
      </c>
      <c r="E4417" t="inlineStr">
        <is>
          <t>SKELLEFTEÅ</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32079-2021</t>
        </is>
      </c>
      <c r="B4418" s="1" t="n">
        <v>44370</v>
      </c>
      <c r="C4418" s="1" t="n">
        <v>45204</v>
      </c>
      <c r="D4418" t="inlineStr">
        <is>
          <t>VÄSTERBOTTENS LÄN</t>
        </is>
      </c>
      <c r="E4418" t="inlineStr">
        <is>
          <t>DOROTEA</t>
        </is>
      </c>
      <c r="G4418" t="n">
        <v>5.7</v>
      </c>
      <c r="H4418" t="n">
        <v>0</v>
      </c>
      <c r="I4418" t="n">
        <v>0</v>
      </c>
      <c r="J4418" t="n">
        <v>0</v>
      </c>
      <c r="K4418" t="n">
        <v>0</v>
      </c>
      <c r="L4418" t="n">
        <v>0</v>
      </c>
      <c r="M4418" t="n">
        <v>0</v>
      </c>
      <c r="N4418" t="n">
        <v>0</v>
      </c>
      <c r="O4418" t="n">
        <v>0</v>
      </c>
      <c r="P4418" t="n">
        <v>0</v>
      </c>
      <c r="Q4418" t="n">
        <v>0</v>
      </c>
      <c r="R4418" s="2" t="inlineStr"/>
    </row>
    <row r="4419" ht="15" customHeight="1">
      <c r="A4419" t="inlineStr">
        <is>
          <t>A 32081-2021</t>
        </is>
      </c>
      <c r="B4419" s="1" t="n">
        <v>44370</v>
      </c>
      <c r="C4419" s="1" t="n">
        <v>45204</v>
      </c>
      <c r="D4419" t="inlineStr">
        <is>
          <t>VÄSTERBOTTENS LÄN</t>
        </is>
      </c>
      <c r="E4419" t="inlineStr">
        <is>
          <t>BJURHOLM</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32178-2021</t>
        </is>
      </c>
      <c r="B4420" s="1" t="n">
        <v>44371</v>
      </c>
      <c r="C4420" s="1" t="n">
        <v>45204</v>
      </c>
      <c r="D4420" t="inlineStr">
        <is>
          <t>VÄSTERBOTTENS LÄN</t>
        </is>
      </c>
      <c r="E4420" t="inlineStr">
        <is>
          <t>ÅSELE</t>
        </is>
      </c>
      <c r="F4420" t="inlineStr">
        <is>
          <t>Holmen skog AB</t>
        </is>
      </c>
      <c r="G4420" t="n">
        <v>2.6</v>
      </c>
      <c r="H4420" t="n">
        <v>0</v>
      </c>
      <c r="I4420" t="n">
        <v>0</v>
      </c>
      <c r="J4420" t="n">
        <v>0</v>
      </c>
      <c r="K4420" t="n">
        <v>0</v>
      </c>
      <c r="L4420" t="n">
        <v>0</v>
      </c>
      <c r="M4420" t="n">
        <v>0</v>
      </c>
      <c r="N4420" t="n">
        <v>0</v>
      </c>
      <c r="O4420" t="n">
        <v>0</v>
      </c>
      <c r="P4420" t="n">
        <v>0</v>
      </c>
      <c r="Q4420" t="n">
        <v>0</v>
      </c>
      <c r="R4420" s="2" t="inlineStr"/>
    </row>
    <row r="4421" ht="15" customHeight="1">
      <c r="A4421" t="inlineStr">
        <is>
          <t>A 32438-2021</t>
        </is>
      </c>
      <c r="B4421" s="1" t="n">
        <v>44371</v>
      </c>
      <c r="C4421" s="1" t="n">
        <v>45204</v>
      </c>
      <c r="D4421" t="inlineStr">
        <is>
          <t>VÄSTERBOTTENS LÄN</t>
        </is>
      </c>
      <c r="E4421" t="inlineStr">
        <is>
          <t>SKELLEFTEÅ</t>
        </is>
      </c>
      <c r="G4421" t="n">
        <v>4.7</v>
      </c>
      <c r="H4421" t="n">
        <v>0</v>
      </c>
      <c r="I4421" t="n">
        <v>0</v>
      </c>
      <c r="J4421" t="n">
        <v>0</v>
      </c>
      <c r="K4421" t="n">
        <v>0</v>
      </c>
      <c r="L4421" t="n">
        <v>0</v>
      </c>
      <c r="M4421" t="n">
        <v>0</v>
      </c>
      <c r="N4421" t="n">
        <v>0</v>
      </c>
      <c r="O4421" t="n">
        <v>0</v>
      </c>
      <c r="P4421" t="n">
        <v>0</v>
      </c>
      <c r="Q4421" t="n">
        <v>0</v>
      </c>
      <c r="R4421" s="2" t="inlineStr"/>
    </row>
    <row r="4422" ht="15" customHeight="1">
      <c r="A4422" t="inlineStr">
        <is>
          <t>A 32655-2021</t>
        </is>
      </c>
      <c r="B4422" s="1" t="n">
        <v>44371</v>
      </c>
      <c r="C4422" s="1" t="n">
        <v>45204</v>
      </c>
      <c r="D4422" t="inlineStr">
        <is>
          <t>VÄSTERBOTTENS LÄN</t>
        </is>
      </c>
      <c r="E4422" t="inlineStr">
        <is>
          <t>VILHELMINA</t>
        </is>
      </c>
      <c r="G4422" t="n">
        <v>0.2</v>
      </c>
      <c r="H4422" t="n">
        <v>0</v>
      </c>
      <c r="I4422" t="n">
        <v>0</v>
      </c>
      <c r="J4422" t="n">
        <v>0</v>
      </c>
      <c r="K4422" t="n">
        <v>0</v>
      </c>
      <c r="L4422" t="n">
        <v>0</v>
      </c>
      <c r="M4422" t="n">
        <v>0</v>
      </c>
      <c r="N4422" t="n">
        <v>0</v>
      </c>
      <c r="O4422" t="n">
        <v>0</v>
      </c>
      <c r="P4422" t="n">
        <v>0</v>
      </c>
      <c r="Q4422" t="n">
        <v>0</v>
      </c>
      <c r="R4422" s="2" t="inlineStr"/>
    </row>
    <row r="4423" ht="15" customHeight="1">
      <c r="A4423" t="inlineStr">
        <is>
          <t>A 32677-2021</t>
        </is>
      </c>
      <c r="B4423" s="1" t="n">
        <v>44371</v>
      </c>
      <c r="C4423" s="1" t="n">
        <v>45204</v>
      </c>
      <c r="D4423" t="inlineStr">
        <is>
          <t>VÄSTERBOTTENS LÄN</t>
        </is>
      </c>
      <c r="E4423" t="inlineStr">
        <is>
          <t>VILHELMINA</t>
        </is>
      </c>
      <c r="G4423" t="n">
        <v>9.699999999999999</v>
      </c>
      <c r="H4423" t="n">
        <v>0</v>
      </c>
      <c r="I4423" t="n">
        <v>0</v>
      </c>
      <c r="J4423" t="n">
        <v>0</v>
      </c>
      <c r="K4423" t="n">
        <v>0</v>
      </c>
      <c r="L4423" t="n">
        <v>0</v>
      </c>
      <c r="M4423" t="n">
        <v>0</v>
      </c>
      <c r="N4423" t="n">
        <v>0</v>
      </c>
      <c r="O4423" t="n">
        <v>0</v>
      </c>
      <c r="P4423" t="n">
        <v>0</v>
      </c>
      <c r="Q4423" t="n">
        <v>0</v>
      </c>
      <c r="R4423" s="2" t="inlineStr"/>
    </row>
    <row r="4424" ht="15" customHeight="1">
      <c r="A4424" t="inlineStr">
        <is>
          <t>A 32319-2021</t>
        </is>
      </c>
      <c r="B4424" s="1" t="n">
        <v>44371</v>
      </c>
      <c r="C4424" s="1" t="n">
        <v>45204</v>
      </c>
      <c r="D4424" t="inlineStr">
        <is>
          <t>VÄSTERBOTTENS LÄN</t>
        </is>
      </c>
      <c r="E4424" t="inlineStr">
        <is>
          <t>NORDMALING</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32429-2021</t>
        </is>
      </c>
      <c r="B4425" s="1" t="n">
        <v>44371</v>
      </c>
      <c r="C4425" s="1" t="n">
        <v>45204</v>
      </c>
      <c r="D4425" t="inlineStr">
        <is>
          <t>VÄSTERBOTTENS LÄN</t>
        </is>
      </c>
      <c r="E4425" t="inlineStr">
        <is>
          <t>NORSJÖ</t>
        </is>
      </c>
      <c r="F4425" t="inlineStr">
        <is>
          <t>Holmen skog AB</t>
        </is>
      </c>
      <c r="G4425" t="n">
        <v>13.9</v>
      </c>
      <c r="H4425" t="n">
        <v>0</v>
      </c>
      <c r="I4425" t="n">
        <v>0</v>
      </c>
      <c r="J4425" t="n">
        <v>0</v>
      </c>
      <c r="K4425" t="n">
        <v>0</v>
      </c>
      <c r="L4425" t="n">
        <v>0</v>
      </c>
      <c r="M4425" t="n">
        <v>0</v>
      </c>
      <c r="N4425" t="n">
        <v>0</v>
      </c>
      <c r="O4425" t="n">
        <v>0</v>
      </c>
      <c r="P4425" t="n">
        <v>0</v>
      </c>
      <c r="Q4425" t="n">
        <v>0</v>
      </c>
      <c r="R4425" s="2" t="inlineStr"/>
    </row>
    <row r="4426" ht="15" customHeight="1">
      <c r="A4426" t="inlineStr">
        <is>
          <t>A 32665-2021</t>
        </is>
      </c>
      <c r="B4426" s="1" t="n">
        <v>44371</v>
      </c>
      <c r="C4426" s="1" t="n">
        <v>45204</v>
      </c>
      <c r="D4426" t="inlineStr">
        <is>
          <t>VÄSTERBOTTENS LÄN</t>
        </is>
      </c>
      <c r="E4426" t="inlineStr">
        <is>
          <t>VILHELMINA</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32122-2021</t>
        </is>
      </c>
      <c r="B4427" s="1" t="n">
        <v>44371</v>
      </c>
      <c r="C4427" s="1" t="n">
        <v>45204</v>
      </c>
      <c r="D4427" t="inlineStr">
        <is>
          <t>VÄSTERBOTTENS LÄN</t>
        </is>
      </c>
      <c r="E4427" t="inlineStr">
        <is>
          <t>VINDELN</t>
        </is>
      </c>
      <c r="F4427" t="inlineStr">
        <is>
          <t>Sveaskog</t>
        </is>
      </c>
      <c r="G4427" t="n">
        <v>9.6</v>
      </c>
      <c r="H4427" t="n">
        <v>0</v>
      </c>
      <c r="I4427" t="n">
        <v>0</v>
      </c>
      <c r="J4427" t="n">
        <v>0</v>
      </c>
      <c r="K4427" t="n">
        <v>0</v>
      </c>
      <c r="L4427" t="n">
        <v>0</v>
      </c>
      <c r="M4427" t="n">
        <v>0</v>
      </c>
      <c r="N4427" t="n">
        <v>0</v>
      </c>
      <c r="O4427" t="n">
        <v>0</v>
      </c>
      <c r="P4427" t="n">
        <v>0</v>
      </c>
      <c r="Q4427" t="n">
        <v>0</v>
      </c>
      <c r="R4427" s="2" t="inlineStr"/>
    </row>
    <row r="4428" ht="15" customHeight="1">
      <c r="A4428" t="inlineStr">
        <is>
          <t>A 32439-2021</t>
        </is>
      </c>
      <c r="B4428" s="1" t="n">
        <v>44371</v>
      </c>
      <c r="C4428" s="1" t="n">
        <v>45204</v>
      </c>
      <c r="D4428" t="inlineStr">
        <is>
          <t>VÄSTERBOTTENS LÄN</t>
        </is>
      </c>
      <c r="E4428" t="inlineStr">
        <is>
          <t>SKELLEFTEÅ</t>
        </is>
      </c>
      <c r="G4428" t="n">
        <v>2.5</v>
      </c>
      <c r="H4428" t="n">
        <v>0</v>
      </c>
      <c r="I4428" t="n">
        <v>0</v>
      </c>
      <c r="J4428" t="n">
        <v>0</v>
      </c>
      <c r="K4428" t="n">
        <v>0</v>
      </c>
      <c r="L4428" t="n">
        <v>0</v>
      </c>
      <c r="M4428" t="n">
        <v>0</v>
      </c>
      <c r="N4428" t="n">
        <v>0</v>
      </c>
      <c r="O4428" t="n">
        <v>0</v>
      </c>
      <c r="P4428" t="n">
        <v>0</v>
      </c>
      <c r="Q4428" t="n">
        <v>0</v>
      </c>
      <c r="R4428" s="2" t="inlineStr"/>
    </row>
    <row r="4429" ht="15" customHeight="1">
      <c r="A4429" t="inlineStr">
        <is>
          <t>A 32658-2021</t>
        </is>
      </c>
      <c r="B4429" s="1" t="n">
        <v>44371</v>
      </c>
      <c r="C4429" s="1" t="n">
        <v>45204</v>
      </c>
      <c r="D4429" t="inlineStr">
        <is>
          <t>VÄSTERBOTTENS LÄN</t>
        </is>
      </c>
      <c r="E4429" t="inlineStr">
        <is>
          <t>VILHELMINA</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32253-2021</t>
        </is>
      </c>
      <c r="B4430" s="1" t="n">
        <v>44371</v>
      </c>
      <c r="C4430" s="1" t="n">
        <v>45204</v>
      </c>
      <c r="D4430" t="inlineStr">
        <is>
          <t>VÄSTERBOTTENS LÄN</t>
        </is>
      </c>
      <c r="E4430" t="inlineStr">
        <is>
          <t>VINDELN</t>
        </is>
      </c>
      <c r="G4430" t="n">
        <v>6.1</v>
      </c>
      <c r="H4430" t="n">
        <v>0</v>
      </c>
      <c r="I4430" t="n">
        <v>0</v>
      </c>
      <c r="J4430" t="n">
        <v>0</v>
      </c>
      <c r="K4430" t="n">
        <v>0</v>
      </c>
      <c r="L4430" t="n">
        <v>0</v>
      </c>
      <c r="M4430" t="n">
        <v>0</v>
      </c>
      <c r="N4430" t="n">
        <v>0</v>
      </c>
      <c r="O4430" t="n">
        <v>0</v>
      </c>
      <c r="P4430" t="n">
        <v>0</v>
      </c>
      <c r="Q4430" t="n">
        <v>0</v>
      </c>
      <c r="R4430" s="2" t="inlineStr"/>
    </row>
    <row r="4431" ht="15" customHeight="1">
      <c r="A4431" t="inlineStr">
        <is>
          <t>A 32451-2021</t>
        </is>
      </c>
      <c r="B4431" s="1" t="n">
        <v>44371</v>
      </c>
      <c r="C4431" s="1" t="n">
        <v>45204</v>
      </c>
      <c r="D4431" t="inlineStr">
        <is>
          <t>VÄSTERBOTTENS LÄN</t>
        </is>
      </c>
      <c r="E4431" t="inlineStr">
        <is>
          <t>NORSJÖ</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32616-2021</t>
        </is>
      </c>
      <c r="B4432" s="1" t="n">
        <v>44371</v>
      </c>
      <c r="C4432" s="1" t="n">
        <v>45204</v>
      </c>
      <c r="D4432" t="inlineStr">
        <is>
          <t>VÄSTERBOTTENS LÄN</t>
        </is>
      </c>
      <c r="E4432" t="inlineStr">
        <is>
          <t>SKELLEFTEÅ</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32672-2021</t>
        </is>
      </c>
      <c r="B4433" s="1" t="n">
        <v>44371</v>
      </c>
      <c r="C4433" s="1" t="n">
        <v>45204</v>
      </c>
      <c r="D4433" t="inlineStr">
        <is>
          <t>VÄSTERBOTTENS LÄN</t>
        </is>
      </c>
      <c r="E4433" t="inlineStr">
        <is>
          <t>VILHELMINA</t>
        </is>
      </c>
      <c r="G4433" t="n">
        <v>4.5</v>
      </c>
      <c r="H4433" t="n">
        <v>0</v>
      </c>
      <c r="I4433" t="n">
        <v>0</v>
      </c>
      <c r="J4433" t="n">
        <v>0</v>
      </c>
      <c r="K4433" t="n">
        <v>0</v>
      </c>
      <c r="L4433" t="n">
        <v>0</v>
      </c>
      <c r="M4433" t="n">
        <v>0</v>
      </c>
      <c r="N4433" t="n">
        <v>0</v>
      </c>
      <c r="O4433" t="n">
        <v>0</v>
      </c>
      <c r="P4433" t="n">
        <v>0</v>
      </c>
      <c r="Q4433" t="n">
        <v>0</v>
      </c>
      <c r="R4433" s="2" t="inlineStr"/>
    </row>
    <row r="4434" ht="15" customHeight="1">
      <c r="A4434" t="inlineStr">
        <is>
          <t>A 32585-2021</t>
        </is>
      </c>
      <c r="B4434" s="1" t="n">
        <v>44375</v>
      </c>
      <c r="C4434" s="1" t="n">
        <v>45204</v>
      </c>
      <c r="D4434" t="inlineStr">
        <is>
          <t>VÄSTERBOTTENS LÄN</t>
        </is>
      </c>
      <c r="E4434" t="inlineStr">
        <is>
          <t>SKELLEFTEÅ</t>
        </is>
      </c>
      <c r="F4434" t="inlineStr">
        <is>
          <t>Holmen skog AB</t>
        </is>
      </c>
      <c r="G4434" t="n">
        <v>4.6</v>
      </c>
      <c r="H4434" t="n">
        <v>0</v>
      </c>
      <c r="I4434" t="n">
        <v>0</v>
      </c>
      <c r="J4434" t="n">
        <v>0</v>
      </c>
      <c r="K4434" t="n">
        <v>0</v>
      </c>
      <c r="L4434" t="n">
        <v>0</v>
      </c>
      <c r="M4434" t="n">
        <v>0</v>
      </c>
      <c r="N4434" t="n">
        <v>0</v>
      </c>
      <c r="O4434" t="n">
        <v>0</v>
      </c>
      <c r="P4434" t="n">
        <v>0</v>
      </c>
      <c r="Q4434" t="n">
        <v>0</v>
      </c>
      <c r="R4434" s="2" t="inlineStr"/>
    </row>
    <row r="4435" ht="15" customHeight="1">
      <c r="A4435" t="inlineStr">
        <is>
          <t>A 32661-2021</t>
        </is>
      </c>
      <c r="B4435" s="1" t="n">
        <v>44375</v>
      </c>
      <c r="C4435" s="1" t="n">
        <v>45204</v>
      </c>
      <c r="D4435" t="inlineStr">
        <is>
          <t>VÄSTERBOTTENS LÄN</t>
        </is>
      </c>
      <c r="E4435" t="inlineStr">
        <is>
          <t>NORSJÖ</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32934-2021</t>
        </is>
      </c>
      <c r="B4436" s="1" t="n">
        <v>44375</v>
      </c>
      <c r="C4436" s="1" t="n">
        <v>45204</v>
      </c>
      <c r="D4436" t="inlineStr">
        <is>
          <t>VÄSTERBOTTENS LÄN</t>
        </is>
      </c>
      <c r="E4436" t="inlineStr">
        <is>
          <t>BJURHOLM</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32739-2021</t>
        </is>
      </c>
      <c r="B4437" s="1" t="n">
        <v>44375</v>
      </c>
      <c r="C4437" s="1" t="n">
        <v>45204</v>
      </c>
      <c r="D4437" t="inlineStr">
        <is>
          <t>VÄSTERBOTTENS LÄN</t>
        </is>
      </c>
      <c r="E4437" t="inlineStr">
        <is>
          <t>VÄNNÄS</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32917-2021</t>
        </is>
      </c>
      <c r="B4438" s="1" t="n">
        <v>44375</v>
      </c>
      <c r="C4438" s="1" t="n">
        <v>45204</v>
      </c>
      <c r="D4438" t="inlineStr">
        <is>
          <t>VÄSTERBOTTENS LÄN</t>
        </is>
      </c>
      <c r="E4438" t="inlineStr">
        <is>
          <t>SKELLEFTEÅ</t>
        </is>
      </c>
      <c r="F4438" t="inlineStr">
        <is>
          <t>SCA</t>
        </is>
      </c>
      <c r="G4438" t="n">
        <v>3.4</v>
      </c>
      <c r="H4438" t="n">
        <v>0</v>
      </c>
      <c r="I4438" t="n">
        <v>0</v>
      </c>
      <c r="J4438" t="n">
        <v>0</v>
      </c>
      <c r="K4438" t="n">
        <v>0</v>
      </c>
      <c r="L4438" t="n">
        <v>0</v>
      </c>
      <c r="M4438" t="n">
        <v>0</v>
      </c>
      <c r="N4438" t="n">
        <v>0</v>
      </c>
      <c r="O4438" t="n">
        <v>0</v>
      </c>
      <c r="P4438" t="n">
        <v>0</v>
      </c>
      <c r="Q4438" t="n">
        <v>0</v>
      </c>
      <c r="R4438" s="2" t="inlineStr"/>
    </row>
    <row r="4439" ht="15" customHeight="1">
      <c r="A4439" t="inlineStr">
        <is>
          <t>A 33222-2021</t>
        </is>
      </c>
      <c r="B4439" s="1" t="n">
        <v>44376</v>
      </c>
      <c r="C4439" s="1" t="n">
        <v>45204</v>
      </c>
      <c r="D4439" t="inlineStr">
        <is>
          <t>VÄSTERBOTTENS LÄN</t>
        </is>
      </c>
      <c r="E4439" t="inlineStr">
        <is>
          <t>LYCKSELE</t>
        </is>
      </c>
      <c r="F4439" t="inlineStr">
        <is>
          <t>SCA</t>
        </is>
      </c>
      <c r="G4439" t="n">
        <v>1.4</v>
      </c>
      <c r="H4439" t="n">
        <v>0</v>
      </c>
      <c r="I4439" t="n">
        <v>0</v>
      </c>
      <c r="J4439" t="n">
        <v>0</v>
      </c>
      <c r="K4439" t="n">
        <v>0</v>
      </c>
      <c r="L4439" t="n">
        <v>0</v>
      </c>
      <c r="M4439" t="n">
        <v>0</v>
      </c>
      <c r="N4439" t="n">
        <v>0</v>
      </c>
      <c r="O4439" t="n">
        <v>0</v>
      </c>
      <c r="P4439" t="n">
        <v>0</v>
      </c>
      <c r="Q4439" t="n">
        <v>0</v>
      </c>
      <c r="R4439" s="2" t="inlineStr"/>
    </row>
    <row r="4440" ht="15" customHeight="1">
      <c r="A4440" t="inlineStr">
        <is>
          <t>A 33229-2021</t>
        </is>
      </c>
      <c r="B4440" s="1" t="n">
        <v>44376</v>
      </c>
      <c r="C4440" s="1" t="n">
        <v>45204</v>
      </c>
      <c r="D4440" t="inlineStr">
        <is>
          <t>VÄSTERBOTTENS LÄN</t>
        </is>
      </c>
      <c r="E4440" t="inlineStr">
        <is>
          <t>UMEÅ</t>
        </is>
      </c>
      <c r="G4440" t="n">
        <v>2.5</v>
      </c>
      <c r="H4440" t="n">
        <v>0</v>
      </c>
      <c r="I4440" t="n">
        <v>0</v>
      </c>
      <c r="J4440" t="n">
        <v>0</v>
      </c>
      <c r="K4440" t="n">
        <v>0</v>
      </c>
      <c r="L4440" t="n">
        <v>0</v>
      </c>
      <c r="M4440" t="n">
        <v>0</v>
      </c>
      <c r="N4440" t="n">
        <v>0</v>
      </c>
      <c r="O4440" t="n">
        <v>0</v>
      </c>
      <c r="P4440" t="n">
        <v>0</v>
      </c>
      <c r="Q4440" t="n">
        <v>0</v>
      </c>
      <c r="R4440" s="2" t="inlineStr"/>
    </row>
    <row r="4441" ht="15" customHeight="1">
      <c r="A4441" t="inlineStr">
        <is>
          <t>A 33261-2021</t>
        </is>
      </c>
      <c r="B4441" s="1" t="n">
        <v>44376</v>
      </c>
      <c r="C4441" s="1" t="n">
        <v>45204</v>
      </c>
      <c r="D4441" t="inlineStr">
        <is>
          <t>VÄSTERBOTTENS LÄN</t>
        </is>
      </c>
      <c r="E4441" t="inlineStr">
        <is>
          <t>NORSJÖ</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32964-2021</t>
        </is>
      </c>
      <c r="B4442" s="1" t="n">
        <v>44376</v>
      </c>
      <c r="C4442" s="1" t="n">
        <v>45204</v>
      </c>
      <c r="D4442" t="inlineStr">
        <is>
          <t>VÄSTERBOTTENS LÄN</t>
        </is>
      </c>
      <c r="E4442" t="inlineStr">
        <is>
          <t>SKELLEFTEÅ</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33159-2021</t>
        </is>
      </c>
      <c r="B4443" s="1" t="n">
        <v>44376</v>
      </c>
      <c r="C4443" s="1" t="n">
        <v>45204</v>
      </c>
      <c r="D4443" t="inlineStr">
        <is>
          <t>VÄSTERBOTTENS LÄN</t>
        </is>
      </c>
      <c r="E4443" t="inlineStr">
        <is>
          <t>UMEÅ</t>
        </is>
      </c>
      <c r="F4443" t="inlineStr">
        <is>
          <t>Holmen skog AB</t>
        </is>
      </c>
      <c r="G4443" t="n">
        <v>18.4</v>
      </c>
      <c r="H4443" t="n">
        <v>0</v>
      </c>
      <c r="I4443" t="n">
        <v>0</v>
      </c>
      <c r="J4443" t="n">
        <v>0</v>
      </c>
      <c r="K4443" t="n">
        <v>0</v>
      </c>
      <c r="L4443" t="n">
        <v>0</v>
      </c>
      <c r="M4443" t="n">
        <v>0</v>
      </c>
      <c r="N4443" t="n">
        <v>0</v>
      </c>
      <c r="O4443" t="n">
        <v>0</v>
      </c>
      <c r="P4443" t="n">
        <v>0</v>
      </c>
      <c r="Q4443" t="n">
        <v>0</v>
      </c>
      <c r="R4443" s="2" t="inlineStr"/>
    </row>
    <row r="4444" ht="15" customHeight="1">
      <c r="A4444" t="inlineStr">
        <is>
          <t>A 33249-2021</t>
        </is>
      </c>
      <c r="B4444" s="1" t="n">
        <v>44376</v>
      </c>
      <c r="C4444" s="1" t="n">
        <v>45204</v>
      </c>
      <c r="D4444" t="inlineStr">
        <is>
          <t>VÄSTERBOTTENS LÄN</t>
        </is>
      </c>
      <c r="E4444" t="inlineStr">
        <is>
          <t>NORSJÖ</t>
        </is>
      </c>
      <c r="G4444" t="n">
        <v>2</v>
      </c>
      <c r="H4444" t="n">
        <v>0</v>
      </c>
      <c r="I4444" t="n">
        <v>0</v>
      </c>
      <c r="J4444" t="n">
        <v>0</v>
      </c>
      <c r="K4444" t="n">
        <v>0</v>
      </c>
      <c r="L4444" t="n">
        <v>0</v>
      </c>
      <c r="M4444" t="n">
        <v>0</v>
      </c>
      <c r="N4444" t="n">
        <v>0</v>
      </c>
      <c r="O4444" t="n">
        <v>0</v>
      </c>
      <c r="P4444" t="n">
        <v>0</v>
      </c>
      <c r="Q4444" t="n">
        <v>0</v>
      </c>
      <c r="R4444" s="2" t="inlineStr"/>
    </row>
    <row r="4445" ht="15" customHeight="1">
      <c r="A4445" t="inlineStr">
        <is>
          <t>A 32969-2021</t>
        </is>
      </c>
      <c r="B4445" s="1" t="n">
        <v>44376</v>
      </c>
      <c r="C4445" s="1" t="n">
        <v>45204</v>
      </c>
      <c r="D4445" t="inlineStr">
        <is>
          <t>VÄSTERBOTTENS LÄN</t>
        </is>
      </c>
      <c r="E4445" t="inlineStr">
        <is>
          <t>VINDELN</t>
        </is>
      </c>
      <c r="G4445" t="n">
        <v>14.4</v>
      </c>
      <c r="H4445" t="n">
        <v>0</v>
      </c>
      <c r="I4445" t="n">
        <v>0</v>
      </c>
      <c r="J4445" t="n">
        <v>0</v>
      </c>
      <c r="K4445" t="n">
        <v>0</v>
      </c>
      <c r="L4445" t="n">
        <v>0</v>
      </c>
      <c r="M4445" t="n">
        <v>0</v>
      </c>
      <c r="N4445" t="n">
        <v>0</v>
      </c>
      <c r="O4445" t="n">
        <v>0</v>
      </c>
      <c r="P4445" t="n">
        <v>0</v>
      </c>
      <c r="Q4445" t="n">
        <v>0</v>
      </c>
      <c r="R4445" s="2" t="inlineStr"/>
    </row>
    <row r="4446" ht="15" customHeight="1">
      <c r="A4446" t="inlineStr">
        <is>
          <t>A 33234-2021</t>
        </is>
      </c>
      <c r="B4446" s="1" t="n">
        <v>44376</v>
      </c>
      <c r="C4446" s="1" t="n">
        <v>45204</v>
      </c>
      <c r="D4446" t="inlineStr">
        <is>
          <t>VÄSTERBOTTENS LÄN</t>
        </is>
      </c>
      <c r="E4446" t="inlineStr">
        <is>
          <t>SORSELE</t>
        </is>
      </c>
      <c r="G4446" t="n">
        <v>5.6</v>
      </c>
      <c r="H4446" t="n">
        <v>0</v>
      </c>
      <c r="I4446" t="n">
        <v>0</v>
      </c>
      <c r="J4446" t="n">
        <v>0</v>
      </c>
      <c r="K4446" t="n">
        <v>0</v>
      </c>
      <c r="L4446" t="n">
        <v>0</v>
      </c>
      <c r="M4446" t="n">
        <v>0</v>
      </c>
      <c r="N4446" t="n">
        <v>0</v>
      </c>
      <c r="O4446" t="n">
        <v>0</v>
      </c>
      <c r="P4446" t="n">
        <v>0</v>
      </c>
      <c r="Q4446" t="n">
        <v>0</v>
      </c>
      <c r="R4446" s="2" t="inlineStr"/>
    </row>
    <row r="4447" ht="15" customHeight="1">
      <c r="A4447" t="inlineStr">
        <is>
          <t>A 33226-2021</t>
        </is>
      </c>
      <c r="B4447" s="1" t="n">
        <v>44376</v>
      </c>
      <c r="C4447" s="1" t="n">
        <v>45204</v>
      </c>
      <c r="D4447" t="inlineStr">
        <is>
          <t>VÄSTERBOTTENS LÄN</t>
        </is>
      </c>
      <c r="E4447" t="inlineStr">
        <is>
          <t>VÄNNÄS</t>
        </is>
      </c>
      <c r="G4447" t="n">
        <v>1.9</v>
      </c>
      <c r="H4447" t="n">
        <v>0</v>
      </c>
      <c r="I4447" t="n">
        <v>0</v>
      </c>
      <c r="J4447" t="n">
        <v>0</v>
      </c>
      <c r="K4447" t="n">
        <v>0</v>
      </c>
      <c r="L4447" t="n">
        <v>0</v>
      </c>
      <c r="M4447" t="n">
        <v>0</v>
      </c>
      <c r="N4447" t="n">
        <v>0</v>
      </c>
      <c r="O4447" t="n">
        <v>0</v>
      </c>
      <c r="P4447" t="n">
        <v>0</v>
      </c>
      <c r="Q4447" t="n">
        <v>0</v>
      </c>
      <c r="R4447" s="2" t="inlineStr"/>
    </row>
    <row r="4448" ht="15" customHeight="1">
      <c r="A4448" t="inlineStr">
        <is>
          <t>A 33236-2021</t>
        </is>
      </c>
      <c r="B4448" s="1" t="n">
        <v>44376</v>
      </c>
      <c r="C4448" s="1" t="n">
        <v>45204</v>
      </c>
      <c r="D4448" t="inlineStr">
        <is>
          <t>VÄSTERBOTTENS LÄN</t>
        </is>
      </c>
      <c r="E4448" t="inlineStr">
        <is>
          <t>SKELLEFTEÅ</t>
        </is>
      </c>
      <c r="G4448" t="n">
        <v>5.4</v>
      </c>
      <c r="H4448" t="n">
        <v>0</v>
      </c>
      <c r="I4448" t="n">
        <v>0</v>
      </c>
      <c r="J4448" t="n">
        <v>0</v>
      </c>
      <c r="K4448" t="n">
        <v>0</v>
      </c>
      <c r="L4448" t="n">
        <v>0</v>
      </c>
      <c r="M4448" t="n">
        <v>0</v>
      </c>
      <c r="N4448" t="n">
        <v>0</v>
      </c>
      <c r="O4448" t="n">
        <v>0</v>
      </c>
      <c r="P4448" t="n">
        <v>0</v>
      </c>
      <c r="Q4448" t="n">
        <v>0</v>
      </c>
      <c r="R4448" s="2" t="inlineStr"/>
    </row>
    <row r="4449" ht="15" customHeight="1">
      <c r="A4449" t="inlineStr">
        <is>
          <t>A 33301-2021</t>
        </is>
      </c>
      <c r="B4449" s="1" t="n">
        <v>44377</v>
      </c>
      <c r="C4449" s="1" t="n">
        <v>45204</v>
      </c>
      <c r="D4449" t="inlineStr">
        <is>
          <t>VÄSTERBOTTENS LÄN</t>
        </is>
      </c>
      <c r="E4449" t="inlineStr">
        <is>
          <t>ROBERTSFORS</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33473-2021</t>
        </is>
      </c>
      <c r="B4450" s="1" t="n">
        <v>44377</v>
      </c>
      <c r="C4450" s="1" t="n">
        <v>45204</v>
      </c>
      <c r="D4450" t="inlineStr">
        <is>
          <t>VÄSTERBOTTENS LÄN</t>
        </is>
      </c>
      <c r="E4450" t="inlineStr">
        <is>
          <t>SKELLEFTEÅ</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31656-2021</t>
        </is>
      </c>
      <c r="B4451" s="1" t="n">
        <v>44377</v>
      </c>
      <c r="C4451" s="1" t="n">
        <v>45204</v>
      </c>
      <c r="D4451" t="inlineStr">
        <is>
          <t>VÄSTERBOTTENS LÄN</t>
        </is>
      </c>
      <c r="E4451" t="inlineStr">
        <is>
          <t>VILHELMINA</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33286-2021</t>
        </is>
      </c>
      <c r="B4452" s="1" t="n">
        <v>44377</v>
      </c>
      <c r="C4452" s="1" t="n">
        <v>45204</v>
      </c>
      <c r="D4452" t="inlineStr">
        <is>
          <t>VÄSTERBOTTENS LÄN</t>
        </is>
      </c>
      <c r="E4452" t="inlineStr">
        <is>
          <t>DOROTEA</t>
        </is>
      </c>
      <c r="G4452" t="n">
        <v>0.2</v>
      </c>
      <c r="H4452" t="n">
        <v>0</v>
      </c>
      <c r="I4452" t="n">
        <v>0</v>
      </c>
      <c r="J4452" t="n">
        <v>0</v>
      </c>
      <c r="K4452" t="n">
        <v>0</v>
      </c>
      <c r="L4452" t="n">
        <v>0</v>
      </c>
      <c r="M4452" t="n">
        <v>0</v>
      </c>
      <c r="N4452" t="n">
        <v>0</v>
      </c>
      <c r="O4452" t="n">
        <v>0</v>
      </c>
      <c r="P4452" t="n">
        <v>0</v>
      </c>
      <c r="Q4452" t="n">
        <v>0</v>
      </c>
      <c r="R4452" s="2" t="inlineStr"/>
    </row>
    <row r="4453" ht="15" customHeight="1">
      <c r="A4453" t="inlineStr">
        <is>
          <t>A 33296-2021</t>
        </is>
      </c>
      <c r="B4453" s="1" t="n">
        <v>44377</v>
      </c>
      <c r="C4453" s="1" t="n">
        <v>45204</v>
      </c>
      <c r="D4453" t="inlineStr">
        <is>
          <t>VÄSTERBOTTENS LÄN</t>
        </is>
      </c>
      <c r="E4453" t="inlineStr">
        <is>
          <t>DOROTEA</t>
        </is>
      </c>
      <c r="F4453" t="inlineStr">
        <is>
          <t>SCA</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33351-2021</t>
        </is>
      </c>
      <c r="B4454" s="1" t="n">
        <v>44377</v>
      </c>
      <c r="C4454" s="1" t="n">
        <v>45204</v>
      </c>
      <c r="D4454" t="inlineStr">
        <is>
          <t>VÄSTERBOTTENS LÄN</t>
        </is>
      </c>
      <c r="E4454" t="inlineStr">
        <is>
          <t>STORUMAN</t>
        </is>
      </c>
      <c r="F4454" t="inlineStr">
        <is>
          <t>Allmännings- och besparingsskogar</t>
        </is>
      </c>
      <c r="G4454" t="n">
        <v>34</v>
      </c>
      <c r="H4454" t="n">
        <v>0</v>
      </c>
      <c r="I4454" t="n">
        <v>0</v>
      </c>
      <c r="J4454" t="n">
        <v>0</v>
      </c>
      <c r="K4454" t="n">
        <v>0</v>
      </c>
      <c r="L4454" t="n">
        <v>0</v>
      </c>
      <c r="M4454" t="n">
        <v>0</v>
      </c>
      <c r="N4454" t="n">
        <v>0</v>
      </c>
      <c r="O4454" t="n">
        <v>0</v>
      </c>
      <c r="P4454" t="n">
        <v>0</v>
      </c>
      <c r="Q4454" t="n">
        <v>0</v>
      </c>
      <c r="R4454" s="2" t="inlineStr"/>
    </row>
    <row r="4455" ht="15" customHeight="1">
      <c r="A4455" t="inlineStr">
        <is>
          <t>A 33379-2021</t>
        </is>
      </c>
      <c r="B4455" s="1" t="n">
        <v>44377</v>
      </c>
      <c r="C4455" s="1" t="n">
        <v>45204</v>
      </c>
      <c r="D4455" t="inlineStr">
        <is>
          <t>VÄSTERBOTTENS LÄN</t>
        </is>
      </c>
      <c r="E4455" t="inlineStr">
        <is>
          <t>ROBERTSFORS</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33284-2021</t>
        </is>
      </c>
      <c r="B4456" s="1" t="n">
        <v>44377</v>
      </c>
      <c r="C4456" s="1" t="n">
        <v>45204</v>
      </c>
      <c r="D4456" t="inlineStr">
        <is>
          <t>VÄSTERBOTTENS LÄN</t>
        </is>
      </c>
      <c r="E4456" t="inlineStr">
        <is>
          <t>SKELLEFTEÅ</t>
        </is>
      </c>
      <c r="G4456" t="n">
        <v>3.6</v>
      </c>
      <c r="H4456" t="n">
        <v>0</v>
      </c>
      <c r="I4456" t="n">
        <v>0</v>
      </c>
      <c r="J4456" t="n">
        <v>0</v>
      </c>
      <c r="K4456" t="n">
        <v>0</v>
      </c>
      <c r="L4456" t="n">
        <v>0</v>
      </c>
      <c r="M4456" t="n">
        <v>0</v>
      </c>
      <c r="N4456" t="n">
        <v>0</v>
      </c>
      <c r="O4456" t="n">
        <v>0</v>
      </c>
      <c r="P4456" t="n">
        <v>0</v>
      </c>
      <c r="Q4456" t="n">
        <v>0</v>
      </c>
      <c r="R4456" s="2" t="inlineStr"/>
    </row>
    <row r="4457" ht="15" customHeight="1">
      <c r="A4457" t="inlineStr">
        <is>
          <t>A 33292-2021</t>
        </is>
      </c>
      <c r="B4457" s="1" t="n">
        <v>44377</v>
      </c>
      <c r="C4457" s="1" t="n">
        <v>45204</v>
      </c>
      <c r="D4457" t="inlineStr">
        <is>
          <t>VÄSTERBOTTENS LÄN</t>
        </is>
      </c>
      <c r="E4457" t="inlineStr">
        <is>
          <t>DOROTEA</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33341-2021</t>
        </is>
      </c>
      <c r="B4458" s="1" t="n">
        <v>44377</v>
      </c>
      <c r="C4458" s="1" t="n">
        <v>45204</v>
      </c>
      <c r="D4458" t="inlineStr">
        <is>
          <t>VÄSTERBOTTENS LÄN</t>
        </is>
      </c>
      <c r="E4458" t="inlineStr">
        <is>
          <t>STORUMAN</t>
        </is>
      </c>
      <c r="F4458" t="inlineStr">
        <is>
          <t>Allmännings- och besparingsskogar</t>
        </is>
      </c>
      <c r="G4458" t="n">
        <v>4.5</v>
      </c>
      <c r="H4458" t="n">
        <v>0</v>
      </c>
      <c r="I4458" t="n">
        <v>0</v>
      </c>
      <c r="J4458" t="n">
        <v>0</v>
      </c>
      <c r="K4458" t="n">
        <v>0</v>
      </c>
      <c r="L4458" t="n">
        <v>0</v>
      </c>
      <c r="M4458" t="n">
        <v>0</v>
      </c>
      <c r="N4458" t="n">
        <v>0</v>
      </c>
      <c r="O4458" t="n">
        <v>0</v>
      </c>
      <c r="P4458" t="n">
        <v>0</v>
      </c>
      <c r="Q4458" t="n">
        <v>0</v>
      </c>
      <c r="R4458" s="2" t="inlineStr"/>
    </row>
    <row r="4459" ht="15" customHeight="1">
      <c r="A4459" t="inlineStr">
        <is>
          <t>A 33395-2021</t>
        </is>
      </c>
      <c r="B4459" s="1" t="n">
        <v>44377</v>
      </c>
      <c r="C4459" s="1" t="n">
        <v>45204</v>
      </c>
      <c r="D4459" t="inlineStr">
        <is>
          <t>VÄSTERBOTTENS LÄN</t>
        </is>
      </c>
      <c r="E4459" t="inlineStr">
        <is>
          <t>SORSELE</t>
        </is>
      </c>
      <c r="G4459" t="n">
        <v>20</v>
      </c>
      <c r="H4459" t="n">
        <v>0</v>
      </c>
      <c r="I4459" t="n">
        <v>0</v>
      </c>
      <c r="J4459" t="n">
        <v>0</v>
      </c>
      <c r="K4459" t="n">
        <v>0</v>
      </c>
      <c r="L4459" t="n">
        <v>0</v>
      </c>
      <c r="M4459" t="n">
        <v>0</v>
      </c>
      <c r="N4459" t="n">
        <v>0</v>
      </c>
      <c r="O4459" t="n">
        <v>0</v>
      </c>
      <c r="P4459" t="n">
        <v>0</v>
      </c>
      <c r="Q4459" t="n">
        <v>0</v>
      </c>
      <c r="R4459" s="2" t="inlineStr"/>
    </row>
    <row r="4460" ht="15" customHeight="1">
      <c r="A4460" t="inlineStr">
        <is>
          <t>A 33524-2021</t>
        </is>
      </c>
      <c r="B4460" s="1" t="n">
        <v>44377</v>
      </c>
      <c r="C4460" s="1" t="n">
        <v>45204</v>
      </c>
      <c r="D4460" t="inlineStr">
        <is>
          <t>VÄSTERBOTTENS LÄN</t>
        </is>
      </c>
      <c r="E4460" t="inlineStr">
        <is>
          <t>ÅSELE</t>
        </is>
      </c>
      <c r="G4460" t="n">
        <v>6.8</v>
      </c>
      <c r="H4460" t="n">
        <v>0</v>
      </c>
      <c r="I4460" t="n">
        <v>0</v>
      </c>
      <c r="J4460" t="n">
        <v>0</v>
      </c>
      <c r="K4460" t="n">
        <v>0</v>
      </c>
      <c r="L4460" t="n">
        <v>0</v>
      </c>
      <c r="M4460" t="n">
        <v>0</v>
      </c>
      <c r="N4460" t="n">
        <v>0</v>
      </c>
      <c r="O4460" t="n">
        <v>0</v>
      </c>
      <c r="P4460" t="n">
        <v>0</v>
      </c>
      <c r="Q4460" t="n">
        <v>0</v>
      </c>
      <c r="R4460" s="2" t="inlineStr"/>
    </row>
    <row r="4461" ht="15" customHeight="1">
      <c r="A4461" t="inlineStr">
        <is>
          <t>A 33294-2021</t>
        </is>
      </c>
      <c r="B4461" s="1" t="n">
        <v>44377</v>
      </c>
      <c r="C4461" s="1" t="n">
        <v>45204</v>
      </c>
      <c r="D4461" t="inlineStr">
        <is>
          <t>VÄSTERBOTTENS LÄN</t>
        </is>
      </c>
      <c r="E4461" t="inlineStr">
        <is>
          <t>DOROTEA</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33334-2021</t>
        </is>
      </c>
      <c r="B4462" s="1" t="n">
        <v>44377</v>
      </c>
      <c r="C4462" s="1" t="n">
        <v>45204</v>
      </c>
      <c r="D4462" t="inlineStr">
        <is>
          <t>VÄSTERBOTTENS LÄN</t>
        </is>
      </c>
      <c r="E4462" t="inlineStr">
        <is>
          <t>ROBERTSFORS</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33541-2021</t>
        </is>
      </c>
      <c r="B4463" s="1" t="n">
        <v>44377</v>
      </c>
      <c r="C4463" s="1" t="n">
        <v>45204</v>
      </c>
      <c r="D4463" t="inlineStr">
        <is>
          <t>VÄSTERBOTTENS LÄN</t>
        </is>
      </c>
      <c r="E4463" t="inlineStr">
        <is>
          <t>NORDMALING</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33571-2021</t>
        </is>
      </c>
      <c r="B4464" s="1" t="n">
        <v>44377</v>
      </c>
      <c r="C4464" s="1" t="n">
        <v>45204</v>
      </c>
      <c r="D4464" t="inlineStr">
        <is>
          <t>VÄSTERBOTTENS LÄN</t>
        </is>
      </c>
      <c r="E4464" t="inlineStr">
        <is>
          <t>ÅSELE</t>
        </is>
      </c>
      <c r="F4464" t="inlineStr">
        <is>
          <t>SCA</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33636-2021</t>
        </is>
      </c>
      <c r="B4465" s="1" t="n">
        <v>44378</v>
      </c>
      <c r="C4465" s="1" t="n">
        <v>45204</v>
      </c>
      <c r="D4465" t="inlineStr">
        <is>
          <t>VÄSTERBOTTENS LÄN</t>
        </is>
      </c>
      <c r="E4465" t="inlineStr">
        <is>
          <t>VILHELMINA</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33687-2021</t>
        </is>
      </c>
      <c r="B4466" s="1" t="n">
        <v>44378</v>
      </c>
      <c r="C4466" s="1" t="n">
        <v>45204</v>
      </c>
      <c r="D4466" t="inlineStr">
        <is>
          <t>VÄSTERBOTTENS LÄN</t>
        </is>
      </c>
      <c r="E4466" t="inlineStr">
        <is>
          <t>SKELLEFTEÅ</t>
        </is>
      </c>
      <c r="G4466" t="n">
        <v>0.1</v>
      </c>
      <c r="H4466" t="n">
        <v>0</v>
      </c>
      <c r="I4466" t="n">
        <v>0</v>
      </c>
      <c r="J4466" t="n">
        <v>0</v>
      </c>
      <c r="K4466" t="n">
        <v>0</v>
      </c>
      <c r="L4466" t="n">
        <v>0</v>
      </c>
      <c r="M4466" t="n">
        <v>0</v>
      </c>
      <c r="N4466" t="n">
        <v>0</v>
      </c>
      <c r="O4466" t="n">
        <v>0</v>
      </c>
      <c r="P4466" t="n">
        <v>0</v>
      </c>
      <c r="Q4466" t="n">
        <v>0</v>
      </c>
      <c r="R4466" s="2" t="inlineStr"/>
    </row>
    <row r="4467" ht="15" customHeight="1">
      <c r="A4467" t="inlineStr">
        <is>
          <t>A 33841-2021</t>
        </is>
      </c>
      <c r="B4467" s="1" t="n">
        <v>44378</v>
      </c>
      <c r="C4467" s="1" t="n">
        <v>45204</v>
      </c>
      <c r="D4467" t="inlineStr">
        <is>
          <t>VÄSTERBOTTENS LÄN</t>
        </is>
      </c>
      <c r="E4467" t="inlineStr">
        <is>
          <t>SKELLEFTEÅ</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33661-2021</t>
        </is>
      </c>
      <c r="B4468" s="1" t="n">
        <v>44378</v>
      </c>
      <c r="C4468" s="1" t="n">
        <v>45204</v>
      </c>
      <c r="D4468" t="inlineStr">
        <is>
          <t>VÄSTERBOTTENS LÄN</t>
        </is>
      </c>
      <c r="E4468" t="inlineStr">
        <is>
          <t>SKELLEFTEÅ</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34089-2021</t>
        </is>
      </c>
      <c r="B4469" s="1" t="n">
        <v>44379</v>
      </c>
      <c r="C4469" s="1" t="n">
        <v>45204</v>
      </c>
      <c r="D4469" t="inlineStr">
        <is>
          <t>VÄSTERBOTTENS LÄN</t>
        </is>
      </c>
      <c r="E4469" t="inlineStr">
        <is>
          <t>ÅSELE</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34121-2021</t>
        </is>
      </c>
      <c r="B4470" s="1" t="n">
        <v>44379</v>
      </c>
      <c r="C4470" s="1" t="n">
        <v>45204</v>
      </c>
      <c r="D4470" t="inlineStr">
        <is>
          <t>VÄSTERBOTTENS LÄN</t>
        </is>
      </c>
      <c r="E4470" t="inlineStr">
        <is>
          <t>UMEÅ</t>
        </is>
      </c>
      <c r="G4470" t="n">
        <v>2.5</v>
      </c>
      <c r="H4470" t="n">
        <v>0</v>
      </c>
      <c r="I4470" t="n">
        <v>0</v>
      </c>
      <c r="J4470" t="n">
        <v>0</v>
      </c>
      <c r="K4470" t="n">
        <v>0</v>
      </c>
      <c r="L4470" t="n">
        <v>0</v>
      </c>
      <c r="M4470" t="n">
        <v>0</v>
      </c>
      <c r="N4470" t="n">
        <v>0</v>
      </c>
      <c r="O4470" t="n">
        <v>0</v>
      </c>
      <c r="P4470" t="n">
        <v>0</v>
      </c>
      <c r="Q4470" t="n">
        <v>0</v>
      </c>
      <c r="R4470" s="2" t="inlineStr"/>
    </row>
    <row r="4471" ht="15" customHeight="1">
      <c r="A4471" t="inlineStr">
        <is>
          <t>A 34394-2021</t>
        </is>
      </c>
      <c r="B4471" s="1" t="n">
        <v>44379</v>
      </c>
      <c r="C4471" s="1" t="n">
        <v>45204</v>
      </c>
      <c r="D4471" t="inlineStr">
        <is>
          <t>VÄSTERBOTTENS LÄN</t>
        </is>
      </c>
      <c r="E4471" t="inlineStr">
        <is>
          <t>VILHELMINA</t>
        </is>
      </c>
      <c r="F4471" t="inlineStr">
        <is>
          <t>SCA</t>
        </is>
      </c>
      <c r="G4471" t="n">
        <v>11.7</v>
      </c>
      <c r="H4471" t="n">
        <v>0</v>
      </c>
      <c r="I4471" t="n">
        <v>0</v>
      </c>
      <c r="J4471" t="n">
        <v>0</v>
      </c>
      <c r="K4471" t="n">
        <v>0</v>
      </c>
      <c r="L4471" t="n">
        <v>0</v>
      </c>
      <c r="M4471" t="n">
        <v>0</v>
      </c>
      <c r="N4471" t="n">
        <v>0</v>
      </c>
      <c r="O4471" t="n">
        <v>0</v>
      </c>
      <c r="P4471" t="n">
        <v>0</v>
      </c>
      <c r="Q4471" t="n">
        <v>0</v>
      </c>
      <c r="R4471" s="2" t="inlineStr"/>
    </row>
    <row r="4472" ht="15" customHeight="1">
      <c r="A4472" t="inlineStr">
        <is>
          <t>A 34111-2021</t>
        </is>
      </c>
      <c r="B4472" s="1" t="n">
        <v>44379</v>
      </c>
      <c r="C4472" s="1" t="n">
        <v>45204</v>
      </c>
      <c r="D4472" t="inlineStr">
        <is>
          <t>VÄSTERBOTTENS LÄN</t>
        </is>
      </c>
      <c r="E4472" t="inlineStr">
        <is>
          <t>SKELLEFTEÅ</t>
        </is>
      </c>
      <c r="G4472" t="n">
        <v>0.9</v>
      </c>
      <c r="H4472" t="n">
        <v>0</v>
      </c>
      <c r="I4472" t="n">
        <v>0</v>
      </c>
      <c r="J4472" t="n">
        <v>0</v>
      </c>
      <c r="K4472" t="n">
        <v>0</v>
      </c>
      <c r="L4472" t="n">
        <v>0</v>
      </c>
      <c r="M4472" t="n">
        <v>0</v>
      </c>
      <c r="N4472" t="n">
        <v>0</v>
      </c>
      <c r="O4472" t="n">
        <v>0</v>
      </c>
      <c r="P4472" t="n">
        <v>0</v>
      </c>
      <c r="Q4472" t="n">
        <v>0</v>
      </c>
      <c r="R4472" s="2" t="inlineStr"/>
    </row>
    <row r="4473" ht="15" customHeight="1">
      <c r="A4473" t="inlineStr">
        <is>
          <t>A 34353-2021</t>
        </is>
      </c>
      <c r="B4473" s="1" t="n">
        <v>44379</v>
      </c>
      <c r="C4473" s="1" t="n">
        <v>45204</v>
      </c>
      <c r="D4473" t="inlineStr">
        <is>
          <t>VÄSTERBOTTENS LÄN</t>
        </is>
      </c>
      <c r="E4473" t="inlineStr">
        <is>
          <t>ROBERTSFORS</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34386-2021</t>
        </is>
      </c>
      <c r="B4474" s="1" t="n">
        <v>44379</v>
      </c>
      <c r="C4474" s="1" t="n">
        <v>45204</v>
      </c>
      <c r="D4474" t="inlineStr">
        <is>
          <t>VÄSTERBOTTENS LÄN</t>
        </is>
      </c>
      <c r="E4474" t="inlineStr">
        <is>
          <t>VINDELN</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34471-2021</t>
        </is>
      </c>
      <c r="B4475" s="1" t="n">
        <v>44381</v>
      </c>
      <c r="C4475" s="1" t="n">
        <v>45204</v>
      </c>
      <c r="D4475" t="inlineStr">
        <is>
          <t>VÄSTERBOTTENS LÄN</t>
        </is>
      </c>
      <c r="E4475" t="inlineStr">
        <is>
          <t>ÅSELE</t>
        </is>
      </c>
      <c r="G4475" t="n">
        <v>8.1</v>
      </c>
      <c r="H4475" t="n">
        <v>0</v>
      </c>
      <c r="I4475" t="n">
        <v>0</v>
      </c>
      <c r="J4475" t="n">
        <v>0</v>
      </c>
      <c r="K4475" t="n">
        <v>0</v>
      </c>
      <c r="L4475" t="n">
        <v>0</v>
      </c>
      <c r="M4475" t="n">
        <v>0</v>
      </c>
      <c r="N4475" t="n">
        <v>0</v>
      </c>
      <c r="O4475" t="n">
        <v>0</v>
      </c>
      <c r="P4475" t="n">
        <v>0</v>
      </c>
      <c r="Q4475" t="n">
        <v>0</v>
      </c>
      <c r="R4475" s="2" t="inlineStr"/>
    </row>
    <row r="4476" ht="15" customHeight="1">
      <c r="A4476" t="inlineStr">
        <is>
          <t>A 34808-2021</t>
        </is>
      </c>
      <c r="B4476" s="1" t="n">
        <v>44382</v>
      </c>
      <c r="C4476" s="1" t="n">
        <v>45204</v>
      </c>
      <c r="D4476" t="inlineStr">
        <is>
          <t>VÄSTERBOTTENS LÄN</t>
        </is>
      </c>
      <c r="E4476" t="inlineStr">
        <is>
          <t>VILHELMINA</t>
        </is>
      </c>
      <c r="F4476" t="inlineStr">
        <is>
          <t>Allmännings- och besparingsskogar</t>
        </is>
      </c>
      <c r="G4476" t="n">
        <v>20.6</v>
      </c>
      <c r="H4476" t="n">
        <v>0</v>
      </c>
      <c r="I4476" t="n">
        <v>0</v>
      </c>
      <c r="J4476" t="n">
        <v>0</v>
      </c>
      <c r="K4476" t="n">
        <v>0</v>
      </c>
      <c r="L4476" t="n">
        <v>0</v>
      </c>
      <c r="M4476" t="n">
        <v>0</v>
      </c>
      <c r="N4476" t="n">
        <v>0</v>
      </c>
      <c r="O4476" t="n">
        <v>0</v>
      </c>
      <c r="P4476" t="n">
        <v>0</v>
      </c>
      <c r="Q4476" t="n">
        <v>0</v>
      </c>
      <c r="R4476" s="2" t="inlineStr"/>
    </row>
    <row r="4477" ht="15" customHeight="1">
      <c r="A4477" t="inlineStr">
        <is>
          <t>A 34883-2021</t>
        </is>
      </c>
      <c r="B4477" s="1" t="n">
        <v>44382</v>
      </c>
      <c r="C4477" s="1" t="n">
        <v>45204</v>
      </c>
      <c r="D4477" t="inlineStr">
        <is>
          <t>VÄSTERBOTTENS LÄN</t>
        </is>
      </c>
      <c r="E4477" t="inlineStr">
        <is>
          <t>NORSJÖ</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34754-2021</t>
        </is>
      </c>
      <c r="B4478" s="1" t="n">
        <v>44382</v>
      </c>
      <c r="C4478" s="1" t="n">
        <v>45204</v>
      </c>
      <c r="D4478" t="inlineStr">
        <is>
          <t>VÄSTERBOTTENS LÄN</t>
        </is>
      </c>
      <c r="E4478" t="inlineStr">
        <is>
          <t>UMEÅ</t>
        </is>
      </c>
      <c r="F4478" t="inlineStr">
        <is>
          <t>Holmen skog AB</t>
        </is>
      </c>
      <c r="G4478" t="n">
        <v>12.5</v>
      </c>
      <c r="H4478" t="n">
        <v>0</v>
      </c>
      <c r="I4478" t="n">
        <v>0</v>
      </c>
      <c r="J4478" t="n">
        <v>0</v>
      </c>
      <c r="K4478" t="n">
        <v>0</v>
      </c>
      <c r="L4478" t="n">
        <v>0</v>
      </c>
      <c r="M4478" t="n">
        <v>0</v>
      </c>
      <c r="N4478" t="n">
        <v>0</v>
      </c>
      <c r="O4478" t="n">
        <v>0</v>
      </c>
      <c r="P4478" t="n">
        <v>0</v>
      </c>
      <c r="Q4478" t="n">
        <v>0</v>
      </c>
      <c r="R4478" s="2" t="inlineStr"/>
    </row>
    <row r="4479" ht="15" customHeight="1">
      <c r="A4479" t="inlineStr">
        <is>
          <t>A 34773-2021</t>
        </is>
      </c>
      <c r="B4479" s="1" t="n">
        <v>44382</v>
      </c>
      <c r="C4479" s="1" t="n">
        <v>45204</v>
      </c>
      <c r="D4479" t="inlineStr">
        <is>
          <t>VÄSTERBOTTENS LÄN</t>
        </is>
      </c>
      <c r="E4479" t="inlineStr">
        <is>
          <t>SKELLEFTEÅ</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34633-2021</t>
        </is>
      </c>
      <c r="B4480" s="1" t="n">
        <v>44382</v>
      </c>
      <c r="C4480" s="1" t="n">
        <v>45204</v>
      </c>
      <c r="D4480" t="inlineStr">
        <is>
          <t>VÄSTERBOTTENS LÄN</t>
        </is>
      </c>
      <c r="E4480" t="inlineStr">
        <is>
          <t>SKELLEFTEÅ</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34777-2021</t>
        </is>
      </c>
      <c r="B4481" s="1" t="n">
        <v>44382</v>
      </c>
      <c r="C4481" s="1" t="n">
        <v>45204</v>
      </c>
      <c r="D4481" t="inlineStr">
        <is>
          <t>VÄSTERBOTTENS LÄN</t>
        </is>
      </c>
      <c r="E4481" t="inlineStr">
        <is>
          <t>UMEÅ</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34802-2021</t>
        </is>
      </c>
      <c r="B4482" s="1" t="n">
        <v>44382</v>
      </c>
      <c r="C4482" s="1" t="n">
        <v>45204</v>
      </c>
      <c r="D4482" t="inlineStr">
        <is>
          <t>VÄSTERBOTTENS LÄN</t>
        </is>
      </c>
      <c r="E4482" t="inlineStr">
        <is>
          <t>VILHELMINA</t>
        </is>
      </c>
      <c r="F4482" t="inlineStr">
        <is>
          <t>Allmännings- och besparingsskogar</t>
        </is>
      </c>
      <c r="G4482" t="n">
        <v>11.6</v>
      </c>
      <c r="H4482" t="n">
        <v>0</v>
      </c>
      <c r="I4482" t="n">
        <v>0</v>
      </c>
      <c r="J4482" t="n">
        <v>0</v>
      </c>
      <c r="K4482" t="n">
        <v>0</v>
      </c>
      <c r="L4482" t="n">
        <v>0</v>
      </c>
      <c r="M4482" t="n">
        <v>0</v>
      </c>
      <c r="N4482" t="n">
        <v>0</v>
      </c>
      <c r="O4482" t="n">
        <v>0</v>
      </c>
      <c r="P4482" t="n">
        <v>0</v>
      </c>
      <c r="Q4482" t="n">
        <v>0</v>
      </c>
      <c r="R4482" s="2" t="inlineStr"/>
    </row>
    <row r="4483" ht="15" customHeight="1">
      <c r="A4483" t="inlineStr">
        <is>
          <t>A 35087-2021</t>
        </is>
      </c>
      <c r="B4483" s="1" t="n">
        <v>44383</v>
      </c>
      <c r="C4483" s="1" t="n">
        <v>45204</v>
      </c>
      <c r="D4483" t="inlineStr">
        <is>
          <t>VÄSTERBOTTENS LÄN</t>
        </is>
      </c>
      <c r="E4483" t="inlineStr">
        <is>
          <t>SKELLEFTEÅ</t>
        </is>
      </c>
      <c r="G4483" t="n">
        <v>7</v>
      </c>
      <c r="H4483" t="n">
        <v>0</v>
      </c>
      <c r="I4483" t="n">
        <v>0</v>
      </c>
      <c r="J4483" t="n">
        <v>0</v>
      </c>
      <c r="K4483" t="n">
        <v>0</v>
      </c>
      <c r="L4483" t="n">
        <v>0</v>
      </c>
      <c r="M4483" t="n">
        <v>0</v>
      </c>
      <c r="N4483" t="n">
        <v>0</v>
      </c>
      <c r="O4483" t="n">
        <v>0</v>
      </c>
      <c r="P4483" t="n">
        <v>0</v>
      </c>
      <c r="Q4483" t="n">
        <v>0</v>
      </c>
      <c r="R4483" s="2" t="inlineStr"/>
    </row>
    <row r="4484" ht="15" customHeight="1">
      <c r="A4484" t="inlineStr">
        <is>
          <t>A 35021-2021</t>
        </is>
      </c>
      <c r="B4484" s="1" t="n">
        <v>44383</v>
      </c>
      <c r="C4484" s="1" t="n">
        <v>45204</v>
      </c>
      <c r="D4484" t="inlineStr">
        <is>
          <t>VÄSTERBOTTENS LÄN</t>
        </is>
      </c>
      <c r="E4484" t="inlineStr">
        <is>
          <t>LYCKSELE</t>
        </is>
      </c>
      <c r="F4484" t="inlineStr">
        <is>
          <t>Holmen skog AB</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35040-2021</t>
        </is>
      </c>
      <c r="B4485" s="1" t="n">
        <v>44383</v>
      </c>
      <c r="C4485" s="1" t="n">
        <v>45204</v>
      </c>
      <c r="D4485" t="inlineStr">
        <is>
          <t>VÄSTERBOTTENS LÄN</t>
        </is>
      </c>
      <c r="E4485" t="inlineStr">
        <is>
          <t>DOROTEA</t>
        </is>
      </c>
      <c r="G4485" t="n">
        <v>0.2</v>
      </c>
      <c r="H4485" t="n">
        <v>0</v>
      </c>
      <c r="I4485" t="n">
        <v>0</v>
      </c>
      <c r="J4485" t="n">
        <v>0</v>
      </c>
      <c r="K4485" t="n">
        <v>0</v>
      </c>
      <c r="L4485" t="n">
        <v>0</v>
      </c>
      <c r="M4485" t="n">
        <v>0</v>
      </c>
      <c r="N4485" t="n">
        <v>0</v>
      </c>
      <c r="O4485" t="n">
        <v>0</v>
      </c>
      <c r="P4485" t="n">
        <v>0</v>
      </c>
      <c r="Q4485" t="n">
        <v>0</v>
      </c>
      <c r="R4485" s="2" t="inlineStr"/>
    </row>
    <row r="4486" ht="15" customHeight="1">
      <c r="A4486" t="inlineStr">
        <is>
          <t>A 35442-2021</t>
        </is>
      </c>
      <c r="B4486" s="1" t="n">
        <v>44384</v>
      </c>
      <c r="C4486" s="1" t="n">
        <v>45204</v>
      </c>
      <c r="D4486" t="inlineStr">
        <is>
          <t>VÄSTERBOTTENS LÄN</t>
        </is>
      </c>
      <c r="E4486" t="inlineStr">
        <is>
          <t>SKELLEFTEÅ</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35381-2021</t>
        </is>
      </c>
      <c r="B4487" s="1" t="n">
        <v>44384</v>
      </c>
      <c r="C4487" s="1" t="n">
        <v>45204</v>
      </c>
      <c r="D4487" t="inlineStr">
        <is>
          <t>VÄSTERBOTTENS LÄN</t>
        </is>
      </c>
      <c r="E4487" t="inlineStr">
        <is>
          <t>ROBERTSFORS</t>
        </is>
      </c>
      <c r="G4487" t="n">
        <v>6.6</v>
      </c>
      <c r="H4487" t="n">
        <v>0</v>
      </c>
      <c r="I4487" t="n">
        <v>0</v>
      </c>
      <c r="J4487" t="n">
        <v>0</v>
      </c>
      <c r="K4487" t="n">
        <v>0</v>
      </c>
      <c r="L4487" t="n">
        <v>0</v>
      </c>
      <c r="M4487" t="n">
        <v>0</v>
      </c>
      <c r="N4487" t="n">
        <v>0</v>
      </c>
      <c r="O4487" t="n">
        <v>0</v>
      </c>
      <c r="P4487" t="n">
        <v>0</v>
      </c>
      <c r="Q4487" t="n">
        <v>0</v>
      </c>
      <c r="R4487" s="2" t="inlineStr"/>
    </row>
    <row r="4488" ht="15" customHeight="1">
      <c r="A4488" t="inlineStr">
        <is>
          <t>A 35379-2021</t>
        </is>
      </c>
      <c r="B4488" s="1" t="n">
        <v>44384</v>
      </c>
      <c r="C4488" s="1" t="n">
        <v>45204</v>
      </c>
      <c r="D4488" t="inlineStr">
        <is>
          <t>VÄSTERBOTTENS LÄN</t>
        </is>
      </c>
      <c r="E4488" t="inlineStr">
        <is>
          <t>VINDELN</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35078-2021</t>
        </is>
      </c>
      <c r="B4489" s="1" t="n">
        <v>44384</v>
      </c>
      <c r="C4489" s="1" t="n">
        <v>45204</v>
      </c>
      <c r="D4489" t="inlineStr">
        <is>
          <t>VÄSTERBOTTENS LÄN</t>
        </is>
      </c>
      <c r="E4489" t="inlineStr">
        <is>
          <t>SKELLEFTEÅ</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35430-2021</t>
        </is>
      </c>
      <c r="B4490" s="1" t="n">
        <v>44384</v>
      </c>
      <c r="C4490" s="1" t="n">
        <v>45204</v>
      </c>
      <c r="D4490" t="inlineStr">
        <is>
          <t>VÄSTERBOTTENS LÄN</t>
        </is>
      </c>
      <c r="E4490" t="inlineStr">
        <is>
          <t>VINDELN</t>
        </is>
      </c>
      <c r="G4490" t="n">
        <v>12.6</v>
      </c>
      <c r="H4490" t="n">
        <v>0</v>
      </c>
      <c r="I4490" t="n">
        <v>0</v>
      </c>
      <c r="J4490" t="n">
        <v>0</v>
      </c>
      <c r="K4490" t="n">
        <v>0</v>
      </c>
      <c r="L4490" t="n">
        <v>0</v>
      </c>
      <c r="M4490" t="n">
        <v>0</v>
      </c>
      <c r="N4490" t="n">
        <v>0</v>
      </c>
      <c r="O4490" t="n">
        <v>0</v>
      </c>
      <c r="P4490" t="n">
        <v>0</v>
      </c>
      <c r="Q4490" t="n">
        <v>0</v>
      </c>
      <c r="R4490" s="2" t="inlineStr"/>
    </row>
    <row r="4491" ht="15" customHeight="1">
      <c r="A4491" t="inlineStr">
        <is>
          <t>A 35435-2021</t>
        </is>
      </c>
      <c r="B4491" s="1" t="n">
        <v>44385</v>
      </c>
      <c r="C4491" s="1" t="n">
        <v>45204</v>
      </c>
      <c r="D4491" t="inlineStr">
        <is>
          <t>VÄSTERBOTTENS LÄN</t>
        </is>
      </c>
      <c r="E4491" t="inlineStr">
        <is>
          <t>SKELLEFTEÅ</t>
        </is>
      </c>
      <c r="F4491" t="inlineStr">
        <is>
          <t>Holmen skog AB</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35557-2021</t>
        </is>
      </c>
      <c r="B4492" s="1" t="n">
        <v>44385</v>
      </c>
      <c r="C4492" s="1" t="n">
        <v>45204</v>
      </c>
      <c r="D4492" t="inlineStr">
        <is>
          <t>VÄSTERBOTTENS LÄN</t>
        </is>
      </c>
      <c r="E4492" t="inlineStr">
        <is>
          <t>VÄNNÄS</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35989-2021</t>
        </is>
      </c>
      <c r="B4493" s="1" t="n">
        <v>44385</v>
      </c>
      <c r="C4493" s="1" t="n">
        <v>45204</v>
      </c>
      <c r="D4493" t="inlineStr">
        <is>
          <t>VÄSTERBOTTENS LÄN</t>
        </is>
      </c>
      <c r="E4493" t="inlineStr">
        <is>
          <t>MALÅ</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35566-2021</t>
        </is>
      </c>
      <c r="B4494" s="1" t="n">
        <v>44385</v>
      </c>
      <c r="C4494" s="1" t="n">
        <v>45204</v>
      </c>
      <c r="D4494" t="inlineStr">
        <is>
          <t>VÄSTERBOTTENS LÄN</t>
        </is>
      </c>
      <c r="E4494" t="inlineStr">
        <is>
          <t>ÅSELE</t>
        </is>
      </c>
      <c r="F4494" t="inlineStr">
        <is>
          <t>SCA</t>
        </is>
      </c>
      <c r="G4494" t="n">
        <v>3.9</v>
      </c>
      <c r="H4494" t="n">
        <v>0</v>
      </c>
      <c r="I4494" t="n">
        <v>0</v>
      </c>
      <c r="J4494" t="n">
        <v>0</v>
      </c>
      <c r="K4494" t="n">
        <v>0</v>
      </c>
      <c r="L4494" t="n">
        <v>0</v>
      </c>
      <c r="M4494" t="n">
        <v>0</v>
      </c>
      <c r="N4494" t="n">
        <v>0</v>
      </c>
      <c r="O4494" t="n">
        <v>0</v>
      </c>
      <c r="P4494" t="n">
        <v>0</v>
      </c>
      <c r="Q4494" t="n">
        <v>0</v>
      </c>
      <c r="R4494" s="2" t="inlineStr"/>
    </row>
    <row r="4495" ht="15" customHeight="1">
      <c r="A4495" t="inlineStr">
        <is>
          <t>A 35733-2021</t>
        </is>
      </c>
      <c r="B4495" s="1" t="n">
        <v>44385</v>
      </c>
      <c r="C4495" s="1" t="n">
        <v>45204</v>
      </c>
      <c r="D4495" t="inlineStr">
        <is>
          <t>VÄSTERBOTTENS LÄN</t>
        </is>
      </c>
      <c r="E4495" t="inlineStr">
        <is>
          <t>SKELLEFTEÅ</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35432-2021</t>
        </is>
      </c>
      <c r="B4496" s="1" t="n">
        <v>44385</v>
      </c>
      <c r="C4496" s="1" t="n">
        <v>45204</v>
      </c>
      <c r="D4496" t="inlineStr">
        <is>
          <t>VÄSTERBOTTENS LÄN</t>
        </is>
      </c>
      <c r="E4496" t="inlineStr">
        <is>
          <t>VINDELN</t>
        </is>
      </c>
      <c r="F4496" t="inlineStr">
        <is>
          <t>Sveaskog</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35465-2021</t>
        </is>
      </c>
      <c r="B4497" s="1" t="n">
        <v>44385</v>
      </c>
      <c r="C4497" s="1" t="n">
        <v>45204</v>
      </c>
      <c r="D4497" t="inlineStr">
        <is>
          <t>VÄSTERBOTTENS LÄN</t>
        </is>
      </c>
      <c r="E4497" t="inlineStr">
        <is>
          <t>UMEÅ</t>
        </is>
      </c>
      <c r="F4497" t="inlineStr">
        <is>
          <t>Sveaskog</t>
        </is>
      </c>
      <c r="G4497" t="n">
        <v>5.8</v>
      </c>
      <c r="H4497" t="n">
        <v>0</v>
      </c>
      <c r="I4497" t="n">
        <v>0</v>
      </c>
      <c r="J4497" t="n">
        <v>0</v>
      </c>
      <c r="K4497" t="n">
        <v>0</v>
      </c>
      <c r="L4497" t="n">
        <v>0</v>
      </c>
      <c r="M4497" t="n">
        <v>0</v>
      </c>
      <c r="N4497" t="n">
        <v>0</v>
      </c>
      <c r="O4497" t="n">
        <v>0</v>
      </c>
      <c r="P4497" t="n">
        <v>0</v>
      </c>
      <c r="Q4497" t="n">
        <v>0</v>
      </c>
      <c r="R4497" s="2" t="inlineStr"/>
    </row>
    <row r="4498" ht="15" customHeight="1">
      <c r="A4498" t="inlineStr">
        <is>
          <t>A 35650-2021</t>
        </is>
      </c>
      <c r="B4498" s="1" t="n">
        <v>44386</v>
      </c>
      <c r="C4498" s="1" t="n">
        <v>45204</v>
      </c>
      <c r="D4498" t="inlineStr">
        <is>
          <t>VÄSTERBOTTENS LÄN</t>
        </is>
      </c>
      <c r="E4498" t="inlineStr">
        <is>
          <t>SKELLEFTEÅ</t>
        </is>
      </c>
      <c r="F4498" t="inlineStr">
        <is>
          <t>Holmen skog AB</t>
        </is>
      </c>
      <c r="G4498" t="n">
        <v>5.5</v>
      </c>
      <c r="H4498" t="n">
        <v>0</v>
      </c>
      <c r="I4498" t="n">
        <v>0</v>
      </c>
      <c r="J4498" t="n">
        <v>0</v>
      </c>
      <c r="K4498" t="n">
        <v>0</v>
      </c>
      <c r="L4498" t="n">
        <v>0</v>
      </c>
      <c r="M4498" t="n">
        <v>0</v>
      </c>
      <c r="N4498" t="n">
        <v>0</v>
      </c>
      <c r="O4498" t="n">
        <v>0</v>
      </c>
      <c r="P4498" t="n">
        <v>0</v>
      </c>
      <c r="Q4498" t="n">
        <v>0</v>
      </c>
      <c r="R4498" s="2" t="inlineStr"/>
    </row>
    <row r="4499" ht="15" customHeight="1">
      <c r="A4499" t="inlineStr">
        <is>
          <t>A 35700-2021</t>
        </is>
      </c>
      <c r="B4499" s="1" t="n">
        <v>44386</v>
      </c>
      <c r="C4499" s="1" t="n">
        <v>45204</v>
      </c>
      <c r="D4499" t="inlineStr">
        <is>
          <t>VÄSTERBOTTENS LÄN</t>
        </is>
      </c>
      <c r="E4499" t="inlineStr">
        <is>
          <t>LYCKSELE</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36023-2021</t>
        </is>
      </c>
      <c r="B4500" s="1" t="n">
        <v>44386</v>
      </c>
      <c r="C4500" s="1" t="n">
        <v>45204</v>
      </c>
      <c r="D4500" t="inlineStr">
        <is>
          <t>VÄSTERBOTTENS LÄN</t>
        </is>
      </c>
      <c r="E4500" t="inlineStr">
        <is>
          <t>ROBERTSFORS</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36086-2021</t>
        </is>
      </c>
      <c r="B4501" s="1" t="n">
        <v>44386</v>
      </c>
      <c r="C4501" s="1" t="n">
        <v>45204</v>
      </c>
      <c r="D4501" t="inlineStr">
        <is>
          <t>VÄSTERBOTTENS LÄN</t>
        </is>
      </c>
      <c r="E4501" t="inlineStr">
        <is>
          <t>SKELLEFTEÅ</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35852-2021</t>
        </is>
      </c>
      <c r="B4502" s="1" t="n">
        <v>44386</v>
      </c>
      <c r="C4502" s="1" t="n">
        <v>45204</v>
      </c>
      <c r="D4502" t="inlineStr">
        <is>
          <t>VÄSTERBOTTENS LÄN</t>
        </is>
      </c>
      <c r="E4502" t="inlineStr">
        <is>
          <t>ROBERTSFORS</t>
        </is>
      </c>
      <c r="G4502" t="n">
        <v>1.4</v>
      </c>
      <c r="H4502" t="n">
        <v>0</v>
      </c>
      <c r="I4502" t="n">
        <v>0</v>
      </c>
      <c r="J4502" t="n">
        <v>0</v>
      </c>
      <c r="K4502" t="n">
        <v>0</v>
      </c>
      <c r="L4502" t="n">
        <v>0</v>
      </c>
      <c r="M4502" t="n">
        <v>0</v>
      </c>
      <c r="N4502" t="n">
        <v>0</v>
      </c>
      <c r="O4502" t="n">
        <v>0</v>
      </c>
      <c r="P4502" t="n">
        <v>0</v>
      </c>
      <c r="Q4502" t="n">
        <v>0</v>
      </c>
      <c r="R4502" s="2" t="inlineStr"/>
    </row>
    <row r="4503" ht="15" customHeight="1">
      <c r="A4503" t="inlineStr">
        <is>
          <t>A 36005-2021</t>
        </is>
      </c>
      <c r="B4503" s="1" t="n">
        <v>44386</v>
      </c>
      <c r="C4503" s="1" t="n">
        <v>45204</v>
      </c>
      <c r="D4503" t="inlineStr">
        <is>
          <t>VÄSTERBOTTENS LÄN</t>
        </is>
      </c>
      <c r="E4503" t="inlineStr">
        <is>
          <t>LYCKSELE</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35848-2021</t>
        </is>
      </c>
      <c r="B4504" s="1" t="n">
        <v>44386</v>
      </c>
      <c r="C4504" s="1" t="n">
        <v>45204</v>
      </c>
      <c r="D4504" t="inlineStr">
        <is>
          <t>VÄSTERBOTTENS LÄN</t>
        </is>
      </c>
      <c r="E4504" t="inlineStr">
        <is>
          <t>BJURHOLM</t>
        </is>
      </c>
      <c r="G4504" t="n">
        <v>15.2</v>
      </c>
      <c r="H4504" t="n">
        <v>0</v>
      </c>
      <c r="I4504" t="n">
        <v>0</v>
      </c>
      <c r="J4504" t="n">
        <v>0</v>
      </c>
      <c r="K4504" t="n">
        <v>0</v>
      </c>
      <c r="L4504" t="n">
        <v>0</v>
      </c>
      <c r="M4504" t="n">
        <v>0</v>
      </c>
      <c r="N4504" t="n">
        <v>0</v>
      </c>
      <c r="O4504" t="n">
        <v>0</v>
      </c>
      <c r="P4504" t="n">
        <v>0</v>
      </c>
      <c r="Q4504" t="n">
        <v>0</v>
      </c>
      <c r="R4504" s="2" t="inlineStr"/>
    </row>
    <row r="4505" ht="15" customHeight="1">
      <c r="A4505" t="inlineStr">
        <is>
          <t>A 35754-2021</t>
        </is>
      </c>
      <c r="B4505" s="1" t="n">
        <v>44386</v>
      </c>
      <c r="C4505" s="1" t="n">
        <v>45204</v>
      </c>
      <c r="D4505" t="inlineStr">
        <is>
          <t>VÄSTERBOTTENS LÄN</t>
        </is>
      </c>
      <c r="E4505" t="inlineStr">
        <is>
          <t>ÅSELE</t>
        </is>
      </c>
      <c r="F4505" t="inlineStr">
        <is>
          <t>Holmen skog AB</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35779-2021</t>
        </is>
      </c>
      <c r="B4506" s="1" t="n">
        <v>44386</v>
      </c>
      <c r="C4506" s="1" t="n">
        <v>45204</v>
      </c>
      <c r="D4506" t="inlineStr">
        <is>
          <t>VÄSTERBOTTENS LÄN</t>
        </is>
      </c>
      <c r="E4506" t="inlineStr">
        <is>
          <t>ÅSELE</t>
        </is>
      </c>
      <c r="F4506" t="inlineStr">
        <is>
          <t>Holmen skog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35876-2021</t>
        </is>
      </c>
      <c r="B4507" s="1" t="n">
        <v>44386</v>
      </c>
      <c r="C4507" s="1" t="n">
        <v>45204</v>
      </c>
      <c r="D4507" t="inlineStr">
        <is>
          <t>VÄSTERBOTTENS LÄN</t>
        </is>
      </c>
      <c r="E4507" t="inlineStr">
        <is>
          <t>VILHELMINA</t>
        </is>
      </c>
      <c r="F4507" t="inlineStr">
        <is>
          <t>SCA</t>
        </is>
      </c>
      <c r="G4507" t="n">
        <v>6.5</v>
      </c>
      <c r="H4507" t="n">
        <v>0</v>
      </c>
      <c r="I4507" t="n">
        <v>0</v>
      </c>
      <c r="J4507" t="n">
        <v>0</v>
      </c>
      <c r="K4507" t="n">
        <v>0</v>
      </c>
      <c r="L4507" t="n">
        <v>0</v>
      </c>
      <c r="M4507" t="n">
        <v>0</v>
      </c>
      <c r="N4507" t="n">
        <v>0</v>
      </c>
      <c r="O4507" t="n">
        <v>0</v>
      </c>
      <c r="P4507" t="n">
        <v>0</v>
      </c>
      <c r="Q4507" t="n">
        <v>0</v>
      </c>
      <c r="R4507" s="2" t="inlineStr"/>
    </row>
    <row r="4508" ht="15" customHeight="1">
      <c r="A4508" t="inlineStr">
        <is>
          <t>A 36046-2021</t>
        </is>
      </c>
      <c r="B4508" s="1" t="n">
        <v>44386</v>
      </c>
      <c r="C4508" s="1" t="n">
        <v>45204</v>
      </c>
      <c r="D4508" t="inlineStr">
        <is>
          <t>VÄSTERBOTTENS LÄN</t>
        </is>
      </c>
      <c r="E4508" t="inlineStr">
        <is>
          <t>LYCKSELE</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36288-2021</t>
        </is>
      </c>
      <c r="B4509" s="1" t="n">
        <v>44389</v>
      </c>
      <c r="C4509" s="1" t="n">
        <v>45204</v>
      </c>
      <c r="D4509" t="inlineStr">
        <is>
          <t>VÄSTERBOTTENS LÄN</t>
        </is>
      </c>
      <c r="E4509" t="inlineStr">
        <is>
          <t>VILHELMINA</t>
        </is>
      </c>
      <c r="G4509" t="n">
        <v>20.5</v>
      </c>
      <c r="H4509" t="n">
        <v>0</v>
      </c>
      <c r="I4509" t="n">
        <v>0</v>
      </c>
      <c r="J4509" t="n">
        <v>0</v>
      </c>
      <c r="K4509" t="n">
        <v>0</v>
      </c>
      <c r="L4509" t="n">
        <v>0</v>
      </c>
      <c r="M4509" t="n">
        <v>0</v>
      </c>
      <c r="N4509" t="n">
        <v>0</v>
      </c>
      <c r="O4509" t="n">
        <v>0</v>
      </c>
      <c r="P4509" t="n">
        <v>0</v>
      </c>
      <c r="Q4509" t="n">
        <v>0</v>
      </c>
      <c r="R4509" s="2" t="inlineStr"/>
    </row>
    <row r="4510" ht="15" customHeight="1">
      <c r="A4510" t="inlineStr">
        <is>
          <t>A 36043-2021</t>
        </is>
      </c>
      <c r="B4510" s="1" t="n">
        <v>44389</v>
      </c>
      <c r="C4510" s="1" t="n">
        <v>45204</v>
      </c>
      <c r="D4510" t="inlineStr">
        <is>
          <t>VÄSTERBOTTENS LÄN</t>
        </is>
      </c>
      <c r="E4510" t="inlineStr">
        <is>
          <t>MALÅ</t>
        </is>
      </c>
      <c r="F4510" t="inlineStr">
        <is>
          <t>Sveaskog</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36101-2021</t>
        </is>
      </c>
      <c r="B4511" s="1" t="n">
        <v>44389</v>
      </c>
      <c r="C4511" s="1" t="n">
        <v>45204</v>
      </c>
      <c r="D4511" t="inlineStr">
        <is>
          <t>VÄSTERBOTTENS LÄN</t>
        </is>
      </c>
      <c r="E4511" t="inlineStr">
        <is>
          <t>MALÅ</t>
        </is>
      </c>
      <c r="F4511" t="inlineStr">
        <is>
          <t>Sveaskog</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36460-2021</t>
        </is>
      </c>
      <c r="B4512" s="1" t="n">
        <v>44390</v>
      </c>
      <c r="C4512" s="1" t="n">
        <v>45204</v>
      </c>
      <c r="D4512" t="inlineStr">
        <is>
          <t>VÄSTERBOTTENS LÄN</t>
        </is>
      </c>
      <c r="E4512" t="inlineStr">
        <is>
          <t>ÅSELE</t>
        </is>
      </c>
      <c r="F4512" t="inlineStr">
        <is>
          <t>SCA</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36450-2021</t>
        </is>
      </c>
      <c r="B4513" s="1" t="n">
        <v>44390</v>
      </c>
      <c r="C4513" s="1" t="n">
        <v>45204</v>
      </c>
      <c r="D4513" t="inlineStr">
        <is>
          <t>VÄSTERBOTTENS LÄN</t>
        </is>
      </c>
      <c r="E4513" t="inlineStr">
        <is>
          <t>ÅSELE</t>
        </is>
      </c>
      <c r="F4513" t="inlineStr">
        <is>
          <t>SCA</t>
        </is>
      </c>
      <c r="G4513" t="n">
        <v>3.5</v>
      </c>
      <c r="H4513" t="n">
        <v>0</v>
      </c>
      <c r="I4513" t="n">
        <v>0</v>
      </c>
      <c r="J4513" t="n">
        <v>0</v>
      </c>
      <c r="K4513" t="n">
        <v>0</v>
      </c>
      <c r="L4513" t="n">
        <v>0</v>
      </c>
      <c r="M4513" t="n">
        <v>0</v>
      </c>
      <c r="N4513" t="n">
        <v>0</v>
      </c>
      <c r="O4513" t="n">
        <v>0</v>
      </c>
      <c r="P4513" t="n">
        <v>0</v>
      </c>
      <c r="Q4513" t="n">
        <v>0</v>
      </c>
      <c r="R4513" s="2" t="inlineStr"/>
    </row>
    <row r="4514" ht="15" customHeight="1">
      <c r="A4514" t="inlineStr">
        <is>
          <t>A 36459-2021</t>
        </is>
      </c>
      <c r="B4514" s="1" t="n">
        <v>44390</v>
      </c>
      <c r="C4514" s="1" t="n">
        <v>45204</v>
      </c>
      <c r="D4514" t="inlineStr">
        <is>
          <t>VÄSTERBOTTENS LÄN</t>
        </is>
      </c>
      <c r="E4514" t="inlineStr">
        <is>
          <t>DOROTEA</t>
        </is>
      </c>
      <c r="F4514" t="inlineStr">
        <is>
          <t>SCA</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36564-2021</t>
        </is>
      </c>
      <c r="B4515" s="1" t="n">
        <v>44391</v>
      </c>
      <c r="C4515" s="1" t="n">
        <v>45204</v>
      </c>
      <c r="D4515" t="inlineStr">
        <is>
          <t>VÄSTERBOTTENS LÄN</t>
        </is>
      </c>
      <c r="E4515" t="inlineStr">
        <is>
          <t>SKELLEFTEÅ</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36588-2021</t>
        </is>
      </c>
      <c r="B4516" s="1" t="n">
        <v>44391</v>
      </c>
      <c r="C4516" s="1" t="n">
        <v>45204</v>
      </c>
      <c r="D4516" t="inlineStr">
        <is>
          <t>VÄSTERBOTTENS LÄN</t>
        </is>
      </c>
      <c r="E4516" t="inlineStr">
        <is>
          <t>SKELLEFTEÅ</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36609-2021</t>
        </is>
      </c>
      <c r="B4517" s="1" t="n">
        <v>44391</v>
      </c>
      <c r="C4517" s="1" t="n">
        <v>45204</v>
      </c>
      <c r="D4517" t="inlineStr">
        <is>
          <t>VÄSTERBOTTENS LÄN</t>
        </is>
      </c>
      <c r="E4517" t="inlineStr">
        <is>
          <t>SKELLEFTEÅ</t>
        </is>
      </c>
      <c r="G4517" t="n">
        <v>10.6</v>
      </c>
      <c r="H4517" t="n">
        <v>0</v>
      </c>
      <c r="I4517" t="n">
        <v>0</v>
      </c>
      <c r="J4517" t="n">
        <v>0</v>
      </c>
      <c r="K4517" t="n">
        <v>0</v>
      </c>
      <c r="L4517" t="n">
        <v>0</v>
      </c>
      <c r="M4517" t="n">
        <v>0</v>
      </c>
      <c r="N4517" t="n">
        <v>0</v>
      </c>
      <c r="O4517" t="n">
        <v>0</v>
      </c>
      <c r="P4517" t="n">
        <v>0</v>
      </c>
      <c r="Q4517" t="n">
        <v>0</v>
      </c>
      <c r="R4517" s="2" t="inlineStr"/>
    </row>
    <row r="4518" ht="15" customHeight="1">
      <c r="A4518" t="inlineStr">
        <is>
          <t>A 36632-2021</t>
        </is>
      </c>
      <c r="B4518" s="1" t="n">
        <v>44391</v>
      </c>
      <c r="C4518" s="1" t="n">
        <v>45204</v>
      </c>
      <c r="D4518" t="inlineStr">
        <is>
          <t>VÄSTERBOTTENS LÄN</t>
        </is>
      </c>
      <c r="E4518" t="inlineStr">
        <is>
          <t>LYCKSELE</t>
        </is>
      </c>
      <c r="F4518" t="inlineStr">
        <is>
          <t>SCA</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36603-2021</t>
        </is>
      </c>
      <c r="B4519" s="1" t="n">
        <v>44391</v>
      </c>
      <c r="C4519" s="1" t="n">
        <v>45204</v>
      </c>
      <c r="D4519" t="inlineStr">
        <is>
          <t>VÄSTERBOTTENS LÄN</t>
        </is>
      </c>
      <c r="E4519" t="inlineStr">
        <is>
          <t>SKELLEFTEÅ</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36717-2021</t>
        </is>
      </c>
      <c r="B4520" s="1" t="n">
        <v>44392</v>
      </c>
      <c r="C4520" s="1" t="n">
        <v>45204</v>
      </c>
      <c r="D4520" t="inlineStr">
        <is>
          <t>VÄSTERBOTTENS LÄN</t>
        </is>
      </c>
      <c r="E4520" t="inlineStr">
        <is>
          <t>SORSELE</t>
        </is>
      </c>
      <c r="F4520" t="inlineStr">
        <is>
          <t>Sveaskog</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36719-2021</t>
        </is>
      </c>
      <c r="B4521" s="1" t="n">
        <v>44392</v>
      </c>
      <c r="C4521" s="1" t="n">
        <v>45204</v>
      </c>
      <c r="D4521" t="inlineStr">
        <is>
          <t>VÄSTERBOTTENS LÄN</t>
        </is>
      </c>
      <c r="E4521" t="inlineStr">
        <is>
          <t>STORUMAN</t>
        </is>
      </c>
      <c r="F4521" t="inlineStr">
        <is>
          <t>Sveaskog</t>
        </is>
      </c>
      <c r="G4521" t="n">
        <v>4.4</v>
      </c>
      <c r="H4521" t="n">
        <v>0</v>
      </c>
      <c r="I4521" t="n">
        <v>0</v>
      </c>
      <c r="J4521" t="n">
        <v>0</v>
      </c>
      <c r="K4521" t="n">
        <v>0</v>
      </c>
      <c r="L4521" t="n">
        <v>0</v>
      </c>
      <c r="M4521" t="n">
        <v>0</v>
      </c>
      <c r="N4521" t="n">
        <v>0</v>
      </c>
      <c r="O4521" t="n">
        <v>0</v>
      </c>
      <c r="P4521" t="n">
        <v>0</v>
      </c>
      <c r="Q4521" t="n">
        <v>0</v>
      </c>
      <c r="R4521" s="2" t="inlineStr"/>
    </row>
    <row r="4522" ht="15" customHeight="1">
      <c r="A4522" t="inlineStr">
        <is>
          <t>A 36711-2021</t>
        </is>
      </c>
      <c r="B4522" s="1" t="n">
        <v>44392</v>
      </c>
      <c r="C4522" s="1" t="n">
        <v>45204</v>
      </c>
      <c r="D4522" t="inlineStr">
        <is>
          <t>VÄSTERBOTTENS LÄN</t>
        </is>
      </c>
      <c r="E4522" t="inlineStr">
        <is>
          <t>STORUMAN</t>
        </is>
      </c>
      <c r="G4522" t="n">
        <v>24.7</v>
      </c>
      <c r="H4522" t="n">
        <v>0</v>
      </c>
      <c r="I4522" t="n">
        <v>0</v>
      </c>
      <c r="J4522" t="n">
        <v>0</v>
      </c>
      <c r="K4522" t="n">
        <v>0</v>
      </c>
      <c r="L4522" t="n">
        <v>0</v>
      </c>
      <c r="M4522" t="n">
        <v>0</v>
      </c>
      <c r="N4522" t="n">
        <v>0</v>
      </c>
      <c r="O4522" t="n">
        <v>0</v>
      </c>
      <c r="P4522" t="n">
        <v>0</v>
      </c>
      <c r="Q4522" t="n">
        <v>0</v>
      </c>
      <c r="R4522" s="2" t="inlineStr"/>
    </row>
    <row r="4523" ht="15" customHeight="1">
      <c r="A4523" t="inlineStr">
        <is>
          <t>A 36758-2021</t>
        </is>
      </c>
      <c r="B4523" s="1" t="n">
        <v>44392</v>
      </c>
      <c r="C4523" s="1" t="n">
        <v>45204</v>
      </c>
      <c r="D4523" t="inlineStr">
        <is>
          <t>VÄSTERBOTTENS LÄN</t>
        </is>
      </c>
      <c r="E4523" t="inlineStr">
        <is>
          <t>LYCKSELE</t>
        </is>
      </c>
      <c r="F4523" t="inlineStr">
        <is>
          <t>Sveaskog</t>
        </is>
      </c>
      <c r="G4523" t="n">
        <v>4.8</v>
      </c>
      <c r="H4523" t="n">
        <v>0</v>
      </c>
      <c r="I4523" t="n">
        <v>0</v>
      </c>
      <c r="J4523" t="n">
        <v>0</v>
      </c>
      <c r="K4523" t="n">
        <v>0</v>
      </c>
      <c r="L4523" t="n">
        <v>0</v>
      </c>
      <c r="M4523" t="n">
        <v>0</v>
      </c>
      <c r="N4523" t="n">
        <v>0</v>
      </c>
      <c r="O4523" t="n">
        <v>0</v>
      </c>
      <c r="P4523" t="n">
        <v>0</v>
      </c>
      <c r="Q4523" t="n">
        <v>0</v>
      </c>
      <c r="R4523" s="2" t="inlineStr"/>
    </row>
    <row r="4524" ht="15" customHeight="1">
      <c r="A4524" t="inlineStr">
        <is>
          <t>A 36667-2021</t>
        </is>
      </c>
      <c r="B4524" s="1" t="n">
        <v>44392</v>
      </c>
      <c r="C4524" s="1" t="n">
        <v>45204</v>
      </c>
      <c r="D4524" t="inlineStr">
        <is>
          <t>VÄSTERBOTTENS LÄN</t>
        </is>
      </c>
      <c r="E4524" t="inlineStr">
        <is>
          <t>NORDMALING</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36855-2021</t>
        </is>
      </c>
      <c r="B4525" s="1" t="n">
        <v>44393</v>
      </c>
      <c r="C4525" s="1" t="n">
        <v>45204</v>
      </c>
      <c r="D4525" t="inlineStr">
        <is>
          <t>VÄSTERBOTTENS LÄN</t>
        </is>
      </c>
      <c r="E4525" t="inlineStr">
        <is>
          <t>LYCKSELE</t>
        </is>
      </c>
      <c r="F4525" t="inlineStr">
        <is>
          <t>Sveaskog</t>
        </is>
      </c>
      <c r="G4525" t="n">
        <v>7.2</v>
      </c>
      <c r="H4525" t="n">
        <v>0</v>
      </c>
      <c r="I4525" t="n">
        <v>0</v>
      </c>
      <c r="J4525" t="n">
        <v>0</v>
      </c>
      <c r="K4525" t="n">
        <v>0</v>
      </c>
      <c r="L4525" t="n">
        <v>0</v>
      </c>
      <c r="M4525" t="n">
        <v>0</v>
      </c>
      <c r="N4525" t="n">
        <v>0</v>
      </c>
      <c r="O4525" t="n">
        <v>0</v>
      </c>
      <c r="P4525" t="n">
        <v>0</v>
      </c>
      <c r="Q4525" t="n">
        <v>0</v>
      </c>
      <c r="R4525" s="2" t="inlineStr"/>
    </row>
    <row r="4526" ht="15" customHeight="1">
      <c r="A4526" t="inlineStr">
        <is>
          <t>A 36927-2021</t>
        </is>
      </c>
      <c r="B4526" s="1" t="n">
        <v>44393</v>
      </c>
      <c r="C4526" s="1" t="n">
        <v>45204</v>
      </c>
      <c r="D4526" t="inlineStr">
        <is>
          <t>VÄSTERBOTTENS LÄN</t>
        </is>
      </c>
      <c r="E4526" t="inlineStr">
        <is>
          <t>ÅSELE</t>
        </is>
      </c>
      <c r="F4526" t="inlineStr">
        <is>
          <t>Sveaskog</t>
        </is>
      </c>
      <c r="G4526" t="n">
        <v>8.800000000000001</v>
      </c>
      <c r="H4526" t="n">
        <v>0</v>
      </c>
      <c r="I4526" t="n">
        <v>0</v>
      </c>
      <c r="J4526" t="n">
        <v>0</v>
      </c>
      <c r="K4526" t="n">
        <v>0</v>
      </c>
      <c r="L4526" t="n">
        <v>0</v>
      </c>
      <c r="M4526" t="n">
        <v>0</v>
      </c>
      <c r="N4526" t="n">
        <v>0</v>
      </c>
      <c r="O4526" t="n">
        <v>0</v>
      </c>
      <c r="P4526" t="n">
        <v>0</v>
      </c>
      <c r="Q4526" t="n">
        <v>0</v>
      </c>
      <c r="R4526" s="2" t="inlineStr"/>
    </row>
    <row r="4527" ht="15" customHeight="1">
      <c r="A4527" t="inlineStr">
        <is>
          <t>A 37211-2021</t>
        </is>
      </c>
      <c r="B4527" s="1" t="n">
        <v>44396</v>
      </c>
      <c r="C4527" s="1" t="n">
        <v>45204</v>
      </c>
      <c r="D4527" t="inlineStr">
        <is>
          <t>VÄSTERBOTTENS LÄN</t>
        </is>
      </c>
      <c r="E4527" t="inlineStr">
        <is>
          <t>SKELLEFTEÅ</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37210-2021</t>
        </is>
      </c>
      <c r="B4528" s="1" t="n">
        <v>44396</v>
      </c>
      <c r="C4528" s="1" t="n">
        <v>45204</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37208-2021</t>
        </is>
      </c>
      <c r="B4529" s="1" t="n">
        <v>44396</v>
      </c>
      <c r="C4529" s="1" t="n">
        <v>45204</v>
      </c>
      <c r="D4529" t="inlineStr">
        <is>
          <t>VÄSTERBOTTENS LÄN</t>
        </is>
      </c>
      <c r="E4529" t="inlineStr">
        <is>
          <t>SKELLEFTEÅ</t>
        </is>
      </c>
      <c r="G4529" t="n">
        <v>2</v>
      </c>
      <c r="H4529" t="n">
        <v>0</v>
      </c>
      <c r="I4529" t="n">
        <v>0</v>
      </c>
      <c r="J4529" t="n">
        <v>0</v>
      </c>
      <c r="K4529" t="n">
        <v>0</v>
      </c>
      <c r="L4529" t="n">
        <v>0</v>
      </c>
      <c r="M4529" t="n">
        <v>0</v>
      </c>
      <c r="N4529" t="n">
        <v>0</v>
      </c>
      <c r="O4529" t="n">
        <v>0</v>
      </c>
      <c r="P4529" t="n">
        <v>0</v>
      </c>
      <c r="Q4529" t="n">
        <v>0</v>
      </c>
      <c r="R4529" s="2" t="inlineStr"/>
    </row>
    <row r="4530" ht="15" customHeight="1">
      <c r="A4530" t="inlineStr">
        <is>
          <t>A 37320-2021</t>
        </is>
      </c>
      <c r="B4530" s="1" t="n">
        <v>44397</v>
      </c>
      <c r="C4530" s="1" t="n">
        <v>45204</v>
      </c>
      <c r="D4530" t="inlineStr">
        <is>
          <t>VÄSTERBOTTENS LÄN</t>
        </is>
      </c>
      <c r="E4530" t="inlineStr">
        <is>
          <t>VILHELMINA</t>
        </is>
      </c>
      <c r="F4530" t="inlineStr">
        <is>
          <t>Kommuner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37332-2021</t>
        </is>
      </c>
      <c r="B4531" s="1" t="n">
        <v>44397</v>
      </c>
      <c r="C4531" s="1" t="n">
        <v>45204</v>
      </c>
      <c r="D4531" t="inlineStr">
        <is>
          <t>VÄSTERBOTTENS LÄN</t>
        </is>
      </c>
      <c r="E4531" t="inlineStr">
        <is>
          <t>BJURHOLM</t>
        </is>
      </c>
      <c r="G4531" t="n">
        <v>0.1</v>
      </c>
      <c r="H4531" t="n">
        <v>0</v>
      </c>
      <c r="I4531" t="n">
        <v>0</v>
      </c>
      <c r="J4531" t="n">
        <v>0</v>
      </c>
      <c r="K4531" t="n">
        <v>0</v>
      </c>
      <c r="L4531" t="n">
        <v>0</v>
      </c>
      <c r="M4531" t="n">
        <v>0</v>
      </c>
      <c r="N4531" t="n">
        <v>0</v>
      </c>
      <c r="O4531" t="n">
        <v>0</v>
      </c>
      <c r="P4531" t="n">
        <v>0</v>
      </c>
      <c r="Q4531" t="n">
        <v>0</v>
      </c>
      <c r="R4531" s="2" t="inlineStr"/>
    </row>
    <row r="4532" ht="15" customHeight="1">
      <c r="A4532" t="inlineStr">
        <is>
          <t>A 37598-2021</t>
        </is>
      </c>
      <c r="B4532" s="1" t="n">
        <v>44399</v>
      </c>
      <c r="C4532" s="1" t="n">
        <v>45204</v>
      </c>
      <c r="D4532" t="inlineStr">
        <is>
          <t>VÄSTERBOTTENS LÄN</t>
        </is>
      </c>
      <c r="E4532" t="inlineStr">
        <is>
          <t>LYCKSELE</t>
        </is>
      </c>
      <c r="F4532" t="inlineStr">
        <is>
          <t>Holmen skog AB</t>
        </is>
      </c>
      <c r="G4532" t="n">
        <v>11.6</v>
      </c>
      <c r="H4532" t="n">
        <v>0</v>
      </c>
      <c r="I4532" t="n">
        <v>0</v>
      </c>
      <c r="J4532" t="n">
        <v>0</v>
      </c>
      <c r="K4532" t="n">
        <v>0</v>
      </c>
      <c r="L4532" t="n">
        <v>0</v>
      </c>
      <c r="M4532" t="n">
        <v>0</v>
      </c>
      <c r="N4532" t="n">
        <v>0</v>
      </c>
      <c r="O4532" t="n">
        <v>0</v>
      </c>
      <c r="P4532" t="n">
        <v>0</v>
      </c>
      <c r="Q4532" t="n">
        <v>0</v>
      </c>
      <c r="R4532" s="2" t="inlineStr"/>
    </row>
    <row r="4533" ht="15" customHeight="1">
      <c r="A4533" t="inlineStr">
        <is>
          <t>A 37583-2021</t>
        </is>
      </c>
      <c r="B4533" s="1" t="n">
        <v>44399</v>
      </c>
      <c r="C4533" s="1" t="n">
        <v>45204</v>
      </c>
      <c r="D4533" t="inlineStr">
        <is>
          <t>VÄSTERBOTTENS LÄN</t>
        </is>
      </c>
      <c r="E4533" t="inlineStr">
        <is>
          <t>LYCKSELE</t>
        </is>
      </c>
      <c r="F4533" t="inlineStr">
        <is>
          <t>Holmen skog AB</t>
        </is>
      </c>
      <c r="G4533" t="n">
        <v>10.9</v>
      </c>
      <c r="H4533" t="n">
        <v>0</v>
      </c>
      <c r="I4533" t="n">
        <v>0</v>
      </c>
      <c r="J4533" t="n">
        <v>0</v>
      </c>
      <c r="K4533" t="n">
        <v>0</v>
      </c>
      <c r="L4533" t="n">
        <v>0</v>
      </c>
      <c r="M4533" t="n">
        <v>0</v>
      </c>
      <c r="N4533" t="n">
        <v>0</v>
      </c>
      <c r="O4533" t="n">
        <v>0</v>
      </c>
      <c r="P4533" t="n">
        <v>0</v>
      </c>
      <c r="Q4533" t="n">
        <v>0</v>
      </c>
      <c r="R4533" s="2" t="inlineStr"/>
    </row>
    <row r="4534" ht="15" customHeight="1">
      <c r="A4534" t="inlineStr">
        <is>
          <t>A 37498-2021</t>
        </is>
      </c>
      <c r="B4534" s="1" t="n">
        <v>44399</v>
      </c>
      <c r="C4534" s="1" t="n">
        <v>45204</v>
      </c>
      <c r="D4534" t="inlineStr">
        <is>
          <t>VÄSTERBOTTENS LÄN</t>
        </is>
      </c>
      <c r="E4534" t="inlineStr">
        <is>
          <t>SKELLEFTEÅ</t>
        </is>
      </c>
      <c r="G4534" t="n">
        <v>12.8</v>
      </c>
      <c r="H4534" t="n">
        <v>0</v>
      </c>
      <c r="I4534" t="n">
        <v>0</v>
      </c>
      <c r="J4534" t="n">
        <v>0</v>
      </c>
      <c r="K4534" t="n">
        <v>0</v>
      </c>
      <c r="L4534" t="n">
        <v>0</v>
      </c>
      <c r="M4534" t="n">
        <v>0</v>
      </c>
      <c r="N4534" t="n">
        <v>0</v>
      </c>
      <c r="O4534" t="n">
        <v>0</v>
      </c>
      <c r="P4534" t="n">
        <v>0</v>
      </c>
      <c r="Q4534" t="n">
        <v>0</v>
      </c>
      <c r="R4534" s="2" t="inlineStr"/>
    </row>
    <row r="4535" ht="15" customHeight="1">
      <c r="A4535" t="inlineStr">
        <is>
          <t>A 37593-2021</t>
        </is>
      </c>
      <c r="B4535" s="1" t="n">
        <v>44399</v>
      </c>
      <c r="C4535" s="1" t="n">
        <v>45204</v>
      </c>
      <c r="D4535" t="inlineStr">
        <is>
          <t>VÄSTERBOTTENS LÄN</t>
        </is>
      </c>
      <c r="E4535" t="inlineStr">
        <is>
          <t>LYCKSELE</t>
        </is>
      </c>
      <c r="F4535" t="inlineStr">
        <is>
          <t>Holmen skog AB</t>
        </is>
      </c>
      <c r="G4535" t="n">
        <v>10.5</v>
      </c>
      <c r="H4535" t="n">
        <v>0</v>
      </c>
      <c r="I4535" t="n">
        <v>0</v>
      </c>
      <c r="J4535" t="n">
        <v>0</v>
      </c>
      <c r="K4535" t="n">
        <v>0</v>
      </c>
      <c r="L4535" t="n">
        <v>0</v>
      </c>
      <c r="M4535" t="n">
        <v>0</v>
      </c>
      <c r="N4535" t="n">
        <v>0</v>
      </c>
      <c r="O4535" t="n">
        <v>0</v>
      </c>
      <c r="P4535" t="n">
        <v>0</v>
      </c>
      <c r="Q4535" t="n">
        <v>0</v>
      </c>
      <c r="R4535" s="2" t="inlineStr"/>
    </row>
    <row r="4536" ht="15" customHeight="1">
      <c r="A4536" t="inlineStr">
        <is>
          <t>A 37742-2021</t>
        </is>
      </c>
      <c r="B4536" s="1" t="n">
        <v>44400</v>
      </c>
      <c r="C4536" s="1" t="n">
        <v>45204</v>
      </c>
      <c r="D4536" t="inlineStr">
        <is>
          <t>VÄSTERBOTTENS LÄN</t>
        </is>
      </c>
      <c r="E4536" t="inlineStr">
        <is>
          <t>VINDELN</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37731-2021</t>
        </is>
      </c>
      <c r="B4537" s="1" t="n">
        <v>44400</v>
      </c>
      <c r="C4537" s="1" t="n">
        <v>45204</v>
      </c>
      <c r="D4537" t="inlineStr">
        <is>
          <t>VÄSTERBOTTENS LÄN</t>
        </is>
      </c>
      <c r="E4537" t="inlineStr">
        <is>
          <t>LYCKSELE</t>
        </is>
      </c>
      <c r="F4537" t="inlineStr">
        <is>
          <t>Sveaskog</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37752-2021</t>
        </is>
      </c>
      <c r="B4538" s="1" t="n">
        <v>44400</v>
      </c>
      <c r="C4538" s="1" t="n">
        <v>45204</v>
      </c>
      <c r="D4538" t="inlineStr">
        <is>
          <t>VÄSTERBOTTENS LÄN</t>
        </is>
      </c>
      <c r="E4538" t="inlineStr">
        <is>
          <t>VINDELN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37727-2021</t>
        </is>
      </c>
      <c r="B4539" s="1" t="n">
        <v>44400</v>
      </c>
      <c r="C4539" s="1" t="n">
        <v>45204</v>
      </c>
      <c r="D4539" t="inlineStr">
        <is>
          <t>VÄSTERBOTTENS LÄN</t>
        </is>
      </c>
      <c r="E4539" t="inlineStr">
        <is>
          <t>LYCKSELE</t>
        </is>
      </c>
      <c r="F4539" t="inlineStr">
        <is>
          <t>Sveaskog</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37733-2021</t>
        </is>
      </c>
      <c r="B4540" s="1" t="n">
        <v>44400</v>
      </c>
      <c r="C4540" s="1" t="n">
        <v>45204</v>
      </c>
      <c r="D4540" t="inlineStr">
        <is>
          <t>VÄSTERBOTTENS LÄN</t>
        </is>
      </c>
      <c r="E4540" t="inlineStr">
        <is>
          <t>LYCKSELE</t>
        </is>
      </c>
      <c r="F4540" t="inlineStr">
        <is>
          <t>Sveaskog</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37792-2021</t>
        </is>
      </c>
      <c r="B4541" s="1" t="n">
        <v>44401</v>
      </c>
      <c r="C4541" s="1" t="n">
        <v>45204</v>
      </c>
      <c r="D4541" t="inlineStr">
        <is>
          <t>VÄSTERBOTTENS LÄN</t>
        </is>
      </c>
      <c r="E4541" t="inlineStr">
        <is>
          <t>SKELLEFTEÅ</t>
        </is>
      </c>
      <c r="G4541" t="n">
        <v>2.5</v>
      </c>
      <c r="H4541" t="n">
        <v>0</v>
      </c>
      <c r="I4541" t="n">
        <v>0</v>
      </c>
      <c r="J4541" t="n">
        <v>0</v>
      </c>
      <c r="K4541" t="n">
        <v>0</v>
      </c>
      <c r="L4541" t="n">
        <v>0</v>
      </c>
      <c r="M4541" t="n">
        <v>0</v>
      </c>
      <c r="N4541" t="n">
        <v>0</v>
      </c>
      <c r="O4541" t="n">
        <v>0</v>
      </c>
      <c r="P4541" t="n">
        <v>0</v>
      </c>
      <c r="Q4541" t="n">
        <v>0</v>
      </c>
      <c r="R4541" s="2" t="inlineStr"/>
    </row>
    <row r="4542" ht="15" customHeight="1">
      <c r="A4542" t="inlineStr">
        <is>
          <t>A 37938-2021</t>
        </is>
      </c>
      <c r="B4542" s="1" t="n">
        <v>44403</v>
      </c>
      <c r="C4542" s="1" t="n">
        <v>45204</v>
      </c>
      <c r="D4542" t="inlineStr">
        <is>
          <t>VÄSTERBOTTENS LÄN</t>
        </is>
      </c>
      <c r="E4542" t="inlineStr">
        <is>
          <t>SKELLEFTEÅ</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37987-2021</t>
        </is>
      </c>
      <c r="B4543" s="1" t="n">
        <v>44403</v>
      </c>
      <c r="C4543" s="1" t="n">
        <v>45204</v>
      </c>
      <c r="D4543" t="inlineStr">
        <is>
          <t>VÄSTERBOTTENS LÄN</t>
        </is>
      </c>
      <c r="E4543" t="inlineStr">
        <is>
          <t>LYCKSELE</t>
        </is>
      </c>
      <c r="G4543" t="n">
        <v>4.6</v>
      </c>
      <c r="H4543" t="n">
        <v>0</v>
      </c>
      <c r="I4543" t="n">
        <v>0</v>
      </c>
      <c r="J4543" t="n">
        <v>0</v>
      </c>
      <c r="K4543" t="n">
        <v>0</v>
      </c>
      <c r="L4543" t="n">
        <v>0</v>
      </c>
      <c r="M4543" t="n">
        <v>0</v>
      </c>
      <c r="N4543" t="n">
        <v>0</v>
      </c>
      <c r="O4543" t="n">
        <v>0</v>
      </c>
      <c r="P4543" t="n">
        <v>0</v>
      </c>
      <c r="Q4543" t="n">
        <v>0</v>
      </c>
      <c r="R4543" s="2" t="inlineStr"/>
    </row>
    <row r="4544" ht="15" customHeight="1">
      <c r="A4544" t="inlineStr">
        <is>
          <t>A 37979-2021</t>
        </is>
      </c>
      <c r="B4544" s="1" t="n">
        <v>44403</v>
      </c>
      <c r="C4544" s="1" t="n">
        <v>45204</v>
      </c>
      <c r="D4544" t="inlineStr">
        <is>
          <t>VÄSTERBOTTENS LÄN</t>
        </is>
      </c>
      <c r="E4544" t="inlineStr">
        <is>
          <t>LYCKSELE</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37984-2021</t>
        </is>
      </c>
      <c r="B4545" s="1" t="n">
        <v>44403</v>
      </c>
      <c r="C4545" s="1" t="n">
        <v>45204</v>
      </c>
      <c r="D4545" t="inlineStr">
        <is>
          <t>VÄSTERBOTTENS LÄN</t>
        </is>
      </c>
      <c r="E4545" t="inlineStr">
        <is>
          <t>LYCKSELE</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37901-2021</t>
        </is>
      </c>
      <c r="B4546" s="1" t="n">
        <v>44403</v>
      </c>
      <c r="C4546" s="1" t="n">
        <v>45204</v>
      </c>
      <c r="D4546" t="inlineStr">
        <is>
          <t>VÄSTERBOTTENS LÄN</t>
        </is>
      </c>
      <c r="E4546" t="inlineStr">
        <is>
          <t>NORDMALING</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37937-2021</t>
        </is>
      </c>
      <c r="B4547" s="1" t="n">
        <v>44403</v>
      </c>
      <c r="C4547" s="1" t="n">
        <v>45204</v>
      </c>
      <c r="D4547" t="inlineStr">
        <is>
          <t>VÄSTERBOTTENS LÄN</t>
        </is>
      </c>
      <c r="E4547" t="inlineStr">
        <is>
          <t>SKELLEFTEÅ</t>
        </is>
      </c>
      <c r="G4547" t="n">
        <v>8.300000000000001</v>
      </c>
      <c r="H4547" t="n">
        <v>0</v>
      </c>
      <c r="I4547" t="n">
        <v>0</v>
      </c>
      <c r="J4547" t="n">
        <v>0</v>
      </c>
      <c r="K4547" t="n">
        <v>0</v>
      </c>
      <c r="L4547" t="n">
        <v>0</v>
      </c>
      <c r="M4547" t="n">
        <v>0</v>
      </c>
      <c r="N4547" t="n">
        <v>0</v>
      </c>
      <c r="O4547" t="n">
        <v>0</v>
      </c>
      <c r="P4547" t="n">
        <v>0</v>
      </c>
      <c r="Q4547" t="n">
        <v>0</v>
      </c>
      <c r="R4547" s="2" t="inlineStr"/>
    </row>
    <row r="4548" ht="15" customHeight="1">
      <c r="A4548" t="inlineStr">
        <is>
          <t>A 37986-2021</t>
        </is>
      </c>
      <c r="B4548" s="1" t="n">
        <v>44403</v>
      </c>
      <c r="C4548" s="1" t="n">
        <v>45204</v>
      </c>
      <c r="D4548" t="inlineStr">
        <is>
          <t>VÄSTERBOTTENS LÄN</t>
        </is>
      </c>
      <c r="E4548" t="inlineStr">
        <is>
          <t>LYCKSELE</t>
        </is>
      </c>
      <c r="G4548" t="n">
        <v>3.8</v>
      </c>
      <c r="H4548" t="n">
        <v>0</v>
      </c>
      <c r="I4548" t="n">
        <v>0</v>
      </c>
      <c r="J4548" t="n">
        <v>0</v>
      </c>
      <c r="K4548" t="n">
        <v>0</v>
      </c>
      <c r="L4548" t="n">
        <v>0</v>
      </c>
      <c r="M4548" t="n">
        <v>0</v>
      </c>
      <c r="N4548" t="n">
        <v>0</v>
      </c>
      <c r="O4548" t="n">
        <v>0</v>
      </c>
      <c r="P4548" t="n">
        <v>0</v>
      </c>
      <c r="Q4548" t="n">
        <v>0</v>
      </c>
      <c r="R4548" s="2" t="inlineStr"/>
    </row>
    <row r="4549" ht="15" customHeight="1">
      <c r="A4549" t="inlineStr">
        <is>
          <t>A 38026-2021</t>
        </is>
      </c>
      <c r="B4549" s="1" t="n">
        <v>44404</v>
      </c>
      <c r="C4549" s="1" t="n">
        <v>45204</v>
      </c>
      <c r="D4549" t="inlineStr">
        <is>
          <t>VÄSTERBOTTENS LÄN</t>
        </is>
      </c>
      <c r="E4549" t="inlineStr">
        <is>
          <t>SKELLEFTEÅ</t>
        </is>
      </c>
      <c r="F4549" t="inlineStr">
        <is>
          <t>Holmen skog AB</t>
        </is>
      </c>
      <c r="G4549" t="n">
        <v>7.8</v>
      </c>
      <c r="H4549" t="n">
        <v>0</v>
      </c>
      <c r="I4549" t="n">
        <v>0</v>
      </c>
      <c r="J4549" t="n">
        <v>0</v>
      </c>
      <c r="K4549" t="n">
        <v>0</v>
      </c>
      <c r="L4549" t="n">
        <v>0</v>
      </c>
      <c r="M4549" t="n">
        <v>0</v>
      </c>
      <c r="N4549" t="n">
        <v>0</v>
      </c>
      <c r="O4549" t="n">
        <v>0</v>
      </c>
      <c r="P4549" t="n">
        <v>0</v>
      </c>
      <c r="Q4549" t="n">
        <v>0</v>
      </c>
      <c r="R4549" s="2" t="inlineStr"/>
    </row>
    <row r="4550" ht="15" customHeight="1">
      <c r="A4550" t="inlineStr">
        <is>
          <t>A 38210-2021</t>
        </is>
      </c>
      <c r="B4550" s="1" t="n">
        <v>44405</v>
      </c>
      <c r="C4550" s="1" t="n">
        <v>45204</v>
      </c>
      <c r="D4550" t="inlineStr">
        <is>
          <t>VÄSTERBOTTENS LÄN</t>
        </is>
      </c>
      <c r="E4550" t="inlineStr">
        <is>
          <t>NORSJÖ</t>
        </is>
      </c>
      <c r="F4550" t="inlineStr">
        <is>
          <t>Holmen skog AB</t>
        </is>
      </c>
      <c r="G4550" t="n">
        <v>3.5</v>
      </c>
      <c r="H4550" t="n">
        <v>0</v>
      </c>
      <c r="I4550" t="n">
        <v>0</v>
      </c>
      <c r="J4550" t="n">
        <v>0</v>
      </c>
      <c r="K4550" t="n">
        <v>0</v>
      </c>
      <c r="L4550" t="n">
        <v>0</v>
      </c>
      <c r="M4550" t="n">
        <v>0</v>
      </c>
      <c r="N4550" t="n">
        <v>0</v>
      </c>
      <c r="O4550" t="n">
        <v>0</v>
      </c>
      <c r="P4550" t="n">
        <v>0</v>
      </c>
      <c r="Q4550" t="n">
        <v>0</v>
      </c>
      <c r="R4550" s="2" t="inlineStr"/>
    </row>
    <row r="4551" ht="15" customHeight="1">
      <c r="A4551" t="inlineStr">
        <is>
          <t>A 38712-2021</t>
        </is>
      </c>
      <c r="B4551" s="1" t="n">
        <v>44405</v>
      </c>
      <c r="C4551" s="1" t="n">
        <v>45204</v>
      </c>
      <c r="D4551" t="inlineStr">
        <is>
          <t>VÄSTERBOTTENS LÄN</t>
        </is>
      </c>
      <c r="E4551" t="inlineStr">
        <is>
          <t>LYCKSELE</t>
        </is>
      </c>
      <c r="G4551" t="n">
        <v>2.1</v>
      </c>
      <c r="H4551" t="n">
        <v>0</v>
      </c>
      <c r="I4551" t="n">
        <v>0</v>
      </c>
      <c r="J4551" t="n">
        <v>0</v>
      </c>
      <c r="K4551" t="n">
        <v>0</v>
      </c>
      <c r="L4551" t="n">
        <v>0</v>
      </c>
      <c r="M4551" t="n">
        <v>0</v>
      </c>
      <c r="N4551" t="n">
        <v>0</v>
      </c>
      <c r="O4551" t="n">
        <v>0</v>
      </c>
      <c r="P4551" t="n">
        <v>0</v>
      </c>
      <c r="Q4551" t="n">
        <v>0</v>
      </c>
      <c r="R4551" s="2" t="inlineStr"/>
    </row>
    <row r="4552" ht="15" customHeight="1">
      <c r="A4552" t="inlineStr">
        <is>
          <t>A 38260-2021</t>
        </is>
      </c>
      <c r="B4552" s="1" t="n">
        <v>44405</v>
      </c>
      <c r="C4552" s="1" t="n">
        <v>45204</v>
      </c>
      <c r="D4552" t="inlineStr">
        <is>
          <t>VÄSTERBOTTENS LÄN</t>
        </is>
      </c>
      <c r="E4552" t="inlineStr">
        <is>
          <t>SKELLEFTEÅ</t>
        </is>
      </c>
      <c r="G4552" t="n">
        <v>8.5</v>
      </c>
      <c r="H4552" t="n">
        <v>0</v>
      </c>
      <c r="I4552" t="n">
        <v>0</v>
      </c>
      <c r="J4552" t="n">
        <v>0</v>
      </c>
      <c r="K4552" t="n">
        <v>0</v>
      </c>
      <c r="L4552" t="n">
        <v>0</v>
      </c>
      <c r="M4552" t="n">
        <v>0</v>
      </c>
      <c r="N4552" t="n">
        <v>0</v>
      </c>
      <c r="O4552" t="n">
        <v>0</v>
      </c>
      <c r="P4552" t="n">
        <v>0</v>
      </c>
      <c r="Q4552" t="n">
        <v>0</v>
      </c>
      <c r="R4552" s="2" t="inlineStr"/>
    </row>
    <row r="4553" ht="15" customHeight="1">
      <c r="A4553" t="inlineStr">
        <is>
          <t>A 38327-2021</t>
        </is>
      </c>
      <c r="B4553" s="1" t="n">
        <v>44406</v>
      </c>
      <c r="C4553" s="1" t="n">
        <v>45204</v>
      </c>
      <c r="D4553" t="inlineStr">
        <is>
          <t>VÄSTERBOTTENS LÄN</t>
        </is>
      </c>
      <c r="E4553" t="inlineStr">
        <is>
          <t>VILHELMINA</t>
        </is>
      </c>
      <c r="G4553" t="n">
        <v>0.4</v>
      </c>
      <c r="H4553" t="n">
        <v>0</v>
      </c>
      <c r="I4553" t="n">
        <v>0</v>
      </c>
      <c r="J4553" t="n">
        <v>0</v>
      </c>
      <c r="K4553" t="n">
        <v>0</v>
      </c>
      <c r="L4553" t="n">
        <v>0</v>
      </c>
      <c r="M4553" t="n">
        <v>0</v>
      </c>
      <c r="N4553" t="n">
        <v>0</v>
      </c>
      <c r="O4553" t="n">
        <v>0</v>
      </c>
      <c r="P4553" t="n">
        <v>0</v>
      </c>
      <c r="Q4553" t="n">
        <v>0</v>
      </c>
      <c r="R4553" s="2" t="inlineStr"/>
    </row>
    <row r="4554" ht="15" customHeight="1">
      <c r="A4554" t="inlineStr">
        <is>
          <t>A 38395-2021</t>
        </is>
      </c>
      <c r="B4554" s="1" t="n">
        <v>44406</v>
      </c>
      <c r="C4554" s="1" t="n">
        <v>45204</v>
      </c>
      <c r="D4554" t="inlineStr">
        <is>
          <t>VÄSTERBOTTENS LÄN</t>
        </is>
      </c>
      <c r="E4554" t="inlineStr">
        <is>
          <t>UMEÅ</t>
        </is>
      </c>
      <c r="G4554" t="n">
        <v>0.5</v>
      </c>
      <c r="H4554" t="n">
        <v>0</v>
      </c>
      <c r="I4554" t="n">
        <v>0</v>
      </c>
      <c r="J4554" t="n">
        <v>0</v>
      </c>
      <c r="K4554" t="n">
        <v>0</v>
      </c>
      <c r="L4554" t="n">
        <v>0</v>
      </c>
      <c r="M4554" t="n">
        <v>0</v>
      </c>
      <c r="N4554" t="n">
        <v>0</v>
      </c>
      <c r="O4554" t="n">
        <v>0</v>
      </c>
      <c r="P4554" t="n">
        <v>0</v>
      </c>
      <c r="Q4554" t="n">
        <v>0</v>
      </c>
      <c r="R4554" s="2" t="inlineStr"/>
    </row>
    <row r="4555" ht="15" customHeight="1">
      <c r="A4555" t="inlineStr">
        <is>
          <t>A 38399-2021</t>
        </is>
      </c>
      <c r="B4555" s="1" t="n">
        <v>44406</v>
      </c>
      <c r="C4555" s="1" t="n">
        <v>45204</v>
      </c>
      <c r="D4555" t="inlineStr">
        <is>
          <t>VÄSTERBOTTENS LÄN</t>
        </is>
      </c>
      <c r="E4555" t="inlineStr">
        <is>
          <t>UMEÅ</t>
        </is>
      </c>
      <c r="G4555" t="n">
        <v>0.3</v>
      </c>
      <c r="H4555" t="n">
        <v>0</v>
      </c>
      <c r="I4555" t="n">
        <v>0</v>
      </c>
      <c r="J4555" t="n">
        <v>0</v>
      </c>
      <c r="K4555" t="n">
        <v>0</v>
      </c>
      <c r="L4555" t="n">
        <v>0</v>
      </c>
      <c r="M4555" t="n">
        <v>0</v>
      </c>
      <c r="N4555" t="n">
        <v>0</v>
      </c>
      <c r="O4555" t="n">
        <v>0</v>
      </c>
      <c r="P4555" t="n">
        <v>0</v>
      </c>
      <c r="Q4555" t="n">
        <v>0</v>
      </c>
      <c r="R4555" s="2" t="inlineStr"/>
    </row>
    <row r="4556" ht="15" customHeight="1">
      <c r="A4556" t="inlineStr">
        <is>
          <t>A 38406-2021</t>
        </is>
      </c>
      <c r="B4556" s="1" t="n">
        <v>44406</v>
      </c>
      <c r="C4556" s="1" t="n">
        <v>45204</v>
      </c>
      <c r="D4556" t="inlineStr">
        <is>
          <t>VÄSTERBOTTENS LÄN</t>
        </is>
      </c>
      <c r="E4556" t="inlineStr">
        <is>
          <t>UMEÅ</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38394-2021</t>
        </is>
      </c>
      <c r="B4557" s="1" t="n">
        <v>44406</v>
      </c>
      <c r="C4557" s="1" t="n">
        <v>45204</v>
      </c>
      <c r="D4557" t="inlineStr">
        <is>
          <t>VÄSTERBOTTENS LÄN</t>
        </is>
      </c>
      <c r="E4557" t="inlineStr">
        <is>
          <t>UMEÅ</t>
        </is>
      </c>
      <c r="F4557" t="inlineStr">
        <is>
          <t>Kommuner</t>
        </is>
      </c>
      <c r="G4557" t="n">
        <v>1.8</v>
      </c>
      <c r="H4557" t="n">
        <v>0</v>
      </c>
      <c r="I4557" t="n">
        <v>0</v>
      </c>
      <c r="J4557" t="n">
        <v>0</v>
      </c>
      <c r="K4557" t="n">
        <v>0</v>
      </c>
      <c r="L4557" t="n">
        <v>0</v>
      </c>
      <c r="M4557" t="n">
        <v>0</v>
      </c>
      <c r="N4557" t="n">
        <v>0</v>
      </c>
      <c r="O4557" t="n">
        <v>0</v>
      </c>
      <c r="P4557" t="n">
        <v>0</v>
      </c>
      <c r="Q4557" t="n">
        <v>0</v>
      </c>
      <c r="R4557" s="2" t="inlineStr"/>
    </row>
    <row r="4558" ht="15" customHeight="1">
      <c r="A4558" t="inlineStr">
        <is>
          <t>A 38398-2021</t>
        </is>
      </c>
      <c r="B4558" s="1" t="n">
        <v>44406</v>
      </c>
      <c r="C4558" s="1" t="n">
        <v>45204</v>
      </c>
      <c r="D4558" t="inlineStr">
        <is>
          <t>VÄSTERBOTTENS LÄN</t>
        </is>
      </c>
      <c r="E4558" t="inlineStr">
        <is>
          <t>UMEÅ</t>
        </is>
      </c>
      <c r="F4558" t="inlineStr">
        <is>
          <t>Kommuner</t>
        </is>
      </c>
      <c r="G4558" t="n">
        <v>0.5</v>
      </c>
      <c r="H4558" t="n">
        <v>0</v>
      </c>
      <c r="I4558" t="n">
        <v>0</v>
      </c>
      <c r="J4558" t="n">
        <v>0</v>
      </c>
      <c r="K4558" t="n">
        <v>0</v>
      </c>
      <c r="L4558" t="n">
        <v>0</v>
      </c>
      <c r="M4558" t="n">
        <v>0</v>
      </c>
      <c r="N4558" t="n">
        <v>0</v>
      </c>
      <c r="O4558" t="n">
        <v>0</v>
      </c>
      <c r="P4558" t="n">
        <v>0</v>
      </c>
      <c r="Q4558" t="n">
        <v>0</v>
      </c>
      <c r="R4558" s="2" t="inlineStr"/>
    </row>
    <row r="4559" ht="15" customHeight="1">
      <c r="A4559" t="inlineStr">
        <is>
          <t>A 38403-2021</t>
        </is>
      </c>
      <c r="B4559" s="1" t="n">
        <v>44406</v>
      </c>
      <c r="C4559" s="1" t="n">
        <v>45204</v>
      </c>
      <c r="D4559" t="inlineStr">
        <is>
          <t>VÄSTERBOTTENS LÄN</t>
        </is>
      </c>
      <c r="E4559" t="inlineStr">
        <is>
          <t>UMEÅ</t>
        </is>
      </c>
      <c r="F4559" t="inlineStr">
        <is>
          <t>Övriga statliga verk och myndigheter</t>
        </is>
      </c>
      <c r="G4559" t="n">
        <v>3</v>
      </c>
      <c r="H4559" t="n">
        <v>0</v>
      </c>
      <c r="I4559" t="n">
        <v>0</v>
      </c>
      <c r="J4559" t="n">
        <v>0</v>
      </c>
      <c r="K4559" t="n">
        <v>0</v>
      </c>
      <c r="L4559" t="n">
        <v>0</v>
      </c>
      <c r="M4559" t="n">
        <v>0</v>
      </c>
      <c r="N4559" t="n">
        <v>0</v>
      </c>
      <c r="O4559" t="n">
        <v>0</v>
      </c>
      <c r="P4559" t="n">
        <v>0</v>
      </c>
      <c r="Q4559" t="n">
        <v>0</v>
      </c>
      <c r="R4559" s="2" t="inlineStr"/>
    </row>
    <row r="4560" ht="15" customHeight="1">
      <c r="A4560" t="inlineStr">
        <is>
          <t>A 38435-2021</t>
        </is>
      </c>
      <c r="B4560" s="1" t="n">
        <v>44406</v>
      </c>
      <c r="C4560" s="1" t="n">
        <v>45204</v>
      </c>
      <c r="D4560" t="inlineStr">
        <is>
          <t>VÄSTERBOTTENS LÄN</t>
        </is>
      </c>
      <c r="E4560" t="inlineStr">
        <is>
          <t>UMEÅ</t>
        </is>
      </c>
      <c r="F4560" t="inlineStr">
        <is>
          <t>Övriga statliga verk och myndigheter</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38440-2021</t>
        </is>
      </c>
      <c r="B4561" s="1" t="n">
        <v>44406</v>
      </c>
      <c r="C4561" s="1" t="n">
        <v>45204</v>
      </c>
      <c r="D4561" t="inlineStr">
        <is>
          <t>VÄSTERBOTTENS LÄN</t>
        </is>
      </c>
      <c r="E4561" t="inlineStr">
        <is>
          <t>UMEÅ</t>
        </is>
      </c>
      <c r="F4561" t="inlineStr">
        <is>
          <t>Kommuner</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38449-2021</t>
        </is>
      </c>
      <c r="B4562" s="1" t="n">
        <v>44406</v>
      </c>
      <c r="C4562" s="1" t="n">
        <v>45204</v>
      </c>
      <c r="D4562" t="inlineStr">
        <is>
          <t>VÄSTERBOTTENS LÄN</t>
        </is>
      </c>
      <c r="E4562" t="inlineStr">
        <is>
          <t>UMEÅ</t>
        </is>
      </c>
      <c r="F4562" t="inlineStr">
        <is>
          <t>Kommuner</t>
        </is>
      </c>
      <c r="G4562" t="n">
        <v>0.1</v>
      </c>
      <c r="H4562" t="n">
        <v>0</v>
      </c>
      <c r="I4562" t="n">
        <v>0</v>
      </c>
      <c r="J4562" t="n">
        <v>0</v>
      </c>
      <c r="K4562" t="n">
        <v>0</v>
      </c>
      <c r="L4562" t="n">
        <v>0</v>
      </c>
      <c r="M4562" t="n">
        <v>0</v>
      </c>
      <c r="N4562" t="n">
        <v>0</v>
      </c>
      <c r="O4562" t="n">
        <v>0</v>
      </c>
      <c r="P4562" t="n">
        <v>0</v>
      </c>
      <c r="Q4562" t="n">
        <v>0</v>
      </c>
      <c r="R4562" s="2" t="inlineStr"/>
    </row>
    <row r="4563" ht="15" customHeight="1">
      <c r="A4563" t="inlineStr">
        <is>
          <t>A 38391-2021</t>
        </is>
      </c>
      <c r="B4563" s="1" t="n">
        <v>44406</v>
      </c>
      <c r="C4563" s="1" t="n">
        <v>45204</v>
      </c>
      <c r="D4563" t="inlineStr">
        <is>
          <t>VÄSTERBOTTENS LÄN</t>
        </is>
      </c>
      <c r="E4563" t="inlineStr">
        <is>
          <t>UMEÅ</t>
        </is>
      </c>
      <c r="F4563" t="inlineStr">
        <is>
          <t>Kommuner</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38438-2021</t>
        </is>
      </c>
      <c r="B4564" s="1" t="n">
        <v>44406</v>
      </c>
      <c r="C4564" s="1" t="n">
        <v>45204</v>
      </c>
      <c r="D4564" t="inlineStr">
        <is>
          <t>VÄSTERBOTTENS LÄN</t>
        </is>
      </c>
      <c r="E4564" t="inlineStr">
        <is>
          <t>UMEÅ</t>
        </is>
      </c>
      <c r="F4564" t="inlineStr">
        <is>
          <t>Övriga statliga verk och myndigheter</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38445-2021</t>
        </is>
      </c>
      <c r="B4565" s="1" t="n">
        <v>44406</v>
      </c>
      <c r="C4565" s="1" t="n">
        <v>45204</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38397-2021</t>
        </is>
      </c>
      <c r="B4566" s="1" t="n">
        <v>44406</v>
      </c>
      <c r="C4566" s="1" t="n">
        <v>45204</v>
      </c>
      <c r="D4566" t="inlineStr">
        <is>
          <t>VÄSTERBOTTENS LÄN</t>
        </is>
      </c>
      <c r="E4566" t="inlineStr">
        <is>
          <t>UMEÅ</t>
        </is>
      </c>
      <c r="G4566" t="n">
        <v>0.3</v>
      </c>
      <c r="H4566" t="n">
        <v>0</v>
      </c>
      <c r="I4566" t="n">
        <v>0</v>
      </c>
      <c r="J4566" t="n">
        <v>0</v>
      </c>
      <c r="K4566" t="n">
        <v>0</v>
      </c>
      <c r="L4566" t="n">
        <v>0</v>
      </c>
      <c r="M4566" t="n">
        <v>0</v>
      </c>
      <c r="N4566" t="n">
        <v>0</v>
      </c>
      <c r="O4566" t="n">
        <v>0</v>
      </c>
      <c r="P4566" t="n">
        <v>0</v>
      </c>
      <c r="Q4566" t="n">
        <v>0</v>
      </c>
      <c r="R4566" s="2" t="inlineStr"/>
    </row>
    <row r="4567" ht="15" customHeight="1">
      <c r="A4567" t="inlineStr">
        <is>
          <t>A 38402-2021</t>
        </is>
      </c>
      <c r="B4567" s="1" t="n">
        <v>44406</v>
      </c>
      <c r="C4567" s="1" t="n">
        <v>45204</v>
      </c>
      <c r="D4567" t="inlineStr">
        <is>
          <t>VÄSTERBOTTENS LÄN</t>
        </is>
      </c>
      <c r="E4567" t="inlineStr">
        <is>
          <t>UMEÅ</t>
        </is>
      </c>
      <c r="F4567" t="inlineStr">
        <is>
          <t>Kommuner</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38434-2021</t>
        </is>
      </c>
      <c r="B4568" s="1" t="n">
        <v>44406</v>
      </c>
      <c r="C4568" s="1" t="n">
        <v>45204</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38439-2021</t>
        </is>
      </c>
      <c r="B4569" s="1" t="n">
        <v>44406</v>
      </c>
      <c r="C4569" s="1" t="n">
        <v>45204</v>
      </c>
      <c r="D4569" t="inlineStr">
        <is>
          <t>VÄSTERBOTTENS LÄN</t>
        </is>
      </c>
      <c r="E4569" t="inlineStr">
        <is>
          <t>UMEÅ</t>
        </is>
      </c>
      <c r="F4569" t="inlineStr">
        <is>
          <t>Kommuner</t>
        </is>
      </c>
      <c r="G4569" t="n">
        <v>4.6</v>
      </c>
      <c r="H4569" t="n">
        <v>0</v>
      </c>
      <c r="I4569" t="n">
        <v>0</v>
      </c>
      <c r="J4569" t="n">
        <v>0</v>
      </c>
      <c r="K4569" t="n">
        <v>0</v>
      </c>
      <c r="L4569" t="n">
        <v>0</v>
      </c>
      <c r="M4569" t="n">
        <v>0</v>
      </c>
      <c r="N4569" t="n">
        <v>0</v>
      </c>
      <c r="O4569" t="n">
        <v>0</v>
      </c>
      <c r="P4569" t="n">
        <v>0</v>
      </c>
      <c r="Q4569" t="n">
        <v>0</v>
      </c>
      <c r="R4569" s="2" t="inlineStr"/>
    </row>
    <row r="4570" ht="15" customHeight="1">
      <c r="A4570" t="inlineStr">
        <is>
          <t>A 38447-2021</t>
        </is>
      </c>
      <c r="B4570" s="1" t="n">
        <v>44406</v>
      </c>
      <c r="C4570" s="1" t="n">
        <v>45204</v>
      </c>
      <c r="D4570" t="inlineStr">
        <is>
          <t>VÄSTERBOTTENS LÄN</t>
        </is>
      </c>
      <c r="E4570" t="inlineStr">
        <is>
          <t>UMEÅ</t>
        </is>
      </c>
      <c r="F4570" t="inlineStr">
        <is>
          <t>Övriga statliga verk och myndigheter</t>
        </is>
      </c>
      <c r="G4570" t="n">
        <v>0.3</v>
      </c>
      <c r="H4570" t="n">
        <v>0</v>
      </c>
      <c r="I4570" t="n">
        <v>0</v>
      </c>
      <c r="J4570" t="n">
        <v>0</v>
      </c>
      <c r="K4570" t="n">
        <v>0</v>
      </c>
      <c r="L4570" t="n">
        <v>0</v>
      </c>
      <c r="M4570" t="n">
        <v>0</v>
      </c>
      <c r="N4570" t="n">
        <v>0</v>
      </c>
      <c r="O4570" t="n">
        <v>0</v>
      </c>
      <c r="P4570" t="n">
        <v>0</v>
      </c>
      <c r="Q4570" t="n">
        <v>0</v>
      </c>
      <c r="R4570" s="2" t="inlineStr"/>
    </row>
    <row r="4571" ht="15" customHeight="1">
      <c r="A4571" t="inlineStr">
        <is>
          <t>A 38503-2021</t>
        </is>
      </c>
      <c r="B4571" s="1" t="n">
        <v>44407</v>
      </c>
      <c r="C4571" s="1" t="n">
        <v>45204</v>
      </c>
      <c r="D4571" t="inlineStr">
        <is>
          <t>VÄSTERBOTTENS LÄN</t>
        </is>
      </c>
      <c r="E4571" t="inlineStr">
        <is>
          <t>UMEÅ</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38517-2021</t>
        </is>
      </c>
      <c r="B4572" s="1" t="n">
        <v>44407</v>
      </c>
      <c r="C4572" s="1" t="n">
        <v>45204</v>
      </c>
      <c r="D4572" t="inlineStr">
        <is>
          <t>VÄSTERBOTTENS LÄN</t>
        </is>
      </c>
      <c r="E4572" t="inlineStr">
        <is>
          <t>UMEÅ</t>
        </is>
      </c>
      <c r="F4572" t="inlineStr">
        <is>
          <t>Kommuner</t>
        </is>
      </c>
      <c r="G4572" t="n">
        <v>2.4</v>
      </c>
      <c r="H4572" t="n">
        <v>0</v>
      </c>
      <c r="I4572" t="n">
        <v>0</v>
      </c>
      <c r="J4572" t="n">
        <v>0</v>
      </c>
      <c r="K4572" t="n">
        <v>0</v>
      </c>
      <c r="L4572" t="n">
        <v>0</v>
      </c>
      <c r="M4572" t="n">
        <v>0</v>
      </c>
      <c r="N4572" t="n">
        <v>0</v>
      </c>
      <c r="O4572" t="n">
        <v>0</v>
      </c>
      <c r="P4572" t="n">
        <v>0</v>
      </c>
      <c r="Q4572" t="n">
        <v>0</v>
      </c>
      <c r="R4572" s="2" t="inlineStr"/>
    </row>
    <row r="4573" ht="15" customHeight="1">
      <c r="A4573" t="inlineStr">
        <is>
          <t>A 38535-2021</t>
        </is>
      </c>
      <c r="B4573" s="1" t="n">
        <v>44407</v>
      </c>
      <c r="C4573" s="1" t="n">
        <v>45204</v>
      </c>
      <c r="D4573" t="inlineStr">
        <is>
          <t>VÄSTERBOTTENS LÄN</t>
        </is>
      </c>
      <c r="E4573" t="inlineStr">
        <is>
          <t>UMEÅ</t>
        </is>
      </c>
      <c r="F4573" t="inlineStr">
        <is>
          <t>Kommuner</t>
        </is>
      </c>
      <c r="G4573" t="n">
        <v>2.2</v>
      </c>
      <c r="H4573" t="n">
        <v>0</v>
      </c>
      <c r="I4573" t="n">
        <v>0</v>
      </c>
      <c r="J4573" t="n">
        <v>0</v>
      </c>
      <c r="K4573" t="n">
        <v>0</v>
      </c>
      <c r="L4573" t="n">
        <v>0</v>
      </c>
      <c r="M4573" t="n">
        <v>0</v>
      </c>
      <c r="N4573" t="n">
        <v>0</v>
      </c>
      <c r="O4573" t="n">
        <v>0</v>
      </c>
      <c r="P4573" t="n">
        <v>0</v>
      </c>
      <c r="Q4573" t="n">
        <v>0</v>
      </c>
      <c r="R4573" s="2" t="inlineStr"/>
    </row>
    <row r="4574" ht="15" customHeight="1">
      <c r="A4574" t="inlineStr">
        <is>
          <t>A 38544-2021</t>
        </is>
      </c>
      <c r="B4574" s="1" t="n">
        <v>44407</v>
      </c>
      <c r="C4574" s="1" t="n">
        <v>45204</v>
      </c>
      <c r="D4574" t="inlineStr">
        <is>
          <t>VÄSTERBOTTENS LÄN</t>
        </is>
      </c>
      <c r="E4574" t="inlineStr">
        <is>
          <t>LYCKSELE</t>
        </is>
      </c>
      <c r="F4574" t="inlineStr">
        <is>
          <t>Sveaskog</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38681-2021</t>
        </is>
      </c>
      <c r="B4575" s="1" t="n">
        <v>44407</v>
      </c>
      <c r="C4575" s="1" t="n">
        <v>45204</v>
      </c>
      <c r="D4575" t="inlineStr">
        <is>
          <t>VÄSTERBOTTENS LÄN</t>
        </is>
      </c>
      <c r="E4575" t="inlineStr">
        <is>
          <t>UMEÅ</t>
        </is>
      </c>
      <c r="F4575" t="inlineStr">
        <is>
          <t>Kommuner</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38691-2021</t>
        </is>
      </c>
      <c r="B4576" s="1" t="n">
        <v>44407</v>
      </c>
      <c r="C4576" s="1" t="n">
        <v>45204</v>
      </c>
      <c r="D4576" t="inlineStr">
        <is>
          <t>VÄSTERBOTTENS LÄN</t>
        </is>
      </c>
      <c r="E4576" t="inlineStr">
        <is>
          <t>UMEÅ</t>
        </is>
      </c>
      <c r="F4576" t="inlineStr">
        <is>
          <t>Kommuner</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38514-2021</t>
        </is>
      </c>
      <c r="B4577" s="1" t="n">
        <v>44407</v>
      </c>
      <c r="C4577" s="1" t="n">
        <v>45204</v>
      </c>
      <c r="D4577" t="inlineStr">
        <is>
          <t>VÄSTERBOTTENS LÄN</t>
        </is>
      </c>
      <c r="E4577" t="inlineStr">
        <is>
          <t>UMEÅ</t>
        </is>
      </c>
      <c r="F4577" t="inlineStr">
        <is>
          <t>Kommuner</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38519-2021</t>
        </is>
      </c>
      <c r="B4578" s="1" t="n">
        <v>44407</v>
      </c>
      <c r="C4578" s="1" t="n">
        <v>45204</v>
      </c>
      <c r="D4578" t="inlineStr">
        <is>
          <t>VÄSTERBOTTENS LÄN</t>
        </is>
      </c>
      <c r="E4578" t="inlineStr">
        <is>
          <t>UMEÅ</t>
        </is>
      </c>
      <c r="F4578" t="inlineStr">
        <is>
          <t>Kommuner</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38537-2021</t>
        </is>
      </c>
      <c r="B4579" s="1" t="n">
        <v>44407</v>
      </c>
      <c r="C4579" s="1" t="n">
        <v>45204</v>
      </c>
      <c r="D4579" t="inlineStr">
        <is>
          <t>VÄSTERBOTTENS LÄN</t>
        </is>
      </c>
      <c r="E4579" t="inlineStr">
        <is>
          <t>UMEÅ</t>
        </is>
      </c>
      <c r="F4579" t="inlineStr">
        <is>
          <t>Kommuner</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38559-2021</t>
        </is>
      </c>
      <c r="B4580" s="1" t="n">
        <v>44407</v>
      </c>
      <c r="C4580" s="1" t="n">
        <v>45204</v>
      </c>
      <c r="D4580" t="inlineStr">
        <is>
          <t>VÄSTERBOTTENS LÄN</t>
        </is>
      </c>
      <c r="E4580" t="inlineStr">
        <is>
          <t>UMEÅ</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38683-2021</t>
        </is>
      </c>
      <c r="B4581" s="1" t="n">
        <v>44407</v>
      </c>
      <c r="C4581" s="1" t="n">
        <v>45204</v>
      </c>
      <c r="D4581" t="inlineStr">
        <is>
          <t>VÄSTERBOTTENS LÄN</t>
        </is>
      </c>
      <c r="E4581" t="inlineStr">
        <is>
          <t>UMEÅ</t>
        </is>
      </c>
      <c r="F4581" t="inlineStr">
        <is>
          <t>Kommuner</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38515-2021</t>
        </is>
      </c>
      <c r="B4582" s="1" t="n">
        <v>44407</v>
      </c>
      <c r="C4582" s="1" t="n">
        <v>45204</v>
      </c>
      <c r="D4582" t="inlineStr">
        <is>
          <t>VÄSTERBOTTENS LÄN</t>
        </is>
      </c>
      <c r="E4582" t="inlineStr">
        <is>
          <t>UMEÅ</t>
        </is>
      </c>
      <c r="F4582" t="inlineStr">
        <is>
          <t>Kommuner</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38523-2021</t>
        </is>
      </c>
      <c r="B4583" s="1" t="n">
        <v>44407</v>
      </c>
      <c r="C4583" s="1" t="n">
        <v>45204</v>
      </c>
      <c r="D4583" t="inlineStr">
        <is>
          <t>VÄSTERBOTTENS LÄN</t>
        </is>
      </c>
      <c r="E4583" t="inlineStr">
        <is>
          <t>UMEÅ</t>
        </is>
      </c>
      <c r="F4583" t="inlineStr">
        <is>
          <t>Kommuner</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38541-2021</t>
        </is>
      </c>
      <c r="B4584" s="1" t="n">
        <v>44407</v>
      </c>
      <c r="C4584" s="1" t="n">
        <v>45204</v>
      </c>
      <c r="D4584" t="inlineStr">
        <is>
          <t>VÄSTERBOTTENS LÄN</t>
        </is>
      </c>
      <c r="E4584" t="inlineStr">
        <is>
          <t>UMEÅ</t>
        </is>
      </c>
      <c r="F4584" t="inlineStr">
        <is>
          <t>Kommuner</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38547-2021</t>
        </is>
      </c>
      <c r="B4585" s="1" t="n">
        <v>44407</v>
      </c>
      <c r="C4585" s="1" t="n">
        <v>45204</v>
      </c>
      <c r="D4585" t="inlineStr">
        <is>
          <t>VÄSTERBOTTENS LÄN</t>
        </is>
      </c>
      <c r="E4585" t="inlineStr">
        <is>
          <t>UMEÅ</t>
        </is>
      </c>
      <c r="F4585" t="inlineStr">
        <is>
          <t>Kommuner</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38560-2021</t>
        </is>
      </c>
      <c r="B4586" s="1" t="n">
        <v>44407</v>
      </c>
      <c r="C4586" s="1" t="n">
        <v>45204</v>
      </c>
      <c r="D4586" t="inlineStr">
        <is>
          <t>VÄSTERBOTTENS LÄN</t>
        </is>
      </c>
      <c r="E4586" t="inlineStr">
        <is>
          <t>UMEÅ</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38590-2021</t>
        </is>
      </c>
      <c r="B4587" s="1" t="n">
        <v>44407</v>
      </c>
      <c r="C4587" s="1" t="n">
        <v>45204</v>
      </c>
      <c r="D4587" t="inlineStr">
        <is>
          <t>VÄSTERBOTTENS LÄN</t>
        </is>
      </c>
      <c r="E4587" t="inlineStr">
        <is>
          <t>ÅSELE</t>
        </is>
      </c>
      <c r="F4587" t="inlineStr">
        <is>
          <t>SCA</t>
        </is>
      </c>
      <c r="G4587" t="n">
        <v>107.3</v>
      </c>
      <c r="H4587" t="n">
        <v>0</v>
      </c>
      <c r="I4587" t="n">
        <v>0</v>
      </c>
      <c r="J4587" t="n">
        <v>0</v>
      </c>
      <c r="K4587" t="n">
        <v>0</v>
      </c>
      <c r="L4587" t="n">
        <v>0</v>
      </c>
      <c r="M4587" t="n">
        <v>0</v>
      </c>
      <c r="N4587" t="n">
        <v>0</v>
      </c>
      <c r="O4587" t="n">
        <v>0</v>
      </c>
      <c r="P4587" t="n">
        <v>0</v>
      </c>
      <c r="Q4587" t="n">
        <v>0</v>
      </c>
      <c r="R4587" s="2" t="inlineStr"/>
    </row>
    <row r="4588" ht="15" customHeight="1">
      <c r="A4588" t="inlineStr">
        <is>
          <t>A 38684-2021</t>
        </is>
      </c>
      <c r="B4588" s="1" t="n">
        <v>44407</v>
      </c>
      <c r="C4588" s="1" t="n">
        <v>45204</v>
      </c>
      <c r="D4588" t="inlineStr">
        <is>
          <t>VÄSTERBOTTENS LÄN</t>
        </is>
      </c>
      <c r="E4588" t="inlineStr">
        <is>
          <t>UMEÅ</t>
        </is>
      </c>
      <c r="F4588" t="inlineStr">
        <is>
          <t>Kommuner</t>
        </is>
      </c>
      <c r="G4588" t="n">
        <v>2.5</v>
      </c>
      <c r="H4588" t="n">
        <v>0</v>
      </c>
      <c r="I4588" t="n">
        <v>0</v>
      </c>
      <c r="J4588" t="n">
        <v>0</v>
      </c>
      <c r="K4588" t="n">
        <v>0</v>
      </c>
      <c r="L4588" t="n">
        <v>0</v>
      </c>
      <c r="M4588" t="n">
        <v>0</v>
      </c>
      <c r="N4588" t="n">
        <v>0</v>
      </c>
      <c r="O4588" t="n">
        <v>0</v>
      </c>
      <c r="P4588" t="n">
        <v>0</v>
      </c>
      <c r="Q4588" t="n">
        <v>0</v>
      </c>
      <c r="R4588" s="2" t="inlineStr"/>
    </row>
    <row r="4589" ht="15" customHeight="1">
      <c r="A4589" t="inlineStr">
        <is>
          <t>A 38220-2021</t>
        </is>
      </c>
      <c r="B4589" s="1" t="n">
        <v>44407</v>
      </c>
      <c r="C4589" s="1" t="n">
        <v>45204</v>
      </c>
      <c r="D4589" t="inlineStr">
        <is>
          <t>VÄSTERBOTTENS LÄN</t>
        </is>
      </c>
      <c r="E4589" t="inlineStr">
        <is>
          <t>UMEÅ</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38472-2021</t>
        </is>
      </c>
      <c r="B4590" s="1" t="n">
        <v>44407</v>
      </c>
      <c r="C4590" s="1" t="n">
        <v>45204</v>
      </c>
      <c r="D4590" t="inlineStr">
        <is>
          <t>VÄSTERBOTTENS LÄN</t>
        </is>
      </c>
      <c r="E4590" t="inlineStr">
        <is>
          <t>ÅSELE</t>
        </is>
      </c>
      <c r="F4590" t="inlineStr">
        <is>
          <t>Holmen skog AB</t>
        </is>
      </c>
      <c r="G4590" t="n">
        <v>3.1</v>
      </c>
      <c r="H4590" t="n">
        <v>0</v>
      </c>
      <c r="I4590" t="n">
        <v>0</v>
      </c>
      <c r="J4590" t="n">
        <v>0</v>
      </c>
      <c r="K4590" t="n">
        <v>0</v>
      </c>
      <c r="L4590" t="n">
        <v>0</v>
      </c>
      <c r="M4590" t="n">
        <v>0</v>
      </c>
      <c r="N4590" t="n">
        <v>0</v>
      </c>
      <c r="O4590" t="n">
        <v>0</v>
      </c>
      <c r="P4590" t="n">
        <v>0</v>
      </c>
      <c r="Q4590" t="n">
        <v>0</v>
      </c>
      <c r="R4590" s="2" t="inlineStr"/>
    </row>
    <row r="4591" ht="15" customHeight="1">
      <c r="A4591" t="inlineStr">
        <is>
          <t>A 38516-2021</t>
        </is>
      </c>
      <c r="B4591" s="1" t="n">
        <v>44407</v>
      </c>
      <c r="C4591" s="1" t="n">
        <v>45204</v>
      </c>
      <c r="D4591" t="inlineStr">
        <is>
          <t>VÄSTERBOTTENS LÄN</t>
        </is>
      </c>
      <c r="E4591" t="inlineStr">
        <is>
          <t>UMEÅ</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38524-2021</t>
        </is>
      </c>
      <c r="B4592" s="1" t="n">
        <v>44407</v>
      </c>
      <c r="C4592" s="1" t="n">
        <v>45204</v>
      </c>
      <c r="D4592" t="inlineStr">
        <is>
          <t>VÄSTERBOTTENS LÄN</t>
        </is>
      </c>
      <c r="E4592" t="inlineStr">
        <is>
          <t>UMEÅ</t>
        </is>
      </c>
      <c r="F4592" t="inlineStr">
        <is>
          <t>Kommuner</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38543-2021</t>
        </is>
      </c>
      <c r="B4593" s="1" t="n">
        <v>44407</v>
      </c>
      <c r="C4593" s="1" t="n">
        <v>45204</v>
      </c>
      <c r="D4593" t="inlineStr">
        <is>
          <t>VÄSTERBOTTENS LÄN</t>
        </is>
      </c>
      <c r="E4593" t="inlineStr">
        <is>
          <t>UMEÅ</t>
        </is>
      </c>
      <c r="F4593" t="inlineStr">
        <is>
          <t>Kommuner</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38679-2021</t>
        </is>
      </c>
      <c r="B4594" s="1" t="n">
        <v>44407</v>
      </c>
      <c r="C4594" s="1" t="n">
        <v>45204</v>
      </c>
      <c r="D4594" t="inlineStr">
        <is>
          <t>VÄSTERBOTTENS LÄN</t>
        </is>
      </c>
      <c r="E4594" t="inlineStr">
        <is>
          <t>UMEÅ</t>
        </is>
      </c>
      <c r="F4594" t="inlineStr">
        <is>
          <t>Kommuner</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38685-2021</t>
        </is>
      </c>
      <c r="B4595" s="1" t="n">
        <v>44407</v>
      </c>
      <c r="C4595" s="1" t="n">
        <v>45204</v>
      </c>
      <c r="D4595" t="inlineStr">
        <is>
          <t>VÄSTERBOTTENS LÄN</t>
        </is>
      </c>
      <c r="E4595" t="inlineStr">
        <is>
          <t>UMEÅ</t>
        </is>
      </c>
      <c r="F4595" t="inlineStr">
        <is>
          <t>Kommuner</t>
        </is>
      </c>
      <c r="G4595" t="n">
        <v>2.3</v>
      </c>
      <c r="H4595" t="n">
        <v>0</v>
      </c>
      <c r="I4595" t="n">
        <v>0</v>
      </c>
      <c r="J4595" t="n">
        <v>0</v>
      </c>
      <c r="K4595" t="n">
        <v>0</v>
      </c>
      <c r="L4595" t="n">
        <v>0</v>
      </c>
      <c r="M4595" t="n">
        <v>0</v>
      </c>
      <c r="N4595" t="n">
        <v>0</v>
      </c>
      <c r="O4595" t="n">
        <v>0</v>
      </c>
      <c r="P4595" t="n">
        <v>0</v>
      </c>
      <c r="Q4595" t="n">
        <v>0</v>
      </c>
      <c r="R4595" s="2" t="inlineStr"/>
    </row>
    <row r="4596" ht="15" customHeight="1">
      <c r="A4596" t="inlineStr">
        <is>
          <t>A 38690-2021</t>
        </is>
      </c>
      <c r="B4596" s="1" t="n">
        <v>44407</v>
      </c>
      <c r="C4596" s="1" t="n">
        <v>45204</v>
      </c>
      <c r="D4596" t="inlineStr">
        <is>
          <t>VÄSTERBOTTENS LÄN</t>
        </is>
      </c>
      <c r="E4596" t="inlineStr">
        <is>
          <t>UMEÅ</t>
        </is>
      </c>
      <c r="F4596" t="inlineStr">
        <is>
          <t>Kommuner</t>
        </is>
      </c>
      <c r="G4596" t="n">
        <v>1.4</v>
      </c>
      <c r="H4596" t="n">
        <v>0</v>
      </c>
      <c r="I4596" t="n">
        <v>0</v>
      </c>
      <c r="J4596" t="n">
        <v>0</v>
      </c>
      <c r="K4596" t="n">
        <v>0</v>
      </c>
      <c r="L4596" t="n">
        <v>0</v>
      </c>
      <c r="M4596" t="n">
        <v>0</v>
      </c>
      <c r="N4596" t="n">
        <v>0</v>
      </c>
      <c r="O4596" t="n">
        <v>0</v>
      </c>
      <c r="P4596" t="n">
        <v>0</v>
      </c>
      <c r="Q4596" t="n">
        <v>0</v>
      </c>
      <c r="R4596" s="2" t="inlineStr"/>
    </row>
    <row r="4597" ht="15" customHeight="1">
      <c r="A4597" t="inlineStr">
        <is>
          <t>A 38719-2021</t>
        </is>
      </c>
      <c r="B4597" s="1" t="n">
        <v>44410</v>
      </c>
      <c r="C4597" s="1" t="n">
        <v>45204</v>
      </c>
      <c r="D4597" t="inlineStr">
        <is>
          <t>VÄSTERBOTTENS LÄN</t>
        </is>
      </c>
      <c r="E4597" t="inlineStr">
        <is>
          <t>UMEÅ</t>
        </is>
      </c>
      <c r="F4597" t="inlineStr">
        <is>
          <t>Kommuner</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45204</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45204</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45204</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45204</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45204</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45204</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45204</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45204</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45204</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45204</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45204</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45204</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45204</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45204</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45204</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45204</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45204</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45204</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45204</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45204</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45204</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45204</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45204</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45204</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45204</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45204</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45204</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45204</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45204</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45204</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45204</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45204</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45204</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45204</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45204</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45204</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45204</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45204</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45204</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45204</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45204</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45204</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45204</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45204</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45204</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45204</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45204</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45204</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45204</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45204</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45204</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45204</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45204</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45204</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45204</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45204</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45204</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45204</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45204</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45204</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45204</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45204</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45204</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45204</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45204</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45204</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45204</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45204</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45204</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45204</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45204</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45204</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45204</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45204</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45204</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45204</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45204</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45204</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45204</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45204</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45204</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45204</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45204</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45204</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45204</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45204</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45204</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45204</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45204</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45204</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45204</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45204</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45204</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45204</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45204</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45204</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45204</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45204</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45204</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45204</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45204</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45204</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45204</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45204</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45204</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45204</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45204</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45204</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45204</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45204</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45204</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45204</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45204</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45204</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45204</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45204</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45204</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45204</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45204</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45204</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45204</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45204</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45204</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45204</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45204</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45204</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45204</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45204</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45204</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45204</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45204</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45204</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45204</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45204</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45204</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45204</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45204</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45204</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45204</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45204</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45204</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45204</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45204</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45204</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45204</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45204</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45204</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45204</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45204</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45204</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45204</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45204</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45204</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45204</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45204</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45204</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45204</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45204</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45204</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45204</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45204</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45204</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45204</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45204</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45204</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45204</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45204</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45204</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45204</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45204</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45204</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45204</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45204</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45204</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45204</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45204</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45204</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45204</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45204</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45204</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45204</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45204</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45204</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45204</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45204</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45204</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45204</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45204</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45204</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45204</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45204</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45204</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45204</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45204</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45204</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45204</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45204</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45204</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45204</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45204</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45204</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45204</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45204</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45204</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45204</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45204</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45204</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45204</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45204</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45204</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45204</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45204</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45204</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45204</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45204</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45204</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45204</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45204</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45204</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45204</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45204</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45204</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45204</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45204</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45204</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45204</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45204</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45204</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45204</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45204</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45204</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45204</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45204</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45204</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45204</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45204</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45204</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45204</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45204</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45204</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45204</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45204</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45204</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45204</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45204</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45204</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45204</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45204</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45204</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45204</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45204</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45204</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45204</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45204</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45204</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45204</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45204</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45204</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45204</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45204</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45204</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45204</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45204</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45204</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45204</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45204</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45204</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45204</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45204</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45204</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45204</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45204</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45204</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45204</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45204</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45204</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45204</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45204</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45204</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45204</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45204</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45204</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45204</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45204</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45204</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45204</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45204</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45204</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45204</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45204</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45204</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45204</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45204</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45204</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45204</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45204</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45204</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45204</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45204</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45204</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45204</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45204</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45204</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45204</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45204</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45204</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45204</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45204</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45204</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45204</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45204</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45204</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45204</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45204</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45204</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45204</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45204</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45204</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45204</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45204</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45204</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45204</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45204</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45204</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45204</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45204</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45204</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45204</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45204</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45204</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45204</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45204</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45204</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45204</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45204</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45204</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45204</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45204</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45204</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45204</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45204</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45204</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45204</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45204</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45204</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45204</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45204</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45204</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45204</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45204</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45204</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45204</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45204</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45204</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45204</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45204</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45204</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45204</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45204</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45204</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45204</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45204</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45204</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45204</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45204</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45204</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45204</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45204</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45204</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45204</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45204</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45204</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45204</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45204</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45204</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45204</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45204</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45204</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45204</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45204</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45204</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45204</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45204</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45204</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45204</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45204</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45204</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45204</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45204</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45204</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45204</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45204</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45204</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45204</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45204</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45204</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45204</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45204</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45204</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45204</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45204</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45204</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45204</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45204</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45204</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45204</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45204</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45204</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45204</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45204</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45204</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45204</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45204</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45204</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45204</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45204</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45204</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45204</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45204</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45204</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45204</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45204</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45204</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45204</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45204</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45204</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45204</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45204</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45204</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45204</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45204</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45204</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45204</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45204</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45204</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45204</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45204</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45204</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45204</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45204</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45204</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45204</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45204</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45204</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45204</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45204</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45204</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45204</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45204</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45204</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45204</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45204</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45204</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45204</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45204</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45204</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45204</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45204</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45204</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45204</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45204</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HYPERLINK("https://klasma.github.io/Logging_SKELLEFTEA/knärot/A 66949-2021.png", "A 66949-2021")</f>
        <v/>
      </c>
      <c r="V5058">
        <f>HYPERLINK("https://klasma.github.io/Logging_SKELLEFTEA/klagomål/A 66949-2021.docx", "A 66949-2021")</f>
        <v/>
      </c>
      <c r="W5058">
        <f>HYPERLINK("https://klasma.github.io/Logging_SKELLEFTEA/klagomålsmail/A 66949-2021.docx", "A 66949-2021")</f>
        <v/>
      </c>
      <c r="X5058">
        <f>HYPERLINK("https://klasma.github.io/Logging_SKELLEFTEA/tillsyn/A 66949-2021.docx", "A 66949-2021")</f>
        <v/>
      </c>
      <c r="Y5058">
        <f>HYPERLINK("https://klasma.github.io/Logging_SKELLEFTEA/tillsynsmail/A 66949-2021.docx", "A 66949-2021")</f>
        <v/>
      </c>
    </row>
    <row r="5059" ht="15" customHeight="1">
      <c r="A5059" t="inlineStr">
        <is>
          <t>A 67018-2021</t>
        </is>
      </c>
      <c r="B5059" s="1" t="n">
        <v>44522</v>
      </c>
      <c r="C5059" s="1" t="n">
        <v>45204</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45204</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45204</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45204</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45204</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45204</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45204</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45204</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45204</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45204</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45204</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45204</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45204</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45204</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45204</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45204</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45204</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45204</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45204</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45204</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45204</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45204</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45204</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45204</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45204</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45204</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45204</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45204</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45204</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45204</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45204</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45204</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45204</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45204</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45204</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45204</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45204</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45204</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45204</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45204</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45204</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45204</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45204</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45204</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45204</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45204</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45204</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45204</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45204</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45204</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45204</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45204</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45204</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45204</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45204</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45204</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45204</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45204</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45204</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45204</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45204</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45204</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45204</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45204</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45204</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45204</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45204</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45204</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45204</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45204</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45204</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45204</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45204</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45204</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45204</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45204</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45204</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45204</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45204</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45204</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45204</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45204</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45204</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45204</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45204</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45204</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45204</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45204</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45204</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45204</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45204</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45204</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45204</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45204</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45204</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45204</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45204</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45204</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45204</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45204</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45204</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45204</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45204</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45204</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45204</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45204</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45204</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45204</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45204</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45204</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45204</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45204</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45204</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45204</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45204</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45204</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45204</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45204</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45204</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45204</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45204</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45204</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45204</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45204</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45204</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45204</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45204</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45204</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45204</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45204</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45204</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45204</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45204</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45204</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45204</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45204</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45204</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45204</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45204</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45204</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45204</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45204</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45204</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45204</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45204</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45204</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45204</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45204</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45204</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45204</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45204</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45204</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45204</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45204</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45204</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45204</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45204</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45204</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45204</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45204</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45204</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45204</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45204</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45204</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45204</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45204</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45204</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45204</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45204</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45204</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45204</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45204</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45204</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45204</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45204</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45204</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45204</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45204</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45204</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45204</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45204</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45204</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45204</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45204</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45204</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45204</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45204</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45204</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45204</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45204</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45204</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45204</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45204</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45204</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45204</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45204</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45204</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45204</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45204</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45204</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45204</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45204</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45204</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45204</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45204</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45204</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45204</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45204</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45204</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45204</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45204</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45204</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45204</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45204</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45204</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45204</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45204</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45204</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45204</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45204</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45204</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45204</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45204</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45204</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45204</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45204</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45204</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45204</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45204</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45204</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45204</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45204</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45204</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45204</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45204</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45204</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45204</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45204</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45204</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45204</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45204</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45204</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45204</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45204</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45204</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45204</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45204</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45204</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45204</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45204</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45204</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45204</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45204</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45204</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45204</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45204</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45204</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45204</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45204</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45204</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45204</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45204</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45204</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45204</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45204</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45204</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45204</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45204</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45204</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45204</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45204</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45204</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45204</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45204</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45204</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45204</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45204</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45204</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45204</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45204</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45204</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45204</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45204</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45204</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45204</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45204</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45204</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45204</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45204</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45204</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45204</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45204</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45204</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45204</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45204</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45204</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45204</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45204</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45204</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45204</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45204</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45204</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45204</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45204</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45204</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45204</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45204</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45204</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45204</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45204</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45204</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45204</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45204</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45204</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45204</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45204</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45204</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45204</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45204</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45204</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45204</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45204</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45204</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45204</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45204</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45204</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45204</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45204</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45204</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45204</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45204</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45204</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45204</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45204</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45204</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45204</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45204</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45204</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45204</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45204</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45204</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45204</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45204</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45204</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45204</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45204</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45204</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45204</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45204</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45204</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45204</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45204</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45204</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45204</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45204</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45204</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45204</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45204</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45204</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45204</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45204</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45204</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45204</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45204</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45204</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45204</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45204</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45204</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45204</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45204</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45204</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45204</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45204</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45204</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45204</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45204</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45204</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45204</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45204</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45204</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45204</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45204</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45204</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45204</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45204</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45204</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45204</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45204</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45204</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45204</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45204</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45204</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45204</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45204</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45204</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45204</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45204</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45204</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45204</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45204</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45204</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45204</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45204</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45204</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45204</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45204</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45204</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45204</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45204</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45204</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45204</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45204</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45204</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45204</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45204</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45204</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45204</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45204</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45204</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45204</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45204</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45204</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45204</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45204</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45204</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45204</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45204</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45204</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45204</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45204</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45204</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45204</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45204</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45204</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45204</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45204</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45204</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45204</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45204</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45204</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45204</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45204</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45204</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45204</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45204</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45204</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45204</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45204</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45204</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45204</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45204</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45204</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45204</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45204</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45204</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45204</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45204</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45204</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45204</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45204</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45204</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45204</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45204</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45204</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45204</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45204</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45204</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45204</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45204</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45204</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45204</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45204</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45204</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45204</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45204</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45204</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45204</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45204</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45204</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45204</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45204</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45204</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45204</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45204</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45204</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45204</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45204</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45204</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45204</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45204</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45204</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45204</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45204</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45204</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45204</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45204</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45204</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45204</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45204</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45204</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45204</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45204</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45204</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45204</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45204</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45204</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45204</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45204</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45204</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45204</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45204</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45204</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45204</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45204</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45204</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45204</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45204</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45204</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45204</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45204</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45204</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45204</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45204</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45204</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45204</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45204</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45204</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45204</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45204</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45204</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45204</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45204</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45204</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45204</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45204</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45204</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45204</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45204</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45204</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45204</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45204</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45204</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45204</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45204</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45204</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45204</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45204</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45204</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45204</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45204</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45204</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45204</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45204</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45204</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45204</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45204</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45204</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45204</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45204</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45204</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45204</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45204</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45204</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45204</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45204</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45204</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45204</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45204</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45204</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45204</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45204</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45204</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45204</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45204</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45204</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45204</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45204</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45204</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45204</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45204</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45204</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45204</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45204</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45204</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45204</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45204</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45204</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45204</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45204</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45204</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45204</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HYPERLINK("https://klasma.github.io/Logging_NORDMALING/knärot/A 24944-2022.png", "A 24944-2022")</f>
        <v/>
      </c>
      <c r="V5649">
        <f>HYPERLINK("https://klasma.github.io/Logging_NORDMALING/klagomål/A 24944-2022.docx", "A 24944-2022")</f>
        <v/>
      </c>
      <c r="W5649">
        <f>HYPERLINK("https://klasma.github.io/Logging_NORDMALING/klagomålsmail/A 24944-2022.docx", "A 24944-2022")</f>
        <v/>
      </c>
      <c r="X5649">
        <f>HYPERLINK("https://klasma.github.io/Logging_NORDMALING/tillsyn/A 24944-2022.docx", "A 24944-2022")</f>
        <v/>
      </c>
      <c r="Y5649">
        <f>HYPERLINK("https://klasma.github.io/Logging_NORDMALING/tillsynsmail/A 24944-2022.docx", "A 24944-2022")</f>
        <v/>
      </c>
    </row>
    <row r="5650" ht="15" customHeight="1">
      <c r="A5650" t="inlineStr">
        <is>
          <t>A 25099-2022</t>
        </is>
      </c>
      <c r="B5650" s="1" t="n">
        <v>44729</v>
      </c>
      <c r="C5650" s="1" t="n">
        <v>45204</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45204</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45204</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45204</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45204</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45204</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45204</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45204</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45204</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45204</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45204</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45204</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45204</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45204</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45204</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45204</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45204</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45204</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45204</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45204</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45204</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45204</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45204</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45204</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45204</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45204</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45204</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45204</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45204</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45204</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45204</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45204</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45204</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45204</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45204</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45204</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45204</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45204</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45204</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45204</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45204</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45204</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45204</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45204</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45204</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45204</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45204</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45204</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45204</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45204</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45204</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45204</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45204</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45204</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45204</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45204</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45204</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45204</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45204</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45204</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45204</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45204</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45204</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45204</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45204</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45204</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45204</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45204</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45204</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45204</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45204</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45204</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45204</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45204</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45204</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45204</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45204</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45204</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45204</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45204</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45204</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45204</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45204</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45204</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45204</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45204</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45204</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45204</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45204</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45204</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45204</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45204</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45204</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45204</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45204</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45204</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45204</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45204</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45204</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45204</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45204</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45204</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45204</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45204</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45204</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45204</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45204</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45204</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45204</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45204</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45204</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45204</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45204</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45204</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45204</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45204</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45204</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45204</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45204</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45204</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45204</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45204</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45204</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45204</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45204</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45204</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45204</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45204</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45204</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45204</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45204</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45204</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45204</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45204</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45204</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45204</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45204</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45204</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45204</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45204</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45204</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45204</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45204</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45204</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45204</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45204</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45204</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45204</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45204</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45204</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45204</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45204</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45204</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45204</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45204</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45204</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45204</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45204</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45204</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45204</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45204</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45204</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45204</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45204</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45204</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45204</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45204</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45204</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45204</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45204</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45204</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45204</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45204</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45204</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45204</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45204</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45204</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45204</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45204</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45204</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45204</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45204</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45204</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45204</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45204</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45204</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45204</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45204</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45204</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45204</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45204</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45204</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45204</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45204</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45204</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45204</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45204</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45204</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45204</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45204</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45204</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45204</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45204</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45204</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45204</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45204</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45204</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45204</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45204</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45204</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45204</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45204</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45204</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45204</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45204</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45204</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45204</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45204</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45204</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45204</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45204</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45204</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45204</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45204</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45204</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45204</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45204</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45204</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45204</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45204</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45204</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45204</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45204</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45204</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45204</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45204</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45204</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45204</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45204</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45204</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45204</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45204</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45204</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45204</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45204</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45204</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45204</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45204</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45204</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45204</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45204</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45204</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45204</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45204</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45204</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45204</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45204</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45204</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45204</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45204</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45204</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45204</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45204</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45204</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45204</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45204</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45204</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45204</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45204</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45204</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45204</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45204</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45204</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45204</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45204</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45204</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45204</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45204</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45204</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45204</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45204</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45204</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45204</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45204</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45204</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45204</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45204</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45204</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45204</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45204</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45204</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45204</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45204</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45204</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45204</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45204</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45204</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45204</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45204</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45204</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45204</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45204</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45204</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45204</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45204</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45204</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45204</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45204</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45204</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45204</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45204</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45204</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45204</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45204</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45204</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45204</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45204</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45204</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45204</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45204</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45204</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45204</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45204</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45204</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45204</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45204</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45204</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45204</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45204</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45204</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45204</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45204</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45204</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45204</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45204</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45204</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45204</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45204</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45204</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45204</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45204</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45204</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45204</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45204</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45204</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45204</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45204</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45204</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45204</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45204</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45204</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45204</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45204</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45204</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45204</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45204</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45204</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45204</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45204</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45204</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45204</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45204</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45204</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45204</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45204</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45204</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45204</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45204</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45204</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45204</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45204</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45204</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45204</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45204</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45204</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45204</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45204</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45204</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45204</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45204</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45204</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45204</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45204</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45204</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45204</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45204</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45204</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45204</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45204</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45204</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45204</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45204</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45204</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45204</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45204</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45204</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45204</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45204</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45204</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45204</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45204</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45204</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45204</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45204</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45204</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45204</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45204</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45204</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45204</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45204</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45204</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45204</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45204</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45204</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45204</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45204</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45204</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45204</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45204</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45204</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45204</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45204</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45204</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45204</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45204</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45204</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45204</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45204</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45204</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45204</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45204</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45204</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45204</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45204</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45204</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45204</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45204</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45204</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45204</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45204</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45204</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45204</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45204</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45204</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45204</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45204</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45204</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45204</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45204</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45204</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45204</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45204</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45204</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45204</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45204</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45204</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45204</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45204</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45204</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45204</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45204</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45204</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45204</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45204</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45204</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45204</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45204</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45204</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45204</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45204</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45204</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45204</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45204</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45204</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45204</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45204</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45204</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45204</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45204</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45204</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45204</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45204</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45204</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45204</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45204</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45204</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45204</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45204</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45204</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45204</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45204</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45204</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45204</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45204</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45204</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45204</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45204</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45204</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45204</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45204</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45204</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45204</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45204</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45204</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45204</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45204</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45204</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45204</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45204</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45204</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45204</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45204</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45204</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45204</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45204</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45204</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45204</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45204</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45204</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45204</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45204</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45204</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45204</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45204</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45204</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45204</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45204</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45204</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45204</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45204</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45204</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45204</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45204</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45204</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45204</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45204</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45204</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45204</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45204</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45204</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45204</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45204</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45204</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45204</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45204</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45204</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45204</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45204</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45204</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45204</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45204</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45204</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45204</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45204</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45204</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45204</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45204</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45204</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45204</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45204</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45204</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45204</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45204</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45204</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45204</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45204</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45204</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45204</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45204</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45204</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45204</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45204</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45204</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45204</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45204</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45204</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45204</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45204</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45204</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45204</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45204</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45204</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45204</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45204</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45204</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45204</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45204</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45204</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45204</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45204</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45204</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45204</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45204</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45204</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45204</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45204</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45204</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45204</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45204</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45204</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45204</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45204</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45204</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45204</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45204</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45204</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45204</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45204</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45204</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45204</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45204</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45204</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45204</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45204</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45204</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45204</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45204</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45204</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45204</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45204</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45204</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45204</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45204</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45204</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45204</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45204</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45204</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45204</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45204</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45204</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45204</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45204</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45204</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45204</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45204</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45204</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45204</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45204</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45204</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45204</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45204</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45204</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45204</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45204</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45204</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45204</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45204</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45204</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45204</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45204</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45204</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45204</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45204</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45204</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45204</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45204</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45204</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45204</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45204</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45204</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45204</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45204</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45204</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45204</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45204</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45204</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45204</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45204</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45204</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45204</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45204</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45204</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45204</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45204</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45204</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45204</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45204</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45204</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45204</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45204</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45204</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45204</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45204</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45204</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45204</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45204</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45204</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45204</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45204</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45204</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45204</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45204</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45204</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45204</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45204</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45204</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45204</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45204</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45204</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45204</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45204</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45204</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45204</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45204</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45204</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45204</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45204</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45204</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45204</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45204</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45204</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45204</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45204</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45204</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45204</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45204</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45204</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45204</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45204</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45204</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45204</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45204</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45204</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45204</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45204</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45204</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45204</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45204</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45204</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45204</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45204</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45204</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45204</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45204</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45204</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45204</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45204</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45204</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45204</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45204</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45204</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45204</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45204</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45204</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45204</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45204</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45204</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45204</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45204</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45204</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45204</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45204</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45204</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45204</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45204</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45204</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45204</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45204</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45204</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45204</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45204</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45204</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45204</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45204</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45204</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45204</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45204</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45204</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45204</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45204</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45204</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45204</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45204</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45204</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45204</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45204</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45204</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45204</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45204</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45204</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45204</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45204</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45204</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45204</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45204</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45204</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45204</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45204</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45204</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45204</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45204</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45204</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45204</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45204</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45204</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45204</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45204</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45204</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45204</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45204</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45204</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45204</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45204</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45204</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45204</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45204</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45204</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45204</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45204</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45204</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45204</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45204</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45204</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45204</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45204</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45204</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45204</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45204</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45204</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45204</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45204</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45204</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45204</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45204</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45204</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45204</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45204</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45204</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45204</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45204</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45204</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45204</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45204</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45204</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45204</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45204</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45204</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45204</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45204</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45204</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45204</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45204</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45204</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45204</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45204</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45204</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45204</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45204</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45204</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45204</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45204</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45204</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45204</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45204</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45204</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45204</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45204</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45204</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45204</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45204</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45204</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45204</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45204</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45204</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45204</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45204</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45204</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45204</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45204</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45204</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45204</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45204</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45204</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45204</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45204</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45204</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45204</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45204</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45204</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45204</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45204</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45204</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45204</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45204</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45204</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45204</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45204</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45204</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45204</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45204</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45204</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45204</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45204</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45204</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45204</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45204</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45204</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45204</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45204</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45204</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45204</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45204</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45204</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45204</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45204</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45204</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45204</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45204</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45204</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45204</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45204</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45204</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45204</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45204</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45204</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45204</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45204</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45204</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45204</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45204</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45204</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45204</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45204</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45204</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45204</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45204</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45204</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45204</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45204</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45204</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45204</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45204</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45204</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45204</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45204</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45204</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45204</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45204</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45204</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45204</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45204</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45204</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45204</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45204</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45204</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45204</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45204</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45204</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45204</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45204</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45204</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45204</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45204</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45204</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45204</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45204</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45204</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45204</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45204</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45204</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45204</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45204</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45204</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45204</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45204</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45204</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45204</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45204</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45204</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45204</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45204</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45204</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45204</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45204</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45204</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45204</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45204</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45204</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45204</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45204</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45204</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45204</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45204</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45204</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45204</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45204</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45204</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45204</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45204</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45204</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45204</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45204</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45204</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45204</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45204</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45204</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45204</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45204</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45204</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45204</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45204</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45204</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45204</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45204</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45204</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45204</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45204</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45204</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45204</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45204</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45204</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45204</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45204</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45204</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45204</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45204</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45204</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45204</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45204</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45204</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45204</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45204</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45204</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45204</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45204</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45204</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45204</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45204</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45204</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45204</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45204</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45204</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45204</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45204</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45204</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45204</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45204</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45204</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45204</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45204</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45204</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45204</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45204</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45204</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45204</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45204</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45204</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45204</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45204</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45204</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45204</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45204</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45204</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45204</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45204</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45204</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45204</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45204</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45204</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45204</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45204</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45204</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45204</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45204</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45204</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45204</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45204</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45204</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45204</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45204</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45204</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45204</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45204</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45204</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45204</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45204</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45204</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45204</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45204</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45204</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45204</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45204</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45204</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45204</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45204</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45204</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45204</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45204</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45204</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45204</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45204</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45204</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45204</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45204</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45204</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45204</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45204</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45204</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45204</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45204</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45204</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45204</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45204</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45204</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45204</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45204</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45204</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45204</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45204</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45204</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45204</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45204</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45204</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45204</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45204</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45204</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45204</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45204</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45204</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45204</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45204</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45204</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45204</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45204</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45204</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45204</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45204</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45204</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45204</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45204</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45204</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45204</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45204</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45204</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45204</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45204</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45204</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45204</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45204</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45204</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45204</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45204</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45204</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45204</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45204</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45204</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45204</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45204</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45204</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45204</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45204</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45204</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45204</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45204</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45204</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45204</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45204</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45204</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45204</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45204</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45204</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45204</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45204</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45204</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45204</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45204</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45204</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45204</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45204</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45204</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45204</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45204</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45204</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45204</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45204</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45204</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45204</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45204</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45204</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45204</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45204</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45204</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45204</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45204</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45204</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45204</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45204</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45204</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45204</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45204</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45204</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45204</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45204</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45204</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45204</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45204</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45204</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45204</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45204</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45204</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45204</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45204</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45204</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45204</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45204</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45204</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45204</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45204</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45204</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45204</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45204</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45204</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45204</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45204</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45204</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45204</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45204</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45204</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45204</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45204</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45204</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45204</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45204</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45204</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45204</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45204</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45204</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45204</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45204</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45204</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45204</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45204</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45204</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45204</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45204</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45204</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45204</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45204</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45204</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45204</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45204</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45204</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45204</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45204</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45204</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45204</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45204</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45204</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45204</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45204</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45204</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45204</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45204</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45204</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45204</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45204</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45204</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45204</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45204</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45204</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45204</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45204</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45204</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45204</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45204</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45204</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45204</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45204</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45204</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45204</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45204</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45204</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45204</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45204</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45204</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45204</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45204</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45204</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45204</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45204</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45204</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45204</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45204</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45204</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45204</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45204</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45204</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45204</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45204</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45204</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45204</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45204</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45204</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45204</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45204</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45204</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45204</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45204</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45204</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45204</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45204</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45204</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45204</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45204</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45204</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45204</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45204</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45204</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45204</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45204</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45204</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45204</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45204</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45204</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45204</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45204</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45204</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45204</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45204</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45204</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45204</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45204</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45204</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45204</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45204</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45204</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45204</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45204</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45204</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45204</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45204</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45204</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45204</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45204</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45204</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45204</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45204</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45204</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45204</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45204</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45204</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45204</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45204</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45204</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45204</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45204</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45204</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45204</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45204</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45204</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45204</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45204</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45204</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45204</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45204</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45204</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45204</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45204</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45204</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45204</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45204</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45204</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45204</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45204</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45204</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45204</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45204</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45204</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45204</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45204</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45204</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45204</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45204</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45204</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45204</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45204</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45204</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45204</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45204</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45204</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45204</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45204</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45204</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45204</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45204</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45204</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45204</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45204</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45204</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45204</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45204</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45204</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45204</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45204</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45204</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45204</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45204</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45204</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45204</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45204</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45204</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45204</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45204</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45204</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45204</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45204</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45204</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45204</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45204</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45204</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45204</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45204</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45204</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45204</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45204</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45204</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45204</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45204</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45204</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45204</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45204</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45204</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45204</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45204</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45204</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45204</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45204</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45204</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45204</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45204</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45204</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45204</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45204</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45204</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45204</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45204</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45204</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45204</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45204</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45204</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45204</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45204</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45204</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45204</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45204</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45204</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45204</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45204</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45204</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45204</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45204</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45204</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45204</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45204</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45204</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45204</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45204</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45204</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45204</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45204</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45204</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45204</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45204</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45204</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45204</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45204</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45204</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45204</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45204</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45204</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45204</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45204</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45204</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45204</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45204</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45204</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45204</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45204</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45204</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45204</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45204</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45204</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45204</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45204</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45204</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45204</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45204</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45204</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45204</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45204</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45204</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45204</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45204</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45204</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45204</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45204</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45204</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45204</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45204</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45204</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45204</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45204</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45204</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45204</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45204</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45204</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45204</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45204</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45204</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45204</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45204</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45204</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45204</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45204</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45204</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45204</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45204</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45204</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45204</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45204</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45204</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45204</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45204</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45204</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45204</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45204</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45204</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45204</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45204</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45204</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45204</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45204</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45204</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45204</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45204</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45204</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45204</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45204</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45204</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45204</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45204</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45204</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45204</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45204</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45204</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45204</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45204</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45204</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45204</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45204</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45204</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45204</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45204</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45204</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45204</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45204</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45204</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45204</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45204</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45204</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45204</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45204</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45204</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45204</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45204</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45204</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45204</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45204</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45204</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45204</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45204</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45204</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45204</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45204</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45204</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45204</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45204</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45204</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45204</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45204</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45204</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45204</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45204</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45204</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45204</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45204</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45204</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45204</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45204</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45204</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45204</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45204</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45204</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45204</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45204</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45204</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45204</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45204</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45204</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45204</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45204</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45204</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45204</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45204</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45204</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45204</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45204</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45204</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45204</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45204</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45204</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45204</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45204</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45204</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45204</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45204</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45204</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45204</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45204</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45204</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45204</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45204</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45204</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45204</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45204</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45204</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45204</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45204</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45204</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45204</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45204</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45204</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45204</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45204</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45204</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45204</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45204</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45204</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45204</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45204</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45204</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45204</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45204</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45204</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45204</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45204</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45204</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45204</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45204</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45204</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45204</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45204</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45204</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45204</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45204</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45204</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45204</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45204</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45204</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45204</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45204</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45204</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45204</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45204</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45204</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45204</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45204</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45204</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45204</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45204</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45204</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45204</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45204</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45204</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45204</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45204</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45204</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45204</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45204</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45204</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45204</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45204</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45204</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45204</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45204</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45204</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45204</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45204</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45204</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45204</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45204</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45204</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45204</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45204</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45204</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45204</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45204</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45204</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45204</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45204</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45204</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45204</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45204</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45204</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45204</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45204</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45204</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45204</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45204</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45204</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45204</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45204</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45204</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45204</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45204</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45204</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45204</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45204</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45204</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45204</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45204</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45204</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45204</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45204</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45204</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45204</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45204</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45204</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45204</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45204</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45204</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45204</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45204</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45204</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45204</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45204</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45204</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45204</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45204</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45204</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45204</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45204</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45204</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45204</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45204</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45204</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45204</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45204</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45204</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45204</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45204</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45204</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45204</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45204</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45204</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45204</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45204</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45204</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45204</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45204</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45204</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45204</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45204</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45204</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45204</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45204</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45204</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45204</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45204</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45204</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45204</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45204</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45204</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45204</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45204</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45204</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45204</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45204</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45204</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45204</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45204</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45204</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45204</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45204</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45204</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45204</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45204</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45204</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45204</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45204</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45204</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45204</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45204</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45204</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45204</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45204</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45204</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45204</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45204</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45204</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45204</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45204</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45204</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45204</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45204</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45204</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45204</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45204</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45204</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45204</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45204</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45204</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45204</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45204</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45204</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45204</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45204</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45204</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45204</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45204</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45204</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45204</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45204</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45204</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45204</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45204</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45204</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45204</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45204</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45204</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45204</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45204</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45204</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45204</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45204</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45204</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45204</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45204</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45204</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45204</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45204</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45204</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45204</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45204</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45204</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45204</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45204</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45204</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45204</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45204</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45204</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45204</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45204</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45204</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45204</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45204</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45204</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45204</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45204</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45204</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45204</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45204</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45204</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45204</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45204</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45204</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45204</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45204</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45204</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45204</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45204</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45204</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45204</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45204</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45204</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45204</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45204</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45204</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45204</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45204</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45204</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45204</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45204</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45204</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45204</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45204</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45204</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45204</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45204</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45204</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45204</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45204</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45204</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45204</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45204</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45204</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45204</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45204</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45204</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45204</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45204</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45204</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45204</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45204</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45204</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45204</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45204</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45204</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45204</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45204</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45204</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45204</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45204</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45204</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45204</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45204</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45204</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45204</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45204</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45204</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45204</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45204</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45204</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45204</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45204</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45204</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45204</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45204</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45204</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45204</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45204</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45204</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45204</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45204</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45204</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45204</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45204</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45204</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45204</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45204</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45204</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45204</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45204</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45204</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45204</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45204</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45204</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45204</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45204</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45204</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45204</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45204</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45204</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45204</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45204</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45204</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45204</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45204</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45204</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45204</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45204</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45204</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45204</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45204</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45204</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45204</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45204</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45204</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45204</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45204</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45204</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45204</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45204</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45204</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45204</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45204</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45204</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45204</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45204</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45204</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45204</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45204</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45204</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45204</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45204</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45204</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45204</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45204</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45204</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45204</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45204</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45204</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45204</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45204</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45204</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45204</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45204</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45204</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45204</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45204</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45204</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45204</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45204</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45204</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45204</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45204</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45204</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45204</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45204</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45204</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45204</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45204</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45204</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45204</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45204</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45204</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45204</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45204</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45204</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45204</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45204</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45204</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45204</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45204</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45204</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45204</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45204</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45204</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45204</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45204</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45204</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45204</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45204</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45204</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45204</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45204</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45204</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45204</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45204</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45204</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45204</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45204</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45204</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45204</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45204</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45204</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45204</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45204</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45204</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45204</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45204</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45204</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45204</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45204</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45204</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45204</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45204</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45204</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45204</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45204</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45204</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45204</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45204</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45204</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45204</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45204</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45204</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45204</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45204</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45204</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45204</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45204</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45204</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45204</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45204</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45204</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45204</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45204</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45204</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45204</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45204</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45204</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45204</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45204</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45204</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45204</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45204</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45204</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45204</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45204</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45204</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45204</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45204</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45204</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45204</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45204</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45204</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45204</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45204</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45204</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45204</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45204</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45204</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45204</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45204</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45204</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45204</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45204</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45204</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45204</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45204</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45204</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45204</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45204</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45204</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45204</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45204</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45204</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45204</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45204</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45204</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45204</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45204</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45204</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45204</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45204</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45204</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45204</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45204</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45204</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45204</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45204</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45204</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45204</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45204</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45204</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45204</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45204</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45204</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45204</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45204</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45204</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45204</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45204</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45204</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45204</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45204</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45204</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45204</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45204</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45204</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45204</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45204</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45204</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45204</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45204</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45204</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45204</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45204</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45204</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45204</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45204</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45204</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45204</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45204</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45204</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45204</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45204</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45204</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45204</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45204</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45204</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45204</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45204</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45204</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45204</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45204</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45204</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45204</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45204</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45204</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45204</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45204</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45204</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45204</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45204</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45204</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45204</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45204</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45204</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45204</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45204</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45204</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45204</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45204</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45204</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45204</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45204</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45204</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45204</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45204</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45204</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45204</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45204</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45204</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45204</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45204</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45204</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45204</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45204</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45204</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45204</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45204</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45204</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45204</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45204</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45204</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45204</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45204</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45204</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45204</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45204</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45204</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45204</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45204</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45204</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45204</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45204</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45204</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45204</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45204</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45204</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45204</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45204</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45204</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45204</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45204</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45204</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45204</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45204</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45204</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45204</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45204</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45204</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45204</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45204</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45204</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45204</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45204</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45204</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45204</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45204</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45204</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45204</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45204</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45204</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45204</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45204</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45204</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45204</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45204</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45204</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45204</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45204</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45204</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45204</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45204</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45204</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45204</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45204</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45204</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45204</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45204</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45204</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45204</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45204</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45204</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45204</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45204</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45204</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45204</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45204</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45204</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45204</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45204</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45204</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45204</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45204</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45204</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45204</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45204</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45204</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45204</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45204</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45204</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45204</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45204</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45204</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45204</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45204</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45204</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45204</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45204</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45204</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45204</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45204</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45204</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45204</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45204</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45204</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45204</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45204</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45204</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45204</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45204</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45204</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45204</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45204</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45204</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45204</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45204</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45204</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45204</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45204</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45204</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45204</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45204</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45204</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45204</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45204</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45204</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45204</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45204</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45204</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45204</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45204</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45204</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45204</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45204</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45204</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45204</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45204</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45204</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45204</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45204</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45204</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45204</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45204</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45204</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45204</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45204</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45204</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45204</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45204</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45204</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45204</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45204</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45204</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45204</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45204</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45204</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45204</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45204</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45204</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45204</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45204</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45204</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45204</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45204</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45204</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45204</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45204</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45204</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45204</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45204</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45204</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45204</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45204</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45204</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45204</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45204</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45204</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45204</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45204</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45204</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45204</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45204</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45204</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45204</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45204</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45204</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45204</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45204</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45204</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45204</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45204</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45204</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45204</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45204</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45204</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45204</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45204</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45204</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45204</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45204</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45204</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45204</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45204</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45204</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45204</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45204</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45204</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45204</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45204</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45204</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45204</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45204</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45204</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45204</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45204</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45204</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45204</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45204</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45204</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45204</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45204</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45204</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45204</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45204</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45204</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45204</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45204</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45204</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45204</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45204</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45204</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45204</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45204</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45204</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45204</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45204</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45204</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45204</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45204</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45204</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45204</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45204</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45204</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45204</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45204</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45204</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45204</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45204</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45204</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45204</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45204</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45204</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45204</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45204</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45204</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45204</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45204</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45204</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45204</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45204</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45204</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45204</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45204</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45204</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45204</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45204</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45204</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45204</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45204</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45204</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45204</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45204</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45204</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45204</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45204</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45204</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45204</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45204</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45204</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45204</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45204</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45204</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45204</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45204</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45204</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45204</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45204</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45204</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45204</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45204</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45204</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45204</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45204</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45204</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45204</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45204</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45204</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45204</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45204</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45204</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45204</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45204</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45204</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45204</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45204</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45204</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45204</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45204</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45204</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45204</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45204</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45204</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45204</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45204</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45204</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45204</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45204</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45204</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45204</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45204</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45204</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45204</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45204</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45204</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45204</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45204</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45204</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45204</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45204</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45204</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45204</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45204</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45204</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45204</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45204</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45204</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45204</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45204</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45204</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45204</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45204</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45204</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45204</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45204</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45204</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45204</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45204</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45204</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45204</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45204</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45204</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45204</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45204</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45204</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45204</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45204</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45204</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45204</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45204</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45204</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45204</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45204</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45204</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45204</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45204</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45204</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45204</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45204</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45204</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45204</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45204</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45204</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45204</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45204</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45204</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45204</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45204</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45204</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45204</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45204</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45204</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45204</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45204</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45204</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45204</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45204</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45204</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45204</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45204</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45204</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45204</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45204</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45204</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45204</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45204</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45204</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45204</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45204</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45204</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45204</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45204</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45204</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45204</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45204</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45204</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45204</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45204</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45204</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45204</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45204</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45204</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45204</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45204</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45204</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45204</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45204</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45204</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45204</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45204</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45204</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45204</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45204</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45204</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45204</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45204</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45204</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45204</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45204</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45204</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45204</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45204</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45204</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45204</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45204</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45204</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45204</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45204</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45204</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45204</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45204</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45204</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45204</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45204</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45204</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45204</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45204</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45204</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45204</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45204</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45204</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45204</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45204</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45204</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45204</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45204</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45204</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45204</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45204</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45204</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45204</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45204</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45204</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45204</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45204</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45204</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45204</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45204</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45204</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45204</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45204</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45204</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45204</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45204</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45204</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45204</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45204</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45204</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45204</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45204</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45204</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45204</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45204</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45204</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45204</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45204</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45204</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45204</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45204</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45204</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45204</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45204</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45204</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45204</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45204</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45204</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45204</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45204</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45204</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45204</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45204</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45204</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HYPERLINK("https://klasma.github.io/Logging_VINDELN/knärot/A 37948-2023.png", "A 37948-2023")</f>
        <v/>
      </c>
      <c r="V8355">
        <f>HYPERLINK("https://klasma.github.io/Logging_VINDELN/klagomål/A 37948-2023.docx", "A 37948-2023")</f>
        <v/>
      </c>
      <c r="W8355">
        <f>HYPERLINK("https://klasma.github.io/Logging_VINDELN/klagomålsmail/A 37948-2023.docx", "A 37948-2023")</f>
        <v/>
      </c>
      <c r="X8355">
        <f>HYPERLINK("https://klasma.github.io/Logging_VINDELN/tillsyn/A 37948-2023.docx", "A 37948-2023")</f>
        <v/>
      </c>
      <c r="Y8355">
        <f>HYPERLINK("https://klasma.github.io/Logging_VINDELN/tillsynsmail/A 37948-2023.docx", "A 37948-2023")</f>
        <v/>
      </c>
    </row>
    <row r="8356" ht="15" customHeight="1">
      <c r="A8356" t="inlineStr">
        <is>
          <t>A 38024-2023</t>
        </is>
      </c>
      <c r="B8356" s="1" t="n">
        <v>45159</v>
      </c>
      <c r="C8356" s="1" t="n">
        <v>45204</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45204</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45204</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45204</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45204</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45204</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45204</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45204</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45204</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45204</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45204</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45204</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45204</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45204</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45204</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45204</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45204</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45204</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45204</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45204</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45204</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45204</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45204</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45204</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45204</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45204</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45204</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45204</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45204</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45204</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45204</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45204</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45204</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45204</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45204</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45204</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45204</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45204</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45204</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45204</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45204</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45204</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45204</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45204</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45204</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45204</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45204</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45204</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45204</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45204</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45204</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45204</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45204</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45204</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45204</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45204</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45204</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45204</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45204</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45204</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45204</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45204</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45204</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45204</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45204</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45204</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45204</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45204</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45204</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45204</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45204</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45204</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45204</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45204</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45204</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45204</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45204</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45204</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45204</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45204</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45204</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45204</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45204</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45204</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45204</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45204</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45204</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45204</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45204</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45204</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45204</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45204</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45204</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45204</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45204</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45204</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45204</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45204</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45204</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45204</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45204</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45204</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45204</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45204</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45204</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45204</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45204</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45204</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45204</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45204</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45204</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45204</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45204</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45204</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45204</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45204</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45204</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45204</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45204</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45204</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45204</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45204</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45204</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45204</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45204</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45204</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45204</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45204</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45204</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45204</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45204</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45204</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45204</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45204</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45204</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45204</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45204</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45204</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45204</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45204</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45204</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45204</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45204</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45204</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45204</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45204</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45204</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45204</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45204</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45204</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45204</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45204</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45204</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45204</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45204</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45204</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45204</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45204</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45204</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45204</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45204</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45204</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45204</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45204</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45204</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45204</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45204</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45204</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45204</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45204</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45204</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45204</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45204</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45204</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45204</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45204</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45204</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45204</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45204</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45204</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45204</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45204</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45204</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45204</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45204</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45204</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45204</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45204</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45204</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45204</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45204</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45204</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45204</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45204</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45204</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45204</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45204</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45204</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45204</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45204</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45204</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45204</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45204</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45204</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45204</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45204</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45204</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45204</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45204</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45204</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45204</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45204</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45204</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45204</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45204</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45204</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45204</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45204</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45204</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45204</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45204</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45204</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45204</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45204</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c r="A8580" t="inlineStr">
        <is>
          <t>A 47593-2023</t>
        </is>
      </c>
      <c r="B8580" s="1" t="n">
        <v>45203</v>
      </c>
      <c r="C8580" s="1" t="n">
        <v>45204</v>
      </c>
      <c r="D8580" t="inlineStr">
        <is>
          <t>VÄSTERBOTTENS LÄN</t>
        </is>
      </c>
      <c r="E8580" t="inlineStr">
        <is>
          <t>MALÅ</t>
        </is>
      </c>
      <c r="F8580" t="inlineStr">
        <is>
          <t>Sveaskog</t>
        </is>
      </c>
      <c r="G8580" t="n">
        <v>23.1</v>
      </c>
      <c r="H8580" t="n">
        <v>0</v>
      </c>
      <c r="I8580" t="n">
        <v>0</v>
      </c>
      <c r="J8580" t="n">
        <v>0</v>
      </c>
      <c r="K8580" t="n">
        <v>0</v>
      </c>
      <c r="L8580" t="n">
        <v>0</v>
      </c>
      <c r="M8580" t="n">
        <v>0</v>
      </c>
      <c r="N8580" t="n">
        <v>0</v>
      </c>
      <c r="O8580" t="n">
        <v>0</v>
      </c>
      <c r="P8580" t="n">
        <v>0</v>
      </c>
      <c r="Q8580" t="n">
        <v>0</v>
      </c>
      <c r="R85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2023-10-05T07:13:14Z</dcterms:created>
  <dcterms:modified xmlns:dcterms="http://purl.org/dc/terms/" xmlns:xsi="http://www.w3.org/2001/XMLSchema-instance" xsi:type="dcterms:W3CDTF">2023-10-05T07:13:18Z</dcterms:modified>
</cp:coreProperties>
</file>