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HYPERLINK("https://klasma.github.io/Logging_2283/karta/A 43074-2021 karta.png", "A 43074-2021")</f>
        <v/>
      </c>
      <c r="U2">
        <f>HYPERLINK("https://klasma.github.io/Logging_2283/knärot/A 43074-2021 knärot.png", "A 43074-2021")</f>
        <v/>
      </c>
      <c r="V2">
        <f>HYPERLINK("https://klasma.github.io/Logging_2283/klagomål/A 43074-2021 klagomål.docx", "A 43074-2021")</f>
        <v/>
      </c>
      <c r="W2">
        <f>HYPERLINK("https://klasma.github.io/Logging_2283/klagomålsmail/A 43074-2021 klagomålsmail.docx", "A 43074-2021")</f>
        <v/>
      </c>
      <c r="X2">
        <f>HYPERLINK("https://klasma.github.io/Logging_2283/tillsyn/A 43074-2021 tillsyn.docx", "A 43074-2021")</f>
        <v/>
      </c>
      <c r="Y2">
        <f>HYPERLINK("https://klasma.github.io/Logging_2283/tillsynsmail/A 43074-2021 tillsynsmail.docx", "A 43074-2021")</f>
        <v/>
      </c>
    </row>
    <row r="3" ht="15" customHeight="1">
      <c r="A3" t="inlineStr">
        <is>
          <t>A 67861-2019</t>
        </is>
      </c>
      <c r="B3" s="1" t="n">
        <v>43816</v>
      </c>
      <c r="C3" s="1" t="n">
        <v>45212</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HYPERLINK("https://klasma.github.io/Logging_2282/karta/A 67861-2019 karta.png", "A 67861-2019")</f>
        <v/>
      </c>
      <c r="V3">
        <f>HYPERLINK("https://klasma.github.io/Logging_2282/klagomål/A 67861-2019 klagomål.docx", "A 67861-2019")</f>
        <v/>
      </c>
      <c r="W3">
        <f>HYPERLINK("https://klasma.github.io/Logging_2282/klagomålsmail/A 67861-2019 klagomålsmail.docx", "A 67861-2019")</f>
        <v/>
      </c>
      <c r="X3">
        <f>HYPERLINK("https://klasma.github.io/Logging_2282/tillsyn/A 67861-2019 tillsyn.docx", "A 67861-2019")</f>
        <v/>
      </c>
      <c r="Y3">
        <f>HYPERLINK("https://klasma.github.io/Logging_2282/tillsynsmail/A 67861-2019 tillsynsmail.docx", "A 67861-2019")</f>
        <v/>
      </c>
    </row>
    <row r="4" ht="15" customHeight="1">
      <c r="A4" t="inlineStr">
        <is>
          <t>A 28854-2019</t>
        </is>
      </c>
      <c r="B4" s="1" t="n">
        <v>43627</v>
      </c>
      <c r="C4" s="1" t="n">
        <v>45212</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HYPERLINK("https://klasma.github.io/Logging_2260/karta/A 28854-2019 karta.png", "A 28854-2019")</f>
        <v/>
      </c>
      <c r="U4">
        <f>HYPERLINK("https://klasma.github.io/Logging_2260/knärot/A 28854-2019 knärot.png", "A 28854-2019")</f>
        <v/>
      </c>
      <c r="V4">
        <f>HYPERLINK("https://klasma.github.io/Logging_2260/klagomål/A 28854-2019 klagomål.docx", "A 28854-2019")</f>
        <v/>
      </c>
      <c r="W4">
        <f>HYPERLINK("https://klasma.github.io/Logging_2260/klagomålsmail/A 28854-2019 klagomålsmail.docx", "A 28854-2019")</f>
        <v/>
      </c>
      <c r="X4">
        <f>HYPERLINK("https://klasma.github.io/Logging_2260/tillsyn/A 28854-2019 tillsyn.docx", "A 28854-2019")</f>
        <v/>
      </c>
      <c r="Y4">
        <f>HYPERLINK("https://klasma.github.io/Logging_2260/tillsynsmail/A 28854-2019 tillsynsmail.docx", "A 28854-2019")</f>
        <v/>
      </c>
    </row>
    <row r="5" ht="15" customHeight="1">
      <c r="A5" t="inlineStr">
        <is>
          <t>A 27212-2019</t>
        </is>
      </c>
      <c r="B5" s="1" t="n">
        <v>43614</v>
      </c>
      <c r="C5" s="1" t="n">
        <v>45212</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HYPERLINK("https://klasma.github.io/Logging_2260/karta/A 27212-2019 karta.png", "A 27212-2019")</f>
        <v/>
      </c>
      <c r="U5">
        <f>HYPERLINK("https://klasma.github.io/Logging_2260/knärot/A 27212-2019 knärot.png", "A 27212-2019")</f>
        <v/>
      </c>
      <c r="V5">
        <f>HYPERLINK("https://klasma.github.io/Logging_2260/klagomål/A 27212-2019 klagomål.docx", "A 27212-2019")</f>
        <v/>
      </c>
      <c r="W5">
        <f>HYPERLINK("https://klasma.github.io/Logging_2260/klagomålsmail/A 27212-2019 klagomålsmail.docx", "A 27212-2019")</f>
        <v/>
      </c>
      <c r="X5">
        <f>HYPERLINK("https://klasma.github.io/Logging_2260/tillsyn/A 27212-2019 tillsyn.docx", "A 27212-2019")</f>
        <v/>
      </c>
      <c r="Y5">
        <f>HYPERLINK("https://klasma.github.io/Logging_2260/tillsynsmail/A 27212-2019 tillsynsmail.docx", "A 27212-2019")</f>
        <v/>
      </c>
    </row>
    <row r="6" ht="15" customHeight="1">
      <c r="A6" t="inlineStr">
        <is>
          <t>A 23669-2020</t>
        </is>
      </c>
      <c r="B6" s="1" t="n">
        <v>43969</v>
      </c>
      <c r="C6" s="1" t="n">
        <v>45212</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HYPERLINK("https://klasma.github.io/Logging_2262/karta/A 23669-2020 karta.png", "A 23669-2020")</f>
        <v/>
      </c>
      <c r="V6">
        <f>HYPERLINK("https://klasma.github.io/Logging_2262/klagomål/A 23669-2020 klagomål.docx", "A 23669-2020")</f>
        <v/>
      </c>
      <c r="W6">
        <f>HYPERLINK("https://klasma.github.io/Logging_2262/klagomålsmail/A 23669-2020 klagomålsmail.docx", "A 23669-2020")</f>
        <v/>
      </c>
      <c r="X6">
        <f>HYPERLINK("https://klasma.github.io/Logging_2262/tillsyn/A 23669-2020 tillsyn.docx", "A 23669-2020")</f>
        <v/>
      </c>
      <c r="Y6">
        <f>HYPERLINK("https://klasma.github.io/Logging_2262/tillsynsmail/A 23669-2020 tillsynsmail.docx", "A 23669-2020")</f>
        <v/>
      </c>
    </row>
    <row r="7" ht="15" customHeight="1">
      <c r="A7" t="inlineStr">
        <is>
          <t>A 34105-2019</t>
        </is>
      </c>
      <c r="B7" s="1" t="n">
        <v>43654</v>
      </c>
      <c r="C7" s="1" t="n">
        <v>45212</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HYPERLINK("https://klasma.github.io/Logging_2260/karta/A 34105-2019 karta.png", "A 34105-2019")</f>
        <v/>
      </c>
      <c r="U7">
        <f>HYPERLINK("https://klasma.github.io/Logging_2260/knärot/A 34105-2019 knärot.png", "A 34105-2019")</f>
        <v/>
      </c>
      <c r="V7">
        <f>HYPERLINK("https://klasma.github.io/Logging_2260/klagomål/A 34105-2019 klagomål.docx", "A 34105-2019")</f>
        <v/>
      </c>
      <c r="W7">
        <f>HYPERLINK("https://klasma.github.io/Logging_2260/klagomålsmail/A 34105-2019 klagomålsmail.docx", "A 34105-2019")</f>
        <v/>
      </c>
      <c r="X7">
        <f>HYPERLINK("https://klasma.github.io/Logging_2260/tillsyn/A 34105-2019 tillsyn.docx", "A 34105-2019")</f>
        <v/>
      </c>
      <c r="Y7">
        <f>HYPERLINK("https://klasma.github.io/Logging_2260/tillsynsmail/A 34105-2019 tillsynsmail.docx", "A 34105-2019")</f>
        <v/>
      </c>
    </row>
    <row r="8" ht="15" customHeight="1">
      <c r="A8" t="inlineStr">
        <is>
          <t>A 40639-2022</t>
        </is>
      </c>
      <c r="B8" s="1" t="n">
        <v>44824</v>
      </c>
      <c r="C8" s="1" t="n">
        <v>45212</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HYPERLINK("https://klasma.github.io/Logging_2283/karta/A 40639-2022 karta.png", "A 40639-2022")</f>
        <v/>
      </c>
      <c r="U8">
        <f>HYPERLINK("https://klasma.github.io/Logging_2283/knärot/A 40639-2022 knärot.png", "A 40639-2022")</f>
        <v/>
      </c>
      <c r="V8">
        <f>HYPERLINK("https://klasma.github.io/Logging_2283/klagomål/A 40639-2022 klagomål.docx", "A 40639-2022")</f>
        <v/>
      </c>
      <c r="W8">
        <f>HYPERLINK("https://klasma.github.io/Logging_2283/klagomålsmail/A 40639-2022 klagomålsmail.docx", "A 40639-2022")</f>
        <v/>
      </c>
      <c r="X8">
        <f>HYPERLINK("https://klasma.github.io/Logging_2283/tillsyn/A 40639-2022 tillsyn.docx", "A 40639-2022")</f>
        <v/>
      </c>
      <c r="Y8">
        <f>HYPERLINK("https://klasma.github.io/Logging_2283/tillsynsmail/A 40639-2022 tillsynsmail.docx", "A 40639-2022")</f>
        <v/>
      </c>
    </row>
    <row r="9" ht="15" customHeight="1">
      <c r="A9" t="inlineStr">
        <is>
          <t>A 34104-2019</t>
        </is>
      </c>
      <c r="B9" s="1" t="n">
        <v>43654</v>
      </c>
      <c r="C9" s="1" t="n">
        <v>45212</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HYPERLINK("https://klasma.github.io/Logging_2260/karta/A 34104-2019 karta.png", "A 34104-2019")</f>
        <v/>
      </c>
      <c r="V9">
        <f>HYPERLINK("https://klasma.github.io/Logging_2260/klagomål/A 34104-2019 klagomål.docx", "A 34104-2019")</f>
        <v/>
      </c>
      <c r="W9">
        <f>HYPERLINK("https://klasma.github.io/Logging_2260/klagomålsmail/A 34104-2019 klagomålsmail.docx", "A 34104-2019")</f>
        <v/>
      </c>
      <c r="X9">
        <f>HYPERLINK("https://klasma.github.io/Logging_2260/tillsyn/A 34104-2019 tillsyn.docx", "A 34104-2019")</f>
        <v/>
      </c>
      <c r="Y9">
        <f>HYPERLINK("https://klasma.github.io/Logging_2260/tillsynsmail/A 34104-2019 tillsynsmail.docx", "A 34104-2019")</f>
        <v/>
      </c>
    </row>
    <row r="10" ht="15" customHeight="1">
      <c r="A10" t="inlineStr">
        <is>
          <t>A 53495-2020</t>
        </is>
      </c>
      <c r="B10" s="1" t="n">
        <v>44123</v>
      </c>
      <c r="C10" s="1" t="n">
        <v>45212</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HYPERLINK("https://klasma.github.io/Logging_2281/karta/A 53495-2020 karta.png", "A 53495-2020")</f>
        <v/>
      </c>
      <c r="U10">
        <f>HYPERLINK("https://klasma.github.io/Logging_2281/knärot/A 53495-2020 knärot.png", "A 53495-2020")</f>
        <v/>
      </c>
      <c r="V10">
        <f>HYPERLINK("https://klasma.github.io/Logging_2281/klagomål/A 53495-2020 klagomål.docx", "A 53495-2020")</f>
        <v/>
      </c>
      <c r="W10">
        <f>HYPERLINK("https://klasma.github.io/Logging_2281/klagomålsmail/A 53495-2020 klagomålsmail.docx", "A 53495-2020")</f>
        <v/>
      </c>
      <c r="X10">
        <f>HYPERLINK("https://klasma.github.io/Logging_2281/tillsyn/A 53495-2020 tillsyn.docx", "A 53495-2020")</f>
        <v/>
      </c>
      <c r="Y10">
        <f>HYPERLINK("https://klasma.github.io/Logging_2281/tillsynsmail/A 53495-2020 tillsynsmail.docx", "A 53495-2020")</f>
        <v/>
      </c>
    </row>
    <row r="11" ht="15" customHeight="1">
      <c r="A11" t="inlineStr">
        <is>
          <t>A 48151-2019</t>
        </is>
      </c>
      <c r="B11" s="1" t="n">
        <v>43726</v>
      </c>
      <c r="C11" s="1" t="n">
        <v>45212</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HYPERLINK("https://klasma.github.io/Logging_2284/karta/A 48151-2019 karta.png", "A 48151-2019")</f>
        <v/>
      </c>
      <c r="U11">
        <f>HYPERLINK("https://klasma.github.io/Logging_2284/knärot/A 48151-2019 knärot.png", "A 48151-2019")</f>
        <v/>
      </c>
      <c r="V11">
        <f>HYPERLINK("https://klasma.github.io/Logging_2284/klagomål/A 48151-2019 klagomål.docx", "A 48151-2019")</f>
        <v/>
      </c>
      <c r="W11">
        <f>HYPERLINK("https://klasma.github.io/Logging_2284/klagomålsmail/A 48151-2019 klagomålsmail.docx", "A 48151-2019")</f>
        <v/>
      </c>
      <c r="X11">
        <f>HYPERLINK("https://klasma.github.io/Logging_2284/tillsyn/A 48151-2019 tillsyn.docx", "A 48151-2019")</f>
        <v/>
      </c>
      <c r="Y11">
        <f>HYPERLINK("https://klasma.github.io/Logging_2284/tillsynsmail/A 48151-2019 tillsynsmail.docx", "A 48151-2019")</f>
        <v/>
      </c>
    </row>
    <row r="12" ht="15" customHeight="1">
      <c r="A12" t="inlineStr">
        <is>
          <t>A 65633-2020</t>
        </is>
      </c>
      <c r="B12" s="1" t="n">
        <v>44173</v>
      </c>
      <c r="C12" s="1" t="n">
        <v>45212</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HYPERLINK("https://klasma.github.io/Logging_2281/karta/A 65633-2020 karta.png", "A 65633-2020")</f>
        <v/>
      </c>
      <c r="U12">
        <f>HYPERLINK("https://klasma.github.io/Logging_2281/knärot/A 65633-2020 knärot.png", "A 65633-2020")</f>
        <v/>
      </c>
      <c r="V12">
        <f>HYPERLINK("https://klasma.github.io/Logging_2281/klagomål/A 65633-2020 klagomål.docx", "A 65633-2020")</f>
        <v/>
      </c>
      <c r="W12">
        <f>HYPERLINK("https://klasma.github.io/Logging_2281/klagomålsmail/A 65633-2020 klagomålsmail.docx", "A 65633-2020")</f>
        <v/>
      </c>
      <c r="X12">
        <f>HYPERLINK("https://klasma.github.io/Logging_2281/tillsyn/A 65633-2020 tillsyn.docx", "A 65633-2020")</f>
        <v/>
      </c>
      <c r="Y12">
        <f>HYPERLINK("https://klasma.github.io/Logging_2281/tillsynsmail/A 65633-2020 tillsynsmail.docx", "A 65633-2020")</f>
        <v/>
      </c>
    </row>
    <row r="13" ht="15" customHeight="1">
      <c r="A13" t="inlineStr">
        <is>
          <t>A 13495-2023</t>
        </is>
      </c>
      <c r="B13" s="1" t="n">
        <v>45005</v>
      </c>
      <c r="C13" s="1" t="n">
        <v>45212</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HYPERLINK("https://klasma.github.io/Logging_2260/karta/A 13495-2023 karta.png", "A 13495-2023")</f>
        <v/>
      </c>
      <c r="U13">
        <f>HYPERLINK("https://klasma.github.io/Logging_2260/knärot/A 13495-2023 knärot.png", "A 13495-2023")</f>
        <v/>
      </c>
      <c r="V13">
        <f>HYPERLINK("https://klasma.github.io/Logging_2260/klagomål/A 13495-2023 klagomål.docx", "A 13495-2023")</f>
        <v/>
      </c>
      <c r="W13">
        <f>HYPERLINK("https://klasma.github.io/Logging_2260/klagomålsmail/A 13495-2023 klagomålsmail.docx", "A 13495-2023")</f>
        <v/>
      </c>
      <c r="X13">
        <f>HYPERLINK("https://klasma.github.io/Logging_2260/tillsyn/A 13495-2023 tillsyn.docx", "A 13495-2023")</f>
        <v/>
      </c>
      <c r="Y13">
        <f>HYPERLINK("https://klasma.github.io/Logging_2260/tillsynsmail/A 13495-2023 tillsynsmail.docx", "A 13495-2023")</f>
        <v/>
      </c>
    </row>
    <row r="14" ht="15" customHeight="1">
      <c r="A14" t="inlineStr">
        <is>
          <t>A 19867-2023</t>
        </is>
      </c>
      <c r="B14" s="1" t="n">
        <v>45053</v>
      </c>
      <c r="C14" s="1" t="n">
        <v>45212</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HYPERLINK("https://klasma.github.io/Logging_2283/karta/A 19867-2023 karta.png", "A 19867-2023")</f>
        <v/>
      </c>
      <c r="U14">
        <f>HYPERLINK("https://klasma.github.io/Logging_2283/knärot/A 19867-2023 knärot.png", "A 19867-2023")</f>
        <v/>
      </c>
      <c r="V14">
        <f>HYPERLINK("https://klasma.github.io/Logging_2283/klagomål/A 19867-2023 klagomål.docx", "A 19867-2023")</f>
        <v/>
      </c>
      <c r="W14">
        <f>HYPERLINK("https://klasma.github.io/Logging_2283/klagomålsmail/A 19867-2023 klagomålsmail.docx", "A 19867-2023")</f>
        <v/>
      </c>
      <c r="X14">
        <f>HYPERLINK("https://klasma.github.io/Logging_2283/tillsyn/A 19867-2023 tillsyn.docx", "A 19867-2023")</f>
        <v/>
      </c>
      <c r="Y14">
        <f>HYPERLINK("https://klasma.github.io/Logging_2283/tillsynsmail/A 19867-2023 tillsynsmail.docx", "A 19867-2023")</f>
        <v/>
      </c>
    </row>
    <row r="15" ht="15" customHeight="1">
      <c r="A15" t="inlineStr">
        <is>
          <t>A 34481-2023</t>
        </is>
      </c>
      <c r="B15" s="1" t="n">
        <v>45139</v>
      </c>
      <c r="C15" s="1" t="n">
        <v>45212</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HYPERLINK("https://klasma.github.io/Logging_2260/karta/A 34481-2023 karta.png", "A 34481-2023")</f>
        <v/>
      </c>
      <c r="U15">
        <f>HYPERLINK("https://klasma.github.io/Logging_2260/knärot/A 34481-2023 knärot.png", "A 34481-2023")</f>
        <v/>
      </c>
      <c r="V15">
        <f>HYPERLINK("https://klasma.github.io/Logging_2260/klagomål/A 34481-2023 klagomål.docx", "A 34481-2023")</f>
        <v/>
      </c>
      <c r="W15">
        <f>HYPERLINK("https://klasma.github.io/Logging_2260/klagomålsmail/A 34481-2023 klagomålsmail.docx", "A 34481-2023")</f>
        <v/>
      </c>
      <c r="X15">
        <f>HYPERLINK("https://klasma.github.io/Logging_2260/tillsyn/A 34481-2023 tillsyn.docx", "A 34481-2023")</f>
        <v/>
      </c>
      <c r="Y15">
        <f>HYPERLINK("https://klasma.github.io/Logging_2260/tillsynsmail/A 34481-2023 tillsynsmail.docx", "A 34481-2023")</f>
        <v/>
      </c>
    </row>
    <row r="16" ht="15" customHeight="1">
      <c r="A16" t="inlineStr">
        <is>
          <t>A 4375-2022</t>
        </is>
      </c>
      <c r="B16" s="1" t="n">
        <v>44589</v>
      </c>
      <c r="C16" s="1" t="n">
        <v>45212</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HYPERLINK("https://klasma.github.io/Logging_2283/karta/A 4375-2022 karta.png", "A 4375-2022")</f>
        <v/>
      </c>
      <c r="V16">
        <f>HYPERLINK("https://klasma.github.io/Logging_2283/klagomål/A 4375-2022 klagomål.docx", "A 4375-2022")</f>
        <v/>
      </c>
      <c r="W16">
        <f>HYPERLINK("https://klasma.github.io/Logging_2283/klagomålsmail/A 4375-2022 klagomålsmail.docx", "A 4375-2022")</f>
        <v/>
      </c>
      <c r="X16">
        <f>HYPERLINK("https://klasma.github.io/Logging_2283/tillsyn/A 4375-2022 tillsyn.docx", "A 4375-2022")</f>
        <v/>
      </c>
      <c r="Y16">
        <f>HYPERLINK("https://klasma.github.io/Logging_2283/tillsynsmail/A 4375-2022 tillsynsmail.docx", "A 4375-2022")</f>
        <v/>
      </c>
    </row>
    <row r="17" ht="15" customHeight="1">
      <c r="A17" t="inlineStr">
        <is>
          <t>A 2365-2023</t>
        </is>
      </c>
      <c r="B17" s="1" t="n">
        <v>44942</v>
      </c>
      <c r="C17" s="1" t="n">
        <v>45212</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HYPERLINK("https://klasma.github.io/Logging_2283/karta/A 2365-2023 karta.png", "A 2365-2023")</f>
        <v/>
      </c>
      <c r="V17">
        <f>HYPERLINK("https://klasma.github.io/Logging_2283/klagomål/A 2365-2023 klagomål.docx", "A 2365-2023")</f>
        <v/>
      </c>
      <c r="W17">
        <f>HYPERLINK("https://klasma.github.io/Logging_2283/klagomålsmail/A 2365-2023 klagomålsmail.docx", "A 2365-2023")</f>
        <v/>
      </c>
      <c r="X17">
        <f>HYPERLINK("https://klasma.github.io/Logging_2283/tillsyn/A 2365-2023 tillsyn.docx", "A 2365-2023")</f>
        <v/>
      </c>
      <c r="Y17">
        <f>HYPERLINK("https://klasma.github.io/Logging_2283/tillsynsmail/A 2365-2023 tillsynsmail.docx", "A 2365-2023")</f>
        <v/>
      </c>
    </row>
    <row r="18" ht="15" customHeight="1">
      <c r="A18" t="inlineStr">
        <is>
          <t>A 50984-2020</t>
        </is>
      </c>
      <c r="B18" s="1" t="n">
        <v>44111</v>
      </c>
      <c r="C18" s="1" t="n">
        <v>45212</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HYPERLINK("https://klasma.github.io/Logging_2280/karta/A 50984-2020 karta.png", "A 50984-2020")</f>
        <v/>
      </c>
      <c r="U18">
        <f>HYPERLINK("https://klasma.github.io/Logging_2280/knärot/A 50984-2020 knärot.png", "A 50984-2020")</f>
        <v/>
      </c>
      <c r="V18">
        <f>HYPERLINK("https://klasma.github.io/Logging_2280/klagomål/A 50984-2020 klagomål.docx", "A 50984-2020")</f>
        <v/>
      </c>
      <c r="W18">
        <f>HYPERLINK("https://klasma.github.io/Logging_2280/klagomålsmail/A 50984-2020 klagomålsmail.docx", "A 50984-2020")</f>
        <v/>
      </c>
      <c r="X18">
        <f>HYPERLINK("https://klasma.github.io/Logging_2280/tillsyn/A 50984-2020 tillsyn.docx", "A 50984-2020")</f>
        <v/>
      </c>
      <c r="Y18">
        <f>HYPERLINK("https://klasma.github.io/Logging_2280/tillsynsmail/A 50984-2020 tillsynsmail.docx", "A 50984-2020")</f>
        <v/>
      </c>
    </row>
    <row r="19" ht="15" customHeight="1">
      <c r="A19" t="inlineStr">
        <is>
          <t>A 34684-2020</t>
        </is>
      </c>
      <c r="B19" s="1" t="n">
        <v>44035</v>
      </c>
      <c r="C19" s="1" t="n">
        <v>45212</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HYPERLINK("https://klasma.github.io/Logging_2281/karta/A 34684-2020 karta.png", "A 34684-2020")</f>
        <v/>
      </c>
      <c r="V19">
        <f>HYPERLINK("https://klasma.github.io/Logging_2281/klagomål/A 34684-2020 klagomål.docx", "A 34684-2020")</f>
        <v/>
      </c>
      <c r="W19">
        <f>HYPERLINK("https://klasma.github.io/Logging_2281/klagomålsmail/A 34684-2020 klagomålsmail.docx", "A 34684-2020")</f>
        <v/>
      </c>
      <c r="X19">
        <f>HYPERLINK("https://klasma.github.io/Logging_2281/tillsyn/A 34684-2020 tillsyn.docx", "A 34684-2020")</f>
        <v/>
      </c>
      <c r="Y19">
        <f>HYPERLINK("https://klasma.github.io/Logging_2281/tillsynsmail/A 34684-2020 tillsynsmail.docx", "A 34684-2020")</f>
        <v/>
      </c>
    </row>
    <row r="20" ht="15" customHeight="1">
      <c r="A20" t="inlineStr">
        <is>
          <t>A 11492-2022</t>
        </is>
      </c>
      <c r="B20" s="1" t="n">
        <v>44630</v>
      </c>
      <c r="C20" s="1" t="n">
        <v>45212</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HYPERLINK("https://klasma.github.io/Logging_2283/karta/A 11492-2022 karta.png", "A 11492-2022")</f>
        <v/>
      </c>
      <c r="U20">
        <f>HYPERLINK("https://klasma.github.io/Logging_2283/knärot/A 11492-2022 knärot.png", "A 11492-2022")</f>
        <v/>
      </c>
      <c r="V20">
        <f>HYPERLINK("https://klasma.github.io/Logging_2283/klagomål/A 11492-2022 klagomål.docx", "A 11492-2022")</f>
        <v/>
      </c>
      <c r="W20">
        <f>HYPERLINK("https://klasma.github.io/Logging_2283/klagomålsmail/A 11492-2022 klagomålsmail.docx", "A 11492-2022")</f>
        <v/>
      </c>
      <c r="X20">
        <f>HYPERLINK("https://klasma.github.io/Logging_2283/tillsyn/A 11492-2022 tillsyn.docx", "A 11492-2022")</f>
        <v/>
      </c>
      <c r="Y20">
        <f>HYPERLINK("https://klasma.github.io/Logging_2283/tillsynsmail/A 11492-2022 tillsynsmail.docx", "A 11492-2022")</f>
        <v/>
      </c>
    </row>
    <row r="21" ht="15" customHeight="1">
      <c r="A21" t="inlineStr">
        <is>
          <t>A 59323-2021</t>
        </is>
      </c>
      <c r="B21" s="1" t="n">
        <v>44490</v>
      </c>
      <c r="C21" s="1" t="n">
        <v>45212</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HYPERLINK("https://klasma.github.io/Logging_2283/karta/A 59323-2021 karta.png", "A 59323-2021")</f>
        <v/>
      </c>
      <c r="U21">
        <f>HYPERLINK("https://klasma.github.io/Logging_2283/knärot/A 59323-2021 knärot.png", "A 59323-2021")</f>
        <v/>
      </c>
      <c r="V21">
        <f>HYPERLINK("https://klasma.github.io/Logging_2283/klagomål/A 59323-2021 klagomål.docx", "A 59323-2021")</f>
        <v/>
      </c>
      <c r="W21">
        <f>HYPERLINK("https://klasma.github.io/Logging_2283/klagomålsmail/A 59323-2021 klagomålsmail.docx", "A 59323-2021")</f>
        <v/>
      </c>
      <c r="X21">
        <f>HYPERLINK("https://klasma.github.io/Logging_2283/tillsyn/A 59323-2021 tillsyn.docx", "A 59323-2021")</f>
        <v/>
      </c>
      <c r="Y21">
        <f>HYPERLINK("https://klasma.github.io/Logging_2283/tillsynsmail/A 59323-2021 tillsynsmail.docx", "A 59323-2021")</f>
        <v/>
      </c>
    </row>
    <row r="22" ht="15" customHeight="1">
      <c r="A22" t="inlineStr">
        <is>
          <t>A 16158-2021</t>
        </is>
      </c>
      <c r="B22" s="1" t="n">
        <v>44287</v>
      </c>
      <c r="C22" s="1" t="n">
        <v>45212</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HYPERLINK("https://klasma.github.io/Logging_2282/karta/A 16158-2021 karta.png", "A 16158-2021")</f>
        <v/>
      </c>
      <c r="U22">
        <f>HYPERLINK("https://klasma.github.io/Logging_2282/knärot/A 16158-2021 knärot.png", "A 16158-2021")</f>
        <v/>
      </c>
      <c r="V22">
        <f>HYPERLINK("https://klasma.github.io/Logging_2282/klagomål/A 16158-2021 klagomål.docx", "A 16158-2021")</f>
        <v/>
      </c>
      <c r="W22">
        <f>HYPERLINK("https://klasma.github.io/Logging_2282/klagomålsmail/A 16158-2021 klagomålsmail.docx", "A 16158-2021")</f>
        <v/>
      </c>
      <c r="X22">
        <f>HYPERLINK("https://klasma.github.io/Logging_2282/tillsyn/A 16158-2021 tillsyn.docx", "A 16158-2021")</f>
        <v/>
      </c>
      <c r="Y22">
        <f>HYPERLINK("https://klasma.github.io/Logging_2282/tillsynsmail/A 16158-2021 tillsynsmail.docx", "A 16158-2021")</f>
        <v/>
      </c>
    </row>
    <row r="23" ht="15" customHeight="1">
      <c r="A23" t="inlineStr">
        <is>
          <t>A 46329-2022</t>
        </is>
      </c>
      <c r="B23" s="1" t="n">
        <v>44847</v>
      </c>
      <c r="C23" s="1" t="n">
        <v>45212</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HYPERLINK("https://klasma.github.io/Logging_2260/karta/A 46329-2022 karta.png", "A 46329-2022")</f>
        <v/>
      </c>
      <c r="U23">
        <f>HYPERLINK("https://klasma.github.io/Logging_2260/knärot/A 46329-2022 knärot.png", "A 46329-2022")</f>
        <v/>
      </c>
      <c r="V23">
        <f>HYPERLINK("https://klasma.github.io/Logging_2260/klagomål/A 46329-2022 klagomål.docx", "A 46329-2022")</f>
        <v/>
      </c>
      <c r="W23">
        <f>HYPERLINK("https://klasma.github.io/Logging_2260/klagomålsmail/A 46329-2022 klagomålsmail.docx", "A 46329-2022")</f>
        <v/>
      </c>
      <c r="X23">
        <f>HYPERLINK("https://klasma.github.io/Logging_2260/tillsyn/A 46329-2022 tillsyn.docx", "A 46329-2022")</f>
        <v/>
      </c>
      <c r="Y23">
        <f>HYPERLINK("https://klasma.github.io/Logging_2260/tillsynsmail/A 46329-2022 tillsynsmail.docx", "A 46329-2022")</f>
        <v/>
      </c>
    </row>
    <row r="24" ht="15" customHeight="1">
      <c r="A24" t="inlineStr">
        <is>
          <t>A 18055-2023</t>
        </is>
      </c>
      <c r="B24" s="1" t="n">
        <v>45040</v>
      </c>
      <c r="C24" s="1" t="n">
        <v>45212</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HYPERLINK("https://klasma.github.io/Logging_2283/karta/A 18055-2023 karta.png", "A 18055-2023")</f>
        <v/>
      </c>
      <c r="U24">
        <f>HYPERLINK("https://klasma.github.io/Logging_2283/knärot/A 18055-2023 knärot.png", "A 18055-2023")</f>
        <v/>
      </c>
      <c r="V24">
        <f>HYPERLINK("https://klasma.github.io/Logging_2283/klagomål/A 18055-2023 klagomål.docx", "A 18055-2023")</f>
        <v/>
      </c>
      <c r="W24">
        <f>HYPERLINK("https://klasma.github.io/Logging_2283/klagomålsmail/A 18055-2023 klagomålsmail.docx", "A 18055-2023")</f>
        <v/>
      </c>
      <c r="X24">
        <f>HYPERLINK("https://klasma.github.io/Logging_2283/tillsyn/A 18055-2023 tillsyn.docx", "A 18055-2023")</f>
        <v/>
      </c>
      <c r="Y24">
        <f>HYPERLINK("https://klasma.github.io/Logging_2283/tillsynsmail/A 18055-2023 tillsynsmail.docx", "A 18055-2023")</f>
        <v/>
      </c>
    </row>
    <row r="25" ht="15" customHeight="1">
      <c r="A25" t="inlineStr">
        <is>
          <t>A 38318-2019</t>
        </is>
      </c>
      <c r="B25" s="1" t="n">
        <v>43684</v>
      </c>
      <c r="C25" s="1" t="n">
        <v>45212</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HYPERLINK("https://klasma.github.io/Logging_2260/karta/A 38318-2019 karta.png", "A 38318-2019")</f>
        <v/>
      </c>
      <c r="V25">
        <f>HYPERLINK("https://klasma.github.io/Logging_2260/klagomål/A 38318-2019 klagomål.docx", "A 38318-2019")</f>
        <v/>
      </c>
      <c r="W25">
        <f>HYPERLINK("https://klasma.github.io/Logging_2260/klagomålsmail/A 38318-2019 klagomålsmail.docx", "A 38318-2019")</f>
        <v/>
      </c>
      <c r="X25">
        <f>HYPERLINK("https://klasma.github.io/Logging_2260/tillsyn/A 38318-2019 tillsyn.docx", "A 38318-2019")</f>
        <v/>
      </c>
      <c r="Y25">
        <f>HYPERLINK("https://klasma.github.io/Logging_2260/tillsynsmail/A 38318-2019 tillsynsmail.docx", "A 38318-2019")</f>
        <v/>
      </c>
    </row>
    <row r="26" ht="15" customHeight="1">
      <c r="A26" t="inlineStr">
        <is>
          <t>A 6176-2022</t>
        </is>
      </c>
      <c r="B26" s="1" t="n">
        <v>44599</v>
      </c>
      <c r="C26" s="1" t="n">
        <v>45212</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HYPERLINK("https://klasma.github.io/Logging_2260/karta/A 6176-2022 karta.png", "A 6176-2022")</f>
        <v/>
      </c>
      <c r="V26">
        <f>HYPERLINK("https://klasma.github.io/Logging_2260/klagomål/A 6176-2022 klagomål.docx", "A 6176-2022")</f>
        <v/>
      </c>
      <c r="W26">
        <f>HYPERLINK("https://klasma.github.io/Logging_2260/klagomålsmail/A 6176-2022 klagomålsmail.docx", "A 6176-2022")</f>
        <v/>
      </c>
      <c r="X26">
        <f>HYPERLINK("https://klasma.github.io/Logging_2260/tillsyn/A 6176-2022 tillsyn.docx", "A 6176-2022")</f>
        <v/>
      </c>
      <c r="Y26">
        <f>HYPERLINK("https://klasma.github.io/Logging_2260/tillsynsmail/A 6176-2022 tillsynsmail.docx", "A 6176-2022")</f>
        <v/>
      </c>
    </row>
    <row r="27" ht="15" customHeight="1">
      <c r="A27" t="inlineStr">
        <is>
          <t>A 9503-2022</t>
        </is>
      </c>
      <c r="B27" s="1" t="n">
        <v>44616</v>
      </c>
      <c r="C27" s="1" t="n">
        <v>45212</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HYPERLINK("https://klasma.github.io/Logging_2283/karta/A 9503-2022 karta.png", "A 9503-2022")</f>
        <v/>
      </c>
      <c r="U27">
        <f>HYPERLINK("https://klasma.github.io/Logging_2283/knärot/A 9503-2022 knärot.png", "A 9503-2022")</f>
        <v/>
      </c>
      <c r="V27">
        <f>HYPERLINK("https://klasma.github.io/Logging_2283/klagomål/A 9503-2022 klagomål.docx", "A 9503-2022")</f>
        <v/>
      </c>
      <c r="W27">
        <f>HYPERLINK("https://klasma.github.io/Logging_2283/klagomålsmail/A 9503-2022 klagomålsmail.docx", "A 9503-2022")</f>
        <v/>
      </c>
      <c r="X27">
        <f>HYPERLINK("https://klasma.github.io/Logging_2283/tillsyn/A 9503-2022 tillsyn.docx", "A 9503-2022")</f>
        <v/>
      </c>
      <c r="Y27">
        <f>HYPERLINK("https://klasma.github.io/Logging_2283/tillsynsmail/A 9503-2022 tillsynsmail.docx", "A 9503-2022")</f>
        <v/>
      </c>
    </row>
    <row r="28" ht="15" customHeight="1">
      <c r="A28" t="inlineStr">
        <is>
          <t>A 35844-2022</t>
        </is>
      </c>
      <c r="B28" s="1" t="n">
        <v>44802</v>
      </c>
      <c r="C28" s="1" t="n">
        <v>45212</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HYPERLINK("https://klasma.github.io/Logging_2284/karta/A 35844-2022 karta.png", "A 35844-2022")</f>
        <v/>
      </c>
      <c r="V28">
        <f>HYPERLINK("https://klasma.github.io/Logging_2284/klagomål/A 35844-2022 klagomål.docx", "A 35844-2022")</f>
        <v/>
      </c>
      <c r="W28">
        <f>HYPERLINK("https://klasma.github.io/Logging_2284/klagomålsmail/A 35844-2022 klagomålsmail.docx", "A 35844-2022")</f>
        <v/>
      </c>
      <c r="X28">
        <f>HYPERLINK("https://klasma.github.io/Logging_2284/tillsyn/A 35844-2022 tillsyn.docx", "A 35844-2022")</f>
        <v/>
      </c>
      <c r="Y28">
        <f>HYPERLINK("https://klasma.github.io/Logging_2284/tillsynsmail/A 35844-2022 tillsynsmail.docx", "A 35844-2022")</f>
        <v/>
      </c>
    </row>
    <row r="29" ht="15" customHeight="1">
      <c r="A29" t="inlineStr">
        <is>
          <t>A 19418-2023</t>
        </is>
      </c>
      <c r="B29" s="1" t="n">
        <v>45049</v>
      </c>
      <c r="C29" s="1" t="n">
        <v>45212</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HYPERLINK("https://klasma.github.io/Logging_2281/karta/A 19418-2023 karta.png", "A 19418-2023")</f>
        <v/>
      </c>
      <c r="U29">
        <f>HYPERLINK("https://klasma.github.io/Logging_2281/knärot/A 19418-2023 knärot.png", "A 19418-2023")</f>
        <v/>
      </c>
      <c r="V29">
        <f>HYPERLINK("https://klasma.github.io/Logging_2281/klagomål/A 19418-2023 klagomål.docx", "A 19418-2023")</f>
        <v/>
      </c>
      <c r="W29">
        <f>HYPERLINK("https://klasma.github.io/Logging_2281/klagomålsmail/A 19418-2023 klagomålsmail.docx", "A 19418-2023")</f>
        <v/>
      </c>
      <c r="X29">
        <f>HYPERLINK("https://klasma.github.io/Logging_2281/tillsyn/A 19418-2023 tillsyn.docx", "A 19418-2023")</f>
        <v/>
      </c>
      <c r="Y29">
        <f>HYPERLINK("https://klasma.github.io/Logging_2281/tillsynsmail/A 19418-2023 tillsynsmail.docx", "A 19418-2023")</f>
        <v/>
      </c>
    </row>
    <row r="30" ht="15" customHeight="1">
      <c r="A30" t="inlineStr">
        <is>
          <t>A 47451-2018</t>
        </is>
      </c>
      <c r="B30" s="1" t="n">
        <v>43369</v>
      </c>
      <c r="C30" s="1" t="n">
        <v>45212</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HYPERLINK("https://klasma.github.io/Logging_2283/karta/A 47451-2018 karta.png", "A 47451-2018")</f>
        <v/>
      </c>
      <c r="V30">
        <f>HYPERLINK("https://klasma.github.io/Logging_2283/klagomål/A 47451-2018 klagomål.docx", "A 47451-2018")</f>
        <v/>
      </c>
      <c r="W30">
        <f>HYPERLINK("https://klasma.github.io/Logging_2283/klagomålsmail/A 47451-2018 klagomålsmail.docx", "A 47451-2018")</f>
        <v/>
      </c>
      <c r="X30">
        <f>HYPERLINK("https://klasma.github.io/Logging_2283/tillsyn/A 47451-2018 tillsyn.docx", "A 47451-2018")</f>
        <v/>
      </c>
      <c r="Y30">
        <f>HYPERLINK("https://klasma.github.io/Logging_2283/tillsynsmail/A 47451-2018 tillsynsmail.docx", "A 47451-2018")</f>
        <v/>
      </c>
    </row>
    <row r="31" ht="15" customHeight="1">
      <c r="A31" t="inlineStr">
        <is>
          <t>A 29770-2019</t>
        </is>
      </c>
      <c r="B31" s="1" t="n">
        <v>43632</v>
      </c>
      <c r="C31" s="1" t="n">
        <v>45212</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HYPERLINK("https://klasma.github.io/Logging_2283/karta/A 29770-2019 karta.png", "A 29770-2019")</f>
        <v/>
      </c>
      <c r="V31">
        <f>HYPERLINK("https://klasma.github.io/Logging_2283/klagomål/A 29770-2019 klagomål.docx", "A 29770-2019")</f>
        <v/>
      </c>
      <c r="W31">
        <f>HYPERLINK("https://klasma.github.io/Logging_2283/klagomålsmail/A 29770-2019 klagomålsmail.docx", "A 29770-2019")</f>
        <v/>
      </c>
      <c r="X31">
        <f>HYPERLINK("https://klasma.github.io/Logging_2283/tillsyn/A 29770-2019 tillsyn.docx", "A 29770-2019")</f>
        <v/>
      </c>
      <c r="Y31">
        <f>HYPERLINK("https://klasma.github.io/Logging_2283/tillsynsmail/A 29770-2019 tillsynsmail.docx", "A 29770-2019")</f>
        <v/>
      </c>
    </row>
    <row r="32" ht="15" customHeight="1">
      <c r="A32" t="inlineStr">
        <is>
          <t>A 48850-2021</t>
        </is>
      </c>
      <c r="B32" s="1" t="n">
        <v>44452</v>
      </c>
      <c r="C32" s="1" t="n">
        <v>45212</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HYPERLINK("https://klasma.github.io/Logging_2260/karta/A 48850-2021 karta.png", "A 48850-2021")</f>
        <v/>
      </c>
      <c r="V32">
        <f>HYPERLINK("https://klasma.github.io/Logging_2260/klagomål/A 48850-2021 klagomål.docx", "A 48850-2021")</f>
        <v/>
      </c>
      <c r="W32">
        <f>HYPERLINK("https://klasma.github.io/Logging_2260/klagomålsmail/A 48850-2021 klagomålsmail.docx", "A 48850-2021")</f>
        <v/>
      </c>
      <c r="X32">
        <f>HYPERLINK("https://klasma.github.io/Logging_2260/tillsyn/A 48850-2021 tillsyn.docx", "A 48850-2021")</f>
        <v/>
      </c>
      <c r="Y32">
        <f>HYPERLINK("https://klasma.github.io/Logging_2260/tillsynsmail/A 48850-2021 tillsynsmail.docx", "A 48850-2021")</f>
        <v/>
      </c>
    </row>
    <row r="33" ht="15" customHeight="1">
      <c r="A33" t="inlineStr">
        <is>
          <t>A 35437-2022</t>
        </is>
      </c>
      <c r="B33" s="1" t="n">
        <v>44798</v>
      </c>
      <c r="C33" s="1" t="n">
        <v>45212</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HYPERLINK("https://klasma.github.io/Logging_2260/karta/A 35437-2022 karta.png", "A 35437-2022")</f>
        <v/>
      </c>
      <c r="U33">
        <f>HYPERLINK("https://klasma.github.io/Logging_2260/knärot/A 35437-2022 knärot.png", "A 35437-2022")</f>
        <v/>
      </c>
      <c r="V33">
        <f>HYPERLINK("https://klasma.github.io/Logging_2260/klagomål/A 35437-2022 klagomål.docx", "A 35437-2022")</f>
        <v/>
      </c>
      <c r="W33">
        <f>HYPERLINK("https://klasma.github.io/Logging_2260/klagomålsmail/A 35437-2022 klagomålsmail.docx", "A 35437-2022")</f>
        <v/>
      </c>
      <c r="X33">
        <f>HYPERLINK("https://klasma.github.io/Logging_2260/tillsyn/A 35437-2022 tillsyn.docx", "A 35437-2022")</f>
        <v/>
      </c>
      <c r="Y33">
        <f>HYPERLINK("https://klasma.github.io/Logging_2260/tillsynsmail/A 35437-2022 tillsynsmail.docx", "A 35437-2022")</f>
        <v/>
      </c>
    </row>
    <row r="34" ht="15" customHeight="1">
      <c r="A34" t="inlineStr">
        <is>
          <t>A 59396-2022</t>
        </is>
      </c>
      <c r="B34" s="1" t="n">
        <v>44906</v>
      </c>
      <c r="C34" s="1" t="n">
        <v>45212</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HYPERLINK("https://klasma.github.io/Logging_2281/karta/A 59396-2022 karta.png", "A 59396-2022")</f>
        <v/>
      </c>
      <c r="U34">
        <f>HYPERLINK("https://klasma.github.io/Logging_2281/knärot/A 59396-2022 knärot.png", "A 59396-2022")</f>
        <v/>
      </c>
      <c r="V34">
        <f>HYPERLINK("https://klasma.github.io/Logging_2281/klagomål/A 59396-2022 klagomål.docx", "A 59396-2022")</f>
        <v/>
      </c>
      <c r="W34">
        <f>HYPERLINK("https://klasma.github.io/Logging_2281/klagomålsmail/A 59396-2022 klagomålsmail.docx", "A 59396-2022")</f>
        <v/>
      </c>
      <c r="X34">
        <f>HYPERLINK("https://klasma.github.io/Logging_2281/tillsyn/A 59396-2022 tillsyn.docx", "A 59396-2022")</f>
        <v/>
      </c>
      <c r="Y34">
        <f>HYPERLINK("https://klasma.github.io/Logging_2281/tillsynsmail/A 59396-2022 tillsynsmail.docx", "A 59396-2022")</f>
        <v/>
      </c>
    </row>
    <row r="35" ht="15" customHeight="1">
      <c r="A35" t="inlineStr">
        <is>
          <t>A 53409-2018</t>
        </is>
      </c>
      <c r="B35" s="1" t="n">
        <v>43390</v>
      </c>
      <c r="C35" s="1" t="n">
        <v>45212</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HYPERLINK("https://klasma.github.io/Logging_2260/karta/A 53409-2018 karta.png", "A 53409-2018")</f>
        <v/>
      </c>
      <c r="U35">
        <f>HYPERLINK("https://klasma.github.io/Logging_2260/knärot/A 53409-2018 knärot.png", "A 53409-2018")</f>
        <v/>
      </c>
      <c r="V35">
        <f>HYPERLINK("https://klasma.github.io/Logging_2260/klagomål/A 53409-2018 klagomål.docx", "A 53409-2018")</f>
        <v/>
      </c>
      <c r="W35">
        <f>HYPERLINK("https://klasma.github.io/Logging_2260/klagomålsmail/A 53409-2018 klagomålsmail.docx", "A 53409-2018")</f>
        <v/>
      </c>
      <c r="X35">
        <f>HYPERLINK("https://klasma.github.io/Logging_2260/tillsyn/A 53409-2018 tillsyn.docx", "A 53409-2018")</f>
        <v/>
      </c>
      <c r="Y35">
        <f>HYPERLINK("https://klasma.github.io/Logging_2260/tillsynsmail/A 53409-2018 tillsynsmail.docx", "A 53409-2018")</f>
        <v/>
      </c>
    </row>
    <row r="36" ht="15" customHeight="1">
      <c r="A36" t="inlineStr">
        <is>
          <t>A 17679-2020</t>
        </is>
      </c>
      <c r="B36" s="1" t="n">
        <v>43923</v>
      </c>
      <c r="C36" s="1" t="n">
        <v>45212</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HYPERLINK("https://klasma.github.io/Logging_2283/karta/A 17679-2020 karta.png", "A 17679-2020")</f>
        <v/>
      </c>
      <c r="U36">
        <f>HYPERLINK("https://klasma.github.io/Logging_2283/knärot/A 17679-2020 knärot.png", "A 17679-2020")</f>
        <v/>
      </c>
      <c r="V36">
        <f>HYPERLINK("https://klasma.github.io/Logging_2283/klagomål/A 17679-2020 klagomål.docx", "A 17679-2020")</f>
        <v/>
      </c>
      <c r="W36">
        <f>HYPERLINK("https://klasma.github.io/Logging_2283/klagomålsmail/A 17679-2020 klagomålsmail.docx", "A 17679-2020")</f>
        <v/>
      </c>
      <c r="X36">
        <f>HYPERLINK("https://klasma.github.io/Logging_2283/tillsyn/A 17679-2020 tillsyn.docx", "A 17679-2020")</f>
        <v/>
      </c>
      <c r="Y36">
        <f>HYPERLINK("https://klasma.github.io/Logging_2283/tillsynsmail/A 17679-2020 tillsynsmail.docx", "A 17679-2020")</f>
        <v/>
      </c>
    </row>
    <row r="37" ht="15" customHeight="1">
      <c r="A37" t="inlineStr">
        <is>
          <t>A 57909-2020</t>
        </is>
      </c>
      <c r="B37" s="1" t="n">
        <v>44141</v>
      </c>
      <c r="C37" s="1" t="n">
        <v>45212</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HYPERLINK("https://klasma.github.io/Logging_2284/karta/A 57909-2020 karta.png", "A 57909-2020")</f>
        <v/>
      </c>
      <c r="V37">
        <f>HYPERLINK("https://klasma.github.io/Logging_2284/klagomål/A 57909-2020 klagomål.docx", "A 57909-2020")</f>
        <v/>
      </c>
      <c r="W37">
        <f>HYPERLINK("https://klasma.github.io/Logging_2284/klagomålsmail/A 57909-2020 klagomålsmail.docx", "A 57909-2020")</f>
        <v/>
      </c>
      <c r="X37">
        <f>HYPERLINK("https://klasma.github.io/Logging_2284/tillsyn/A 57909-2020 tillsyn.docx", "A 57909-2020")</f>
        <v/>
      </c>
      <c r="Y37">
        <f>HYPERLINK("https://klasma.github.io/Logging_2284/tillsynsmail/A 57909-2020 tillsynsmail.docx", "A 57909-2020")</f>
        <v/>
      </c>
    </row>
    <row r="38" ht="15" customHeight="1">
      <c r="A38" t="inlineStr">
        <is>
          <t>A 30588-2021</t>
        </is>
      </c>
      <c r="B38" s="1" t="n">
        <v>44364</v>
      </c>
      <c r="C38" s="1" t="n">
        <v>45212</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HYPERLINK("https://klasma.github.io/Logging_2282/karta/A 30588-2021 karta.png", "A 30588-2021")</f>
        <v/>
      </c>
      <c r="V38">
        <f>HYPERLINK("https://klasma.github.io/Logging_2282/klagomål/A 30588-2021 klagomål.docx", "A 30588-2021")</f>
        <v/>
      </c>
      <c r="W38">
        <f>HYPERLINK("https://klasma.github.io/Logging_2282/klagomålsmail/A 30588-2021 klagomålsmail.docx", "A 30588-2021")</f>
        <v/>
      </c>
      <c r="X38">
        <f>HYPERLINK("https://klasma.github.io/Logging_2282/tillsyn/A 30588-2021 tillsyn.docx", "A 30588-2021")</f>
        <v/>
      </c>
      <c r="Y38">
        <f>HYPERLINK("https://klasma.github.io/Logging_2282/tillsynsmail/A 30588-2021 tillsynsmail.docx", "A 30588-2021")</f>
        <v/>
      </c>
    </row>
    <row r="39" ht="15" customHeight="1">
      <c r="A39" t="inlineStr">
        <is>
          <t>A 8981-2022</t>
        </is>
      </c>
      <c r="B39" s="1" t="n">
        <v>44614</v>
      </c>
      <c r="C39" s="1" t="n">
        <v>45212</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HYPERLINK("https://klasma.github.io/Logging_2283/karta/A 8981-2022 karta.png", "A 8981-2022")</f>
        <v/>
      </c>
      <c r="U39">
        <f>HYPERLINK("https://klasma.github.io/Logging_2283/knärot/A 8981-2022 knärot.png", "A 8981-2022")</f>
        <v/>
      </c>
      <c r="V39">
        <f>HYPERLINK("https://klasma.github.io/Logging_2283/klagomål/A 8981-2022 klagomål.docx", "A 8981-2022")</f>
        <v/>
      </c>
      <c r="W39">
        <f>HYPERLINK("https://klasma.github.io/Logging_2283/klagomålsmail/A 8981-2022 klagomålsmail.docx", "A 8981-2022")</f>
        <v/>
      </c>
      <c r="X39">
        <f>HYPERLINK("https://klasma.github.io/Logging_2283/tillsyn/A 8981-2022 tillsyn.docx", "A 8981-2022")</f>
        <v/>
      </c>
      <c r="Y39">
        <f>HYPERLINK("https://klasma.github.io/Logging_2283/tillsynsmail/A 8981-2022 tillsynsmail.docx", "A 8981-2022")</f>
        <v/>
      </c>
    </row>
    <row r="40" ht="15" customHeight="1">
      <c r="A40" t="inlineStr">
        <is>
          <t>A 11213-2022</t>
        </is>
      </c>
      <c r="B40" s="1" t="n">
        <v>44629</v>
      </c>
      <c r="C40" s="1" t="n">
        <v>45212</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HYPERLINK("https://klasma.github.io/Logging_2281/karta/A 11213-2022 karta.png", "A 11213-2022")</f>
        <v/>
      </c>
      <c r="U40">
        <f>HYPERLINK("https://klasma.github.io/Logging_2281/knärot/A 11213-2022 knärot.png", "A 11213-2022")</f>
        <v/>
      </c>
      <c r="V40">
        <f>HYPERLINK("https://klasma.github.io/Logging_2281/klagomål/A 11213-2022 klagomål.docx", "A 11213-2022")</f>
        <v/>
      </c>
      <c r="W40">
        <f>HYPERLINK("https://klasma.github.io/Logging_2281/klagomålsmail/A 11213-2022 klagomålsmail.docx", "A 11213-2022")</f>
        <v/>
      </c>
      <c r="X40">
        <f>HYPERLINK("https://klasma.github.io/Logging_2281/tillsyn/A 11213-2022 tillsyn.docx", "A 11213-2022")</f>
        <v/>
      </c>
      <c r="Y40">
        <f>HYPERLINK("https://klasma.github.io/Logging_2281/tillsynsmail/A 11213-2022 tillsynsmail.docx", "A 11213-2022")</f>
        <v/>
      </c>
    </row>
    <row r="41" ht="15" customHeight="1">
      <c r="A41" t="inlineStr">
        <is>
          <t>A 43967-2023</t>
        </is>
      </c>
      <c r="B41" s="1" t="n">
        <v>45187</v>
      </c>
      <c r="C41" s="1" t="n">
        <v>45212</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HYPERLINK("https://klasma.github.io/Logging_2260/karta/A 43967-2023 karta.png", "A 43967-2023")</f>
        <v/>
      </c>
      <c r="U41">
        <f>HYPERLINK("https://klasma.github.io/Logging_2260/knärot/A 43967-2023 knärot.png", "A 43967-2023")</f>
        <v/>
      </c>
      <c r="V41">
        <f>HYPERLINK("https://klasma.github.io/Logging_2260/klagomål/A 43967-2023 klagomål.docx", "A 43967-2023")</f>
        <v/>
      </c>
      <c r="W41">
        <f>HYPERLINK("https://klasma.github.io/Logging_2260/klagomålsmail/A 43967-2023 klagomålsmail.docx", "A 43967-2023")</f>
        <v/>
      </c>
      <c r="X41">
        <f>HYPERLINK("https://klasma.github.io/Logging_2260/tillsyn/A 43967-2023 tillsyn.docx", "A 43967-2023")</f>
        <v/>
      </c>
      <c r="Y41">
        <f>HYPERLINK("https://klasma.github.io/Logging_2260/tillsynsmail/A 43967-2023 tillsynsmail.docx", "A 43967-2023")</f>
        <v/>
      </c>
    </row>
    <row r="42" ht="15" customHeight="1">
      <c r="A42" t="inlineStr">
        <is>
          <t>A 20841-2019</t>
        </is>
      </c>
      <c r="B42" s="1" t="n">
        <v>43576</v>
      </c>
      <c r="C42" s="1" t="n">
        <v>45212</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HYPERLINK("https://klasma.github.io/Logging_2283/karta/A 20841-2019 karta.png", "A 20841-2019")</f>
        <v/>
      </c>
      <c r="V42">
        <f>HYPERLINK("https://klasma.github.io/Logging_2283/klagomål/A 20841-2019 klagomål.docx", "A 20841-2019")</f>
        <v/>
      </c>
      <c r="W42">
        <f>HYPERLINK("https://klasma.github.io/Logging_2283/klagomålsmail/A 20841-2019 klagomålsmail.docx", "A 20841-2019")</f>
        <v/>
      </c>
      <c r="X42">
        <f>HYPERLINK("https://klasma.github.io/Logging_2283/tillsyn/A 20841-2019 tillsyn.docx", "A 20841-2019")</f>
        <v/>
      </c>
      <c r="Y42">
        <f>HYPERLINK("https://klasma.github.io/Logging_2283/tillsynsmail/A 20841-2019 tillsynsmail.docx", "A 20841-2019")</f>
        <v/>
      </c>
    </row>
    <row r="43" ht="15" customHeight="1">
      <c r="A43" t="inlineStr">
        <is>
          <t>A 64116-2019</t>
        </is>
      </c>
      <c r="B43" s="1" t="n">
        <v>43796</v>
      </c>
      <c r="C43" s="1" t="n">
        <v>45212</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HYPERLINK("https://klasma.github.io/Logging_2283/karta/A 64116-2019 karta.png", "A 64116-2019")</f>
        <v/>
      </c>
      <c r="U43">
        <f>HYPERLINK("https://klasma.github.io/Logging_2283/knärot/A 64116-2019 knärot.png", "A 64116-2019")</f>
        <v/>
      </c>
      <c r="V43">
        <f>HYPERLINK("https://klasma.github.io/Logging_2283/klagomål/A 64116-2019 klagomål.docx", "A 64116-2019")</f>
        <v/>
      </c>
      <c r="W43">
        <f>HYPERLINK("https://klasma.github.io/Logging_2283/klagomålsmail/A 64116-2019 klagomålsmail.docx", "A 64116-2019")</f>
        <v/>
      </c>
      <c r="X43">
        <f>HYPERLINK("https://klasma.github.io/Logging_2283/tillsyn/A 64116-2019 tillsyn.docx", "A 64116-2019")</f>
        <v/>
      </c>
      <c r="Y43">
        <f>HYPERLINK("https://klasma.github.io/Logging_2283/tillsynsmail/A 64116-2019 tillsynsmail.docx", "A 64116-2019")</f>
        <v/>
      </c>
    </row>
    <row r="44" ht="15" customHeight="1">
      <c r="A44" t="inlineStr">
        <is>
          <t>A 13079-2020</t>
        </is>
      </c>
      <c r="B44" s="1" t="n">
        <v>43900</v>
      </c>
      <c r="C44" s="1" t="n">
        <v>45212</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HYPERLINK("https://klasma.github.io/Logging_2260/karta/A 13079-2020 karta.png", "A 13079-2020")</f>
        <v/>
      </c>
      <c r="U44">
        <f>HYPERLINK("https://klasma.github.io/Logging_2260/knärot/A 13079-2020 knärot.png", "A 13079-2020")</f>
        <v/>
      </c>
      <c r="V44">
        <f>HYPERLINK("https://klasma.github.io/Logging_2260/klagomål/A 13079-2020 klagomål.docx", "A 13079-2020")</f>
        <v/>
      </c>
      <c r="W44">
        <f>HYPERLINK("https://klasma.github.io/Logging_2260/klagomålsmail/A 13079-2020 klagomålsmail.docx", "A 13079-2020")</f>
        <v/>
      </c>
      <c r="X44">
        <f>HYPERLINK("https://klasma.github.io/Logging_2260/tillsyn/A 13079-2020 tillsyn.docx", "A 13079-2020")</f>
        <v/>
      </c>
      <c r="Y44">
        <f>HYPERLINK("https://klasma.github.io/Logging_2260/tillsynsmail/A 13079-2020 tillsynsmail.docx", "A 13079-2020")</f>
        <v/>
      </c>
    </row>
    <row r="45" ht="15" customHeight="1">
      <c r="A45" t="inlineStr">
        <is>
          <t>A 50635-2020</t>
        </is>
      </c>
      <c r="B45" s="1" t="n">
        <v>44110</v>
      </c>
      <c r="C45" s="1" t="n">
        <v>45212</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HYPERLINK("https://klasma.github.io/Logging_2283/karta/A 50635-2020 karta.png", "A 50635-2020")</f>
        <v/>
      </c>
      <c r="V45">
        <f>HYPERLINK("https://klasma.github.io/Logging_2283/klagomål/A 50635-2020 klagomål.docx", "A 50635-2020")</f>
        <v/>
      </c>
      <c r="W45">
        <f>HYPERLINK("https://klasma.github.io/Logging_2283/klagomålsmail/A 50635-2020 klagomålsmail.docx", "A 50635-2020")</f>
        <v/>
      </c>
      <c r="X45">
        <f>HYPERLINK("https://klasma.github.io/Logging_2283/tillsyn/A 50635-2020 tillsyn.docx", "A 50635-2020")</f>
        <v/>
      </c>
      <c r="Y45">
        <f>HYPERLINK("https://klasma.github.io/Logging_2283/tillsynsmail/A 50635-2020 tillsynsmail.docx", "A 50635-2020")</f>
        <v/>
      </c>
    </row>
    <row r="46" ht="15" customHeight="1">
      <c r="A46" t="inlineStr">
        <is>
          <t>A 30587-2021</t>
        </is>
      </c>
      <c r="B46" s="1" t="n">
        <v>44364</v>
      </c>
      <c r="C46" s="1" t="n">
        <v>45212</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HYPERLINK("https://klasma.github.io/Logging_2282/karta/A 30587-2021 karta.png", "A 30587-2021")</f>
        <v/>
      </c>
      <c r="V46">
        <f>HYPERLINK("https://klasma.github.io/Logging_2282/klagomål/A 30587-2021 klagomål.docx", "A 30587-2021")</f>
        <v/>
      </c>
      <c r="W46">
        <f>HYPERLINK("https://klasma.github.io/Logging_2282/klagomålsmail/A 30587-2021 klagomålsmail.docx", "A 30587-2021")</f>
        <v/>
      </c>
      <c r="X46">
        <f>HYPERLINK("https://klasma.github.io/Logging_2282/tillsyn/A 30587-2021 tillsyn.docx", "A 30587-2021")</f>
        <v/>
      </c>
      <c r="Y46">
        <f>HYPERLINK("https://klasma.github.io/Logging_2282/tillsynsmail/A 30587-2021 tillsynsmail.docx", "A 30587-2021")</f>
        <v/>
      </c>
    </row>
    <row r="47" ht="15" customHeight="1">
      <c r="A47" t="inlineStr">
        <is>
          <t>A 53060-2021</t>
        </is>
      </c>
      <c r="B47" s="1" t="n">
        <v>44467</v>
      </c>
      <c r="C47" s="1" t="n">
        <v>45212</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HYPERLINK("https://klasma.github.io/Logging_2284/karta/A 53060-2021 karta.png", "A 53060-2021")</f>
        <v/>
      </c>
      <c r="V47">
        <f>HYPERLINK("https://klasma.github.io/Logging_2284/klagomål/A 53060-2021 klagomål.docx", "A 53060-2021")</f>
        <v/>
      </c>
      <c r="W47">
        <f>HYPERLINK("https://klasma.github.io/Logging_2284/klagomålsmail/A 53060-2021 klagomålsmail.docx", "A 53060-2021")</f>
        <v/>
      </c>
      <c r="X47">
        <f>HYPERLINK("https://klasma.github.io/Logging_2284/tillsyn/A 53060-2021 tillsyn.docx", "A 53060-2021")</f>
        <v/>
      </c>
      <c r="Y47">
        <f>HYPERLINK("https://klasma.github.io/Logging_2284/tillsynsmail/A 53060-2021 tillsynsmail.docx", "A 53060-2021")</f>
        <v/>
      </c>
    </row>
    <row r="48" ht="15" customHeight="1">
      <c r="A48" t="inlineStr">
        <is>
          <t>A 21345-2023</t>
        </is>
      </c>
      <c r="B48" s="1" t="n">
        <v>45062</v>
      </c>
      <c r="C48" s="1" t="n">
        <v>45212</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HYPERLINK("https://klasma.github.io/Logging_2283/karta/A 21345-2023 karta.png", "A 21345-2023")</f>
        <v/>
      </c>
      <c r="U48">
        <f>HYPERLINK("https://klasma.github.io/Logging_2283/knärot/A 21345-2023 knärot.png", "A 21345-2023")</f>
        <v/>
      </c>
      <c r="V48">
        <f>HYPERLINK("https://klasma.github.io/Logging_2283/klagomål/A 21345-2023 klagomål.docx", "A 21345-2023")</f>
        <v/>
      </c>
      <c r="W48">
        <f>HYPERLINK("https://klasma.github.io/Logging_2283/klagomålsmail/A 21345-2023 klagomålsmail.docx", "A 21345-2023")</f>
        <v/>
      </c>
      <c r="X48">
        <f>HYPERLINK("https://klasma.github.io/Logging_2283/tillsyn/A 21345-2023 tillsyn.docx", "A 21345-2023")</f>
        <v/>
      </c>
      <c r="Y48">
        <f>HYPERLINK("https://klasma.github.io/Logging_2283/tillsynsmail/A 21345-2023 tillsynsmail.docx", "A 21345-2023")</f>
        <v/>
      </c>
    </row>
    <row r="49" ht="15" customHeight="1">
      <c r="A49" t="inlineStr">
        <is>
          <t>A 4875-2019</t>
        </is>
      </c>
      <c r="B49" s="1" t="n">
        <v>43479</v>
      </c>
      <c r="C49" s="1" t="n">
        <v>45212</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HYPERLINK("https://klasma.github.io/Logging_2262/karta/A 4875-2019 karta.png", "A 4875-2019")</f>
        <v/>
      </c>
      <c r="V49">
        <f>HYPERLINK("https://klasma.github.io/Logging_2262/klagomål/A 4875-2019 klagomål.docx", "A 4875-2019")</f>
        <v/>
      </c>
      <c r="W49">
        <f>HYPERLINK("https://klasma.github.io/Logging_2262/klagomålsmail/A 4875-2019 klagomålsmail.docx", "A 4875-2019")</f>
        <v/>
      </c>
      <c r="X49">
        <f>HYPERLINK("https://klasma.github.io/Logging_2262/tillsyn/A 4875-2019 tillsyn.docx", "A 4875-2019")</f>
        <v/>
      </c>
      <c r="Y49">
        <f>HYPERLINK("https://klasma.github.io/Logging_2262/tillsynsmail/A 4875-2019 tillsynsmail.docx", "A 4875-2019")</f>
        <v/>
      </c>
    </row>
    <row r="50" ht="15" customHeight="1">
      <c r="A50" t="inlineStr">
        <is>
          <t>A 27214-2019</t>
        </is>
      </c>
      <c r="B50" s="1" t="n">
        <v>43614</v>
      </c>
      <c r="C50" s="1" t="n">
        <v>45212</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HYPERLINK("https://klasma.github.io/Logging_2260/karta/A 27214-2019 karta.png", "A 27214-2019")</f>
        <v/>
      </c>
      <c r="U50">
        <f>HYPERLINK("https://klasma.github.io/Logging_2260/knärot/A 27214-2019 knärot.png", "A 27214-2019")</f>
        <v/>
      </c>
      <c r="V50">
        <f>HYPERLINK("https://klasma.github.io/Logging_2260/klagomål/A 27214-2019 klagomål.docx", "A 27214-2019")</f>
        <v/>
      </c>
      <c r="W50">
        <f>HYPERLINK("https://klasma.github.io/Logging_2260/klagomålsmail/A 27214-2019 klagomålsmail.docx", "A 27214-2019")</f>
        <v/>
      </c>
      <c r="X50">
        <f>HYPERLINK("https://klasma.github.io/Logging_2260/tillsyn/A 27214-2019 tillsyn.docx", "A 27214-2019")</f>
        <v/>
      </c>
      <c r="Y50">
        <f>HYPERLINK("https://klasma.github.io/Logging_2260/tillsynsmail/A 27214-2019 tillsynsmail.docx", "A 27214-2019")</f>
        <v/>
      </c>
    </row>
    <row r="51" ht="15" customHeight="1">
      <c r="A51" t="inlineStr">
        <is>
          <t>A 25919-2020</t>
        </is>
      </c>
      <c r="B51" s="1" t="n">
        <v>43984</v>
      </c>
      <c r="C51" s="1" t="n">
        <v>45212</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HYPERLINK("https://klasma.github.io/Logging_2262/karta/A 25919-2020 karta.png", "A 25919-2020")</f>
        <v/>
      </c>
      <c r="V51">
        <f>HYPERLINK("https://klasma.github.io/Logging_2262/klagomål/A 25919-2020 klagomål.docx", "A 25919-2020")</f>
        <v/>
      </c>
      <c r="W51">
        <f>HYPERLINK("https://klasma.github.io/Logging_2262/klagomålsmail/A 25919-2020 klagomålsmail.docx", "A 25919-2020")</f>
        <v/>
      </c>
      <c r="X51">
        <f>HYPERLINK("https://klasma.github.io/Logging_2262/tillsyn/A 25919-2020 tillsyn.docx", "A 25919-2020")</f>
        <v/>
      </c>
      <c r="Y51">
        <f>HYPERLINK("https://klasma.github.io/Logging_2262/tillsynsmail/A 25919-2020 tillsynsmail.docx", "A 25919-2020")</f>
        <v/>
      </c>
    </row>
    <row r="52" ht="15" customHeight="1">
      <c r="A52" t="inlineStr">
        <is>
          <t>A 73448-2021</t>
        </is>
      </c>
      <c r="B52" s="1" t="n">
        <v>44551</v>
      </c>
      <c r="C52" s="1" t="n">
        <v>45212</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HYPERLINK("https://klasma.github.io/Logging_2283/karta/A 73448-2021 karta.png", "A 73448-2021")</f>
        <v/>
      </c>
      <c r="V52">
        <f>HYPERLINK("https://klasma.github.io/Logging_2283/klagomål/A 73448-2021 klagomål.docx", "A 73448-2021")</f>
        <v/>
      </c>
      <c r="W52">
        <f>HYPERLINK("https://klasma.github.io/Logging_2283/klagomålsmail/A 73448-2021 klagomålsmail.docx", "A 73448-2021")</f>
        <v/>
      </c>
      <c r="X52">
        <f>HYPERLINK("https://klasma.github.io/Logging_2283/tillsyn/A 73448-2021 tillsyn.docx", "A 73448-2021")</f>
        <v/>
      </c>
      <c r="Y52">
        <f>HYPERLINK("https://klasma.github.io/Logging_2283/tillsynsmail/A 73448-2021 tillsynsmail.docx", "A 73448-2021")</f>
        <v/>
      </c>
    </row>
    <row r="53" ht="15" customHeight="1">
      <c r="A53" t="inlineStr">
        <is>
          <t>A 9944-2022</t>
        </is>
      </c>
      <c r="B53" s="1" t="n">
        <v>44620</v>
      </c>
      <c r="C53" s="1" t="n">
        <v>45212</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HYPERLINK("https://klasma.github.io/Logging_2283/karta/A 9944-2022 karta.png", "A 9944-2022")</f>
        <v/>
      </c>
      <c r="U53">
        <f>HYPERLINK("https://klasma.github.io/Logging_2283/knärot/A 9944-2022 knärot.png", "A 9944-2022")</f>
        <v/>
      </c>
      <c r="V53">
        <f>HYPERLINK("https://klasma.github.io/Logging_2283/klagomål/A 9944-2022 klagomål.docx", "A 9944-2022")</f>
        <v/>
      </c>
      <c r="W53">
        <f>HYPERLINK("https://klasma.github.io/Logging_2283/klagomålsmail/A 9944-2022 klagomålsmail.docx", "A 9944-2022")</f>
        <v/>
      </c>
      <c r="X53">
        <f>HYPERLINK("https://klasma.github.io/Logging_2283/tillsyn/A 9944-2022 tillsyn.docx", "A 9944-2022")</f>
        <v/>
      </c>
      <c r="Y53">
        <f>HYPERLINK("https://klasma.github.io/Logging_2283/tillsynsmail/A 9944-2022 tillsynsmail.docx", "A 9944-2022")</f>
        <v/>
      </c>
    </row>
    <row r="54" ht="15" customHeight="1">
      <c r="A54" t="inlineStr">
        <is>
          <t>A 17415-2022</t>
        </is>
      </c>
      <c r="B54" s="1" t="n">
        <v>44678</v>
      </c>
      <c r="C54" s="1" t="n">
        <v>45212</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HYPERLINK("https://klasma.github.io/Logging_2283/karta/A 17415-2022 karta.png", "A 17415-2022")</f>
        <v/>
      </c>
      <c r="U54">
        <f>HYPERLINK("https://klasma.github.io/Logging_2283/knärot/A 17415-2022 knärot.png", "A 17415-2022")</f>
        <v/>
      </c>
      <c r="V54">
        <f>HYPERLINK("https://klasma.github.io/Logging_2283/klagomål/A 17415-2022 klagomål.docx", "A 17415-2022")</f>
        <v/>
      </c>
      <c r="W54">
        <f>HYPERLINK("https://klasma.github.io/Logging_2283/klagomålsmail/A 17415-2022 klagomålsmail.docx", "A 17415-2022")</f>
        <v/>
      </c>
      <c r="X54">
        <f>HYPERLINK("https://klasma.github.io/Logging_2283/tillsyn/A 17415-2022 tillsyn.docx", "A 17415-2022")</f>
        <v/>
      </c>
      <c r="Y54">
        <f>HYPERLINK("https://klasma.github.io/Logging_2283/tillsynsmail/A 17415-2022 tillsynsmail.docx", "A 17415-2022")</f>
        <v/>
      </c>
    </row>
    <row r="55" ht="15" customHeight="1">
      <c r="A55" t="inlineStr">
        <is>
          <t>A 34269-2022</t>
        </is>
      </c>
      <c r="B55" s="1" t="n">
        <v>44791</v>
      </c>
      <c r="C55" s="1" t="n">
        <v>45212</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HYPERLINK("https://klasma.github.io/Logging_2283/karta/A 34269-2022 karta.png", "A 34269-2022")</f>
        <v/>
      </c>
      <c r="U55">
        <f>HYPERLINK("https://klasma.github.io/Logging_2283/knärot/A 34269-2022 knärot.png", "A 34269-2022")</f>
        <v/>
      </c>
      <c r="V55">
        <f>HYPERLINK("https://klasma.github.io/Logging_2283/klagomål/A 34269-2022 klagomål.docx", "A 34269-2022")</f>
        <v/>
      </c>
      <c r="W55">
        <f>HYPERLINK("https://klasma.github.io/Logging_2283/klagomålsmail/A 34269-2022 klagomålsmail.docx", "A 34269-2022")</f>
        <v/>
      </c>
      <c r="X55">
        <f>HYPERLINK("https://klasma.github.io/Logging_2283/tillsyn/A 34269-2022 tillsyn.docx", "A 34269-2022")</f>
        <v/>
      </c>
      <c r="Y55">
        <f>HYPERLINK("https://klasma.github.io/Logging_2283/tillsynsmail/A 34269-2022 tillsynsmail.docx", "A 34269-2022")</f>
        <v/>
      </c>
    </row>
    <row r="56" ht="15" customHeight="1">
      <c r="A56" t="inlineStr">
        <is>
          <t>A 39172-2022</t>
        </is>
      </c>
      <c r="B56" s="1" t="n">
        <v>44817</v>
      </c>
      <c r="C56" s="1" t="n">
        <v>45212</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HYPERLINK("https://klasma.github.io/Logging_2283/karta/A 39172-2022 karta.png", "A 39172-2022")</f>
        <v/>
      </c>
      <c r="V56">
        <f>HYPERLINK("https://klasma.github.io/Logging_2283/klagomål/A 39172-2022 klagomål.docx", "A 39172-2022")</f>
        <v/>
      </c>
      <c r="W56">
        <f>HYPERLINK("https://klasma.github.io/Logging_2283/klagomålsmail/A 39172-2022 klagomålsmail.docx", "A 39172-2022")</f>
        <v/>
      </c>
      <c r="X56">
        <f>HYPERLINK("https://klasma.github.io/Logging_2283/tillsyn/A 39172-2022 tillsyn.docx", "A 39172-2022")</f>
        <v/>
      </c>
      <c r="Y56">
        <f>HYPERLINK("https://klasma.github.io/Logging_2283/tillsynsmail/A 39172-2022 tillsynsmail.docx", "A 39172-2022")</f>
        <v/>
      </c>
    </row>
    <row r="57" ht="15" customHeight="1">
      <c r="A57" t="inlineStr">
        <is>
          <t>A 49184-2022</t>
        </is>
      </c>
      <c r="B57" s="1" t="n">
        <v>44860</v>
      </c>
      <c r="C57" s="1" t="n">
        <v>45212</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HYPERLINK("https://klasma.github.io/Logging_2260/karta/A 49184-2022 karta.png", "A 49184-2022")</f>
        <v/>
      </c>
      <c r="U57">
        <f>HYPERLINK("https://klasma.github.io/Logging_2260/knärot/A 49184-2022 knärot.png", "A 49184-2022")</f>
        <v/>
      </c>
      <c r="V57">
        <f>HYPERLINK("https://klasma.github.io/Logging_2260/klagomål/A 49184-2022 klagomål.docx", "A 49184-2022")</f>
        <v/>
      </c>
      <c r="W57">
        <f>HYPERLINK("https://klasma.github.io/Logging_2260/klagomålsmail/A 49184-2022 klagomålsmail.docx", "A 49184-2022")</f>
        <v/>
      </c>
      <c r="X57">
        <f>HYPERLINK("https://klasma.github.io/Logging_2260/tillsyn/A 49184-2022 tillsyn.docx", "A 49184-2022")</f>
        <v/>
      </c>
      <c r="Y57">
        <f>HYPERLINK("https://klasma.github.io/Logging_2260/tillsynsmail/A 49184-2022 tillsynsmail.docx", "A 49184-2022")</f>
        <v/>
      </c>
    </row>
    <row r="58" ht="15" customHeight="1">
      <c r="A58" t="inlineStr">
        <is>
          <t>A 21341-2023</t>
        </is>
      </c>
      <c r="B58" s="1" t="n">
        <v>45062</v>
      </c>
      <c r="C58" s="1" t="n">
        <v>45212</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HYPERLINK("https://klasma.github.io/Logging_2283/karta/A 21341-2023 karta.png", "A 21341-2023")</f>
        <v/>
      </c>
      <c r="V58">
        <f>HYPERLINK("https://klasma.github.io/Logging_2283/klagomål/A 21341-2023 klagomål.docx", "A 21341-2023")</f>
        <v/>
      </c>
      <c r="W58">
        <f>HYPERLINK("https://klasma.github.io/Logging_2283/klagomålsmail/A 21341-2023 klagomålsmail.docx", "A 21341-2023")</f>
        <v/>
      </c>
      <c r="X58">
        <f>HYPERLINK("https://klasma.github.io/Logging_2283/tillsyn/A 21341-2023 tillsyn.docx", "A 21341-2023")</f>
        <v/>
      </c>
      <c r="Y58">
        <f>HYPERLINK("https://klasma.github.io/Logging_2283/tillsynsmail/A 21341-2023 tillsynsmail.docx", "A 21341-2023")</f>
        <v/>
      </c>
    </row>
    <row r="59" ht="15" customHeight="1">
      <c r="A59" t="inlineStr">
        <is>
          <t>A 28663-2023</t>
        </is>
      </c>
      <c r="B59" s="1" t="n">
        <v>45096</v>
      </c>
      <c r="C59" s="1" t="n">
        <v>45212</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HYPERLINK("https://klasma.github.io/Logging_2283/karta/A 28663-2023 karta.png", "A 28663-2023")</f>
        <v/>
      </c>
      <c r="U59">
        <f>HYPERLINK("https://klasma.github.io/Logging_2283/knärot/A 28663-2023 knärot.png", "A 28663-2023")</f>
        <v/>
      </c>
      <c r="V59">
        <f>HYPERLINK("https://klasma.github.io/Logging_2283/klagomål/A 28663-2023 klagomål.docx", "A 28663-2023")</f>
        <v/>
      </c>
      <c r="W59">
        <f>HYPERLINK("https://klasma.github.io/Logging_2283/klagomålsmail/A 28663-2023 klagomålsmail.docx", "A 28663-2023")</f>
        <v/>
      </c>
      <c r="X59">
        <f>HYPERLINK("https://klasma.github.io/Logging_2283/tillsyn/A 28663-2023 tillsyn.docx", "A 28663-2023")</f>
        <v/>
      </c>
      <c r="Y59">
        <f>HYPERLINK("https://klasma.github.io/Logging_2283/tillsynsmail/A 28663-2023 tillsynsmail.docx", "A 28663-2023")</f>
        <v/>
      </c>
    </row>
    <row r="60" ht="15" customHeight="1">
      <c r="A60" t="inlineStr">
        <is>
          <t>A 32199-2023</t>
        </is>
      </c>
      <c r="B60" s="1" t="n">
        <v>45119</v>
      </c>
      <c r="C60" s="1" t="n">
        <v>45212</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HYPERLINK("https://klasma.github.io/Logging_2283/karta/A 32199-2023 karta.png", "A 32199-2023")</f>
        <v/>
      </c>
      <c r="U60">
        <f>HYPERLINK("https://klasma.github.io/Logging_2283/knärot/A 32199-2023 knärot.png", "A 32199-2023")</f>
        <v/>
      </c>
      <c r="V60">
        <f>HYPERLINK("https://klasma.github.io/Logging_2283/klagomål/A 32199-2023 klagomål.docx", "A 32199-2023")</f>
        <v/>
      </c>
      <c r="W60">
        <f>HYPERLINK("https://klasma.github.io/Logging_2283/klagomålsmail/A 32199-2023 klagomålsmail.docx", "A 32199-2023")</f>
        <v/>
      </c>
      <c r="X60">
        <f>HYPERLINK("https://klasma.github.io/Logging_2283/tillsyn/A 32199-2023 tillsyn.docx", "A 32199-2023")</f>
        <v/>
      </c>
      <c r="Y60">
        <f>HYPERLINK("https://klasma.github.io/Logging_2283/tillsynsmail/A 32199-2023 tillsynsmail.docx", "A 32199-2023")</f>
        <v/>
      </c>
    </row>
    <row r="61" ht="15" customHeight="1">
      <c r="A61" t="inlineStr">
        <is>
          <t>A 57656-2018</t>
        </is>
      </c>
      <c r="B61" s="1" t="n">
        <v>43404</v>
      </c>
      <c r="C61" s="1" t="n">
        <v>45212</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HYPERLINK("https://klasma.github.io/Logging_2280/karta/A 57656-2018 karta.png", "A 57656-2018")</f>
        <v/>
      </c>
      <c r="V61">
        <f>HYPERLINK("https://klasma.github.io/Logging_2280/klagomål/A 57656-2018 klagomål.docx", "A 57656-2018")</f>
        <v/>
      </c>
      <c r="W61">
        <f>HYPERLINK("https://klasma.github.io/Logging_2280/klagomålsmail/A 57656-2018 klagomålsmail.docx", "A 57656-2018")</f>
        <v/>
      </c>
      <c r="X61">
        <f>HYPERLINK("https://klasma.github.io/Logging_2280/tillsyn/A 57656-2018 tillsyn.docx", "A 57656-2018")</f>
        <v/>
      </c>
      <c r="Y61">
        <f>HYPERLINK("https://klasma.github.io/Logging_2280/tillsynsmail/A 57656-2018 tillsynsmail.docx", "A 57656-2018")</f>
        <v/>
      </c>
    </row>
    <row r="62" ht="15" customHeight="1">
      <c r="A62" t="inlineStr">
        <is>
          <t>A 65657-2018</t>
        </is>
      </c>
      <c r="B62" s="1" t="n">
        <v>43426</v>
      </c>
      <c r="C62" s="1" t="n">
        <v>45212</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HYPERLINK("https://klasma.github.io/Logging_2262/karta/A 65657-2018 karta.png", "A 65657-2018")</f>
        <v/>
      </c>
      <c r="U62">
        <f>HYPERLINK("https://klasma.github.io/Logging_2262/knärot/A 65657-2018 knärot.png", "A 65657-2018")</f>
        <v/>
      </c>
      <c r="V62">
        <f>HYPERLINK("https://klasma.github.io/Logging_2262/klagomål/A 65657-2018 klagomål.docx", "A 65657-2018")</f>
        <v/>
      </c>
      <c r="W62">
        <f>HYPERLINK("https://klasma.github.io/Logging_2262/klagomålsmail/A 65657-2018 klagomålsmail.docx", "A 65657-2018")</f>
        <v/>
      </c>
      <c r="X62">
        <f>HYPERLINK("https://klasma.github.io/Logging_2262/tillsyn/A 65657-2018 tillsyn.docx", "A 65657-2018")</f>
        <v/>
      </c>
      <c r="Y62">
        <f>HYPERLINK("https://klasma.github.io/Logging_2262/tillsynsmail/A 65657-2018 tillsynsmail.docx", "A 65657-2018")</f>
        <v/>
      </c>
    </row>
    <row r="63" ht="15" customHeight="1">
      <c r="A63" t="inlineStr">
        <is>
          <t>A 41031-2020</t>
        </is>
      </c>
      <c r="B63" s="1" t="n">
        <v>44070</v>
      </c>
      <c r="C63" s="1" t="n">
        <v>45212</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HYPERLINK("https://klasma.github.io/Logging_2283/karta/A 41031-2020 karta.png", "A 41031-2020")</f>
        <v/>
      </c>
      <c r="U63">
        <f>HYPERLINK("https://klasma.github.io/Logging_2283/knärot/A 41031-2020 knärot.png", "A 41031-2020")</f>
        <v/>
      </c>
      <c r="V63">
        <f>HYPERLINK("https://klasma.github.io/Logging_2283/klagomål/A 41031-2020 klagomål.docx", "A 41031-2020")</f>
        <v/>
      </c>
      <c r="W63">
        <f>HYPERLINK("https://klasma.github.io/Logging_2283/klagomålsmail/A 41031-2020 klagomålsmail.docx", "A 41031-2020")</f>
        <v/>
      </c>
      <c r="X63">
        <f>HYPERLINK("https://klasma.github.io/Logging_2283/tillsyn/A 41031-2020 tillsyn.docx", "A 41031-2020")</f>
        <v/>
      </c>
      <c r="Y63">
        <f>HYPERLINK("https://klasma.github.io/Logging_2283/tillsynsmail/A 41031-2020 tillsynsmail.docx", "A 41031-2020")</f>
        <v/>
      </c>
    </row>
    <row r="64" ht="15" customHeight="1">
      <c r="A64" t="inlineStr">
        <is>
          <t>A 6429-2022</t>
        </is>
      </c>
      <c r="B64" s="1" t="n">
        <v>44600</v>
      </c>
      <c r="C64" s="1" t="n">
        <v>45212</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HYPERLINK("https://klasma.github.io/Logging_2260/karta/A 6429-2022 karta.png", "A 6429-2022")</f>
        <v/>
      </c>
      <c r="V64">
        <f>HYPERLINK("https://klasma.github.io/Logging_2260/klagomål/A 6429-2022 klagomål.docx", "A 6429-2022")</f>
        <v/>
      </c>
      <c r="W64">
        <f>HYPERLINK("https://klasma.github.io/Logging_2260/klagomålsmail/A 6429-2022 klagomålsmail.docx", "A 6429-2022")</f>
        <v/>
      </c>
      <c r="X64">
        <f>HYPERLINK("https://klasma.github.io/Logging_2260/tillsyn/A 6429-2022 tillsyn.docx", "A 6429-2022")</f>
        <v/>
      </c>
      <c r="Y64">
        <f>HYPERLINK("https://klasma.github.io/Logging_2260/tillsynsmail/A 6429-2022 tillsynsmail.docx", "A 6429-2022")</f>
        <v/>
      </c>
    </row>
    <row r="65" ht="15" customHeight="1">
      <c r="A65" t="inlineStr">
        <is>
          <t>A 37808-2022</t>
        </is>
      </c>
      <c r="B65" s="1" t="n">
        <v>44810</v>
      </c>
      <c r="C65" s="1" t="n">
        <v>45212</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HYPERLINK("https://klasma.github.io/Logging_2282/karta/A 37808-2022 karta.png", "A 37808-2022")</f>
        <v/>
      </c>
      <c r="V65">
        <f>HYPERLINK("https://klasma.github.io/Logging_2282/klagomål/A 37808-2022 klagomål.docx", "A 37808-2022")</f>
        <v/>
      </c>
      <c r="W65">
        <f>HYPERLINK("https://klasma.github.io/Logging_2282/klagomålsmail/A 37808-2022 klagomålsmail.docx", "A 37808-2022")</f>
        <v/>
      </c>
      <c r="X65">
        <f>HYPERLINK("https://klasma.github.io/Logging_2282/tillsyn/A 37808-2022 tillsyn.docx", "A 37808-2022")</f>
        <v/>
      </c>
      <c r="Y65">
        <f>HYPERLINK("https://klasma.github.io/Logging_2282/tillsynsmail/A 37808-2022 tillsynsmail.docx", "A 37808-2022")</f>
        <v/>
      </c>
    </row>
    <row r="66" ht="15" customHeight="1">
      <c r="A66" t="inlineStr">
        <is>
          <t>A 50331-2022</t>
        </is>
      </c>
      <c r="B66" s="1" t="n">
        <v>44865</v>
      </c>
      <c r="C66" s="1" t="n">
        <v>45212</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HYPERLINK("https://klasma.github.io/Logging_2260/karta/A 50331-2022 karta.png", "A 50331-2022")</f>
        <v/>
      </c>
      <c r="U66">
        <f>HYPERLINK("https://klasma.github.io/Logging_2260/knärot/A 50331-2022 knärot.png", "A 50331-2022")</f>
        <v/>
      </c>
      <c r="V66">
        <f>HYPERLINK("https://klasma.github.io/Logging_2260/klagomål/A 50331-2022 klagomål.docx", "A 50331-2022")</f>
        <v/>
      </c>
      <c r="W66">
        <f>HYPERLINK("https://klasma.github.io/Logging_2260/klagomålsmail/A 50331-2022 klagomålsmail.docx", "A 50331-2022")</f>
        <v/>
      </c>
      <c r="X66">
        <f>HYPERLINK("https://klasma.github.io/Logging_2260/tillsyn/A 50331-2022 tillsyn.docx", "A 50331-2022")</f>
        <v/>
      </c>
      <c r="Y66">
        <f>HYPERLINK("https://klasma.github.io/Logging_2260/tillsynsmail/A 50331-2022 tillsynsmail.docx", "A 50331-2022")</f>
        <v/>
      </c>
    </row>
    <row r="67" ht="15" customHeight="1">
      <c r="A67" t="inlineStr">
        <is>
          <t>A 26367-2023</t>
        </is>
      </c>
      <c r="B67" s="1" t="n">
        <v>45091</v>
      </c>
      <c r="C67" s="1" t="n">
        <v>45212</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HYPERLINK("https://klasma.github.io/Logging_2283/karta/A 26367-2023 karta.png", "A 26367-2023")</f>
        <v/>
      </c>
      <c r="V67">
        <f>HYPERLINK("https://klasma.github.io/Logging_2283/klagomål/A 26367-2023 klagomål.docx", "A 26367-2023")</f>
        <v/>
      </c>
      <c r="W67">
        <f>HYPERLINK("https://klasma.github.io/Logging_2283/klagomålsmail/A 26367-2023 klagomålsmail.docx", "A 26367-2023")</f>
        <v/>
      </c>
      <c r="X67">
        <f>HYPERLINK("https://klasma.github.io/Logging_2283/tillsyn/A 26367-2023 tillsyn.docx", "A 26367-2023")</f>
        <v/>
      </c>
      <c r="Y67">
        <f>HYPERLINK("https://klasma.github.io/Logging_2283/tillsynsmail/A 26367-2023 tillsynsmail.docx", "A 26367-2023")</f>
        <v/>
      </c>
    </row>
    <row r="68" ht="15" customHeight="1">
      <c r="A68" t="inlineStr">
        <is>
          <t>A 40784-2019</t>
        </is>
      </c>
      <c r="B68" s="1" t="n">
        <v>43693</v>
      </c>
      <c r="C68" s="1" t="n">
        <v>45212</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 artfynd.xlsx", "A 40784-2019")</f>
        <v/>
      </c>
      <c r="T68">
        <f>HYPERLINK("https://klasma.github.io/Logging_2283/karta/A 40784-2019 karta.png", "A 40784-2019")</f>
        <v/>
      </c>
      <c r="V68">
        <f>HYPERLINK("https://klasma.github.io/Logging_2283/klagomål/A 40784-2019 klagomål.docx", "A 40784-2019")</f>
        <v/>
      </c>
      <c r="W68">
        <f>HYPERLINK("https://klasma.github.io/Logging_2283/klagomålsmail/A 40784-2019 klagomålsmail.docx", "A 40784-2019")</f>
        <v/>
      </c>
      <c r="X68">
        <f>HYPERLINK("https://klasma.github.io/Logging_2283/tillsyn/A 40784-2019 tillsyn.docx", "A 40784-2019")</f>
        <v/>
      </c>
      <c r="Y68">
        <f>HYPERLINK("https://klasma.github.io/Logging_2283/tillsynsmail/A 40784-2019 tillsynsmail.docx", "A 40784-2019")</f>
        <v/>
      </c>
    </row>
    <row r="69" ht="15" customHeight="1">
      <c r="A69" t="inlineStr">
        <is>
          <t>A 65357-2019</t>
        </is>
      </c>
      <c r="B69" s="1" t="n">
        <v>43803</v>
      </c>
      <c r="C69" s="1" t="n">
        <v>45212</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 artfynd.xlsx", "A 65357-2019")</f>
        <v/>
      </c>
      <c r="T69">
        <f>HYPERLINK("https://klasma.github.io/Logging_2282/karta/A 65357-2019 karta.png", "A 65357-2019")</f>
        <v/>
      </c>
      <c r="V69">
        <f>HYPERLINK("https://klasma.github.io/Logging_2282/klagomål/A 65357-2019 klagomål.docx", "A 65357-2019")</f>
        <v/>
      </c>
      <c r="W69">
        <f>HYPERLINK("https://klasma.github.io/Logging_2282/klagomålsmail/A 65357-2019 klagomålsmail.docx", "A 65357-2019")</f>
        <v/>
      </c>
      <c r="X69">
        <f>HYPERLINK("https://klasma.github.io/Logging_2282/tillsyn/A 65357-2019 tillsyn.docx", "A 65357-2019")</f>
        <v/>
      </c>
      <c r="Y69">
        <f>HYPERLINK("https://klasma.github.io/Logging_2282/tillsynsmail/A 65357-2019 tillsynsmail.docx", "A 65357-2019")</f>
        <v/>
      </c>
    </row>
    <row r="70" ht="15" customHeight="1">
      <c r="A70" t="inlineStr">
        <is>
          <t>A 38081-2020</t>
        </is>
      </c>
      <c r="B70" s="1" t="n">
        <v>44057</v>
      </c>
      <c r="C70" s="1" t="n">
        <v>45212</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 artfynd.xlsx", "A 38081-2020")</f>
        <v/>
      </c>
      <c r="T70">
        <f>HYPERLINK("https://klasma.github.io/Logging_2260/karta/A 38081-2020 karta.png", "A 38081-2020")</f>
        <v/>
      </c>
      <c r="V70">
        <f>HYPERLINK("https://klasma.github.io/Logging_2260/klagomål/A 38081-2020 klagomål.docx", "A 38081-2020")</f>
        <v/>
      </c>
      <c r="W70">
        <f>HYPERLINK("https://klasma.github.io/Logging_2260/klagomålsmail/A 38081-2020 klagomålsmail.docx", "A 38081-2020")</f>
        <v/>
      </c>
      <c r="X70">
        <f>HYPERLINK("https://klasma.github.io/Logging_2260/tillsyn/A 38081-2020 tillsyn.docx", "A 38081-2020")</f>
        <v/>
      </c>
      <c r="Y70">
        <f>HYPERLINK("https://klasma.github.io/Logging_2260/tillsynsmail/A 38081-2020 tillsynsmail.docx", "A 38081-2020")</f>
        <v/>
      </c>
    </row>
    <row r="71" ht="15" customHeight="1">
      <c r="A71" t="inlineStr">
        <is>
          <t>A 46964-2020</t>
        </is>
      </c>
      <c r="B71" s="1" t="n">
        <v>44096</v>
      </c>
      <c r="C71" s="1" t="n">
        <v>45212</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 artfynd.xlsx", "A 46964-2020")</f>
        <v/>
      </c>
      <c r="T71">
        <f>HYPERLINK("https://klasma.github.io/Logging_2281/karta/A 46964-2020 karta.png", "A 46964-2020")</f>
        <v/>
      </c>
      <c r="V71">
        <f>HYPERLINK("https://klasma.github.io/Logging_2281/klagomål/A 46964-2020 klagomål.docx", "A 46964-2020")</f>
        <v/>
      </c>
      <c r="W71">
        <f>HYPERLINK("https://klasma.github.io/Logging_2281/klagomålsmail/A 46964-2020 klagomålsmail.docx", "A 46964-2020")</f>
        <v/>
      </c>
      <c r="X71">
        <f>HYPERLINK("https://klasma.github.io/Logging_2281/tillsyn/A 46964-2020 tillsyn.docx", "A 46964-2020")</f>
        <v/>
      </c>
      <c r="Y71">
        <f>HYPERLINK("https://klasma.github.io/Logging_2281/tillsynsmail/A 46964-2020 tillsynsmail.docx", "A 46964-2020")</f>
        <v/>
      </c>
    </row>
    <row r="72" ht="15" customHeight="1">
      <c r="A72" t="inlineStr">
        <is>
          <t>A 62868-2020</t>
        </is>
      </c>
      <c r="B72" s="1" t="n">
        <v>44161</v>
      </c>
      <c r="C72" s="1" t="n">
        <v>45212</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 artfynd.xlsx", "A 62868-2020")</f>
        <v/>
      </c>
      <c r="T72">
        <f>HYPERLINK("https://klasma.github.io/Logging_2260/karta/A 62868-2020 karta.png", "A 62868-2020")</f>
        <v/>
      </c>
      <c r="V72">
        <f>HYPERLINK("https://klasma.github.io/Logging_2260/klagomål/A 62868-2020 klagomål.docx", "A 62868-2020")</f>
        <v/>
      </c>
      <c r="W72">
        <f>HYPERLINK("https://klasma.github.io/Logging_2260/klagomålsmail/A 62868-2020 klagomålsmail.docx", "A 62868-2020")</f>
        <v/>
      </c>
      <c r="X72">
        <f>HYPERLINK("https://klasma.github.io/Logging_2260/tillsyn/A 62868-2020 tillsyn.docx", "A 62868-2020")</f>
        <v/>
      </c>
      <c r="Y72">
        <f>HYPERLINK("https://klasma.github.io/Logging_2260/tillsynsmail/A 62868-2020 tillsynsmail.docx", "A 62868-2020")</f>
        <v/>
      </c>
    </row>
    <row r="73" ht="15" customHeight="1">
      <c r="A73" t="inlineStr">
        <is>
          <t>A 42309-2021</t>
        </is>
      </c>
      <c r="B73" s="1" t="n">
        <v>44427</v>
      </c>
      <c r="C73" s="1" t="n">
        <v>45212</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 artfynd.xlsx", "A 42309-2021")</f>
        <v/>
      </c>
      <c r="T73">
        <f>HYPERLINK("https://klasma.github.io/Logging_2260/karta/A 42309-2021 karta.png", "A 42309-2021")</f>
        <v/>
      </c>
      <c r="V73">
        <f>HYPERLINK("https://klasma.github.io/Logging_2260/klagomål/A 42309-2021 klagomål.docx", "A 42309-2021")</f>
        <v/>
      </c>
      <c r="W73">
        <f>HYPERLINK("https://klasma.github.io/Logging_2260/klagomålsmail/A 42309-2021 klagomålsmail.docx", "A 42309-2021")</f>
        <v/>
      </c>
      <c r="X73">
        <f>HYPERLINK("https://klasma.github.io/Logging_2260/tillsyn/A 42309-2021 tillsyn.docx", "A 42309-2021")</f>
        <v/>
      </c>
      <c r="Y73">
        <f>HYPERLINK("https://klasma.github.io/Logging_2260/tillsynsmail/A 42309-2021 tillsynsmail.docx", "A 42309-2021")</f>
        <v/>
      </c>
    </row>
    <row r="74" ht="15" customHeight="1">
      <c r="A74" t="inlineStr">
        <is>
          <t>A 54569-2021</t>
        </is>
      </c>
      <c r="B74" s="1" t="n">
        <v>44473</v>
      </c>
      <c r="C74" s="1" t="n">
        <v>45212</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 artfynd.xlsx", "A 54569-2021")</f>
        <v/>
      </c>
      <c r="T74">
        <f>HYPERLINK("https://klasma.github.io/Logging_2284/karta/A 54569-2021 karta.png", "A 54569-2021")</f>
        <v/>
      </c>
      <c r="V74">
        <f>HYPERLINK("https://klasma.github.io/Logging_2284/klagomål/A 54569-2021 klagomål.docx", "A 54569-2021")</f>
        <v/>
      </c>
      <c r="W74">
        <f>HYPERLINK("https://klasma.github.io/Logging_2284/klagomålsmail/A 54569-2021 klagomålsmail.docx", "A 54569-2021")</f>
        <v/>
      </c>
      <c r="X74">
        <f>HYPERLINK("https://klasma.github.io/Logging_2284/tillsyn/A 54569-2021 tillsyn.docx", "A 54569-2021")</f>
        <v/>
      </c>
      <c r="Y74">
        <f>HYPERLINK("https://klasma.github.io/Logging_2284/tillsynsmail/A 54569-2021 tillsynsmail.docx", "A 54569-2021")</f>
        <v/>
      </c>
    </row>
    <row r="75" ht="15" customHeight="1">
      <c r="A75" t="inlineStr">
        <is>
          <t>A 67697-2021</t>
        </is>
      </c>
      <c r="B75" s="1" t="n">
        <v>44524</v>
      </c>
      <c r="C75" s="1" t="n">
        <v>45212</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 artfynd.xlsx", "A 67697-2021")</f>
        <v/>
      </c>
      <c r="T75">
        <f>HYPERLINK("https://klasma.github.io/Logging_2260/karta/A 67697-2021 karta.png", "A 67697-2021")</f>
        <v/>
      </c>
      <c r="V75">
        <f>HYPERLINK("https://klasma.github.io/Logging_2260/klagomål/A 67697-2021 klagomål.docx", "A 67697-2021")</f>
        <v/>
      </c>
      <c r="W75">
        <f>HYPERLINK("https://klasma.github.io/Logging_2260/klagomålsmail/A 67697-2021 klagomålsmail.docx", "A 67697-2021")</f>
        <v/>
      </c>
      <c r="X75">
        <f>HYPERLINK("https://klasma.github.io/Logging_2260/tillsyn/A 67697-2021 tillsyn.docx", "A 67697-2021")</f>
        <v/>
      </c>
      <c r="Y75">
        <f>HYPERLINK("https://klasma.github.io/Logging_2260/tillsynsmail/A 67697-2021 tillsynsmail.docx", "A 67697-2021")</f>
        <v/>
      </c>
    </row>
    <row r="76" ht="15" customHeight="1">
      <c r="A76" t="inlineStr">
        <is>
          <t>A 11894-2022</t>
        </is>
      </c>
      <c r="B76" s="1" t="n">
        <v>44635</v>
      </c>
      <c r="C76" s="1" t="n">
        <v>45212</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 artfynd.xlsx", "A 11894-2022")</f>
        <v/>
      </c>
      <c r="T76">
        <f>HYPERLINK("https://klasma.github.io/Logging_2260/karta/A 11894-2022 karta.png", "A 11894-2022")</f>
        <v/>
      </c>
      <c r="V76">
        <f>HYPERLINK("https://klasma.github.io/Logging_2260/klagomål/A 11894-2022 klagomål.docx", "A 11894-2022")</f>
        <v/>
      </c>
      <c r="W76">
        <f>HYPERLINK("https://klasma.github.io/Logging_2260/klagomålsmail/A 11894-2022 klagomålsmail.docx", "A 11894-2022")</f>
        <v/>
      </c>
      <c r="X76">
        <f>HYPERLINK("https://klasma.github.io/Logging_2260/tillsyn/A 11894-2022 tillsyn.docx", "A 11894-2022")</f>
        <v/>
      </c>
      <c r="Y76">
        <f>HYPERLINK("https://klasma.github.io/Logging_2260/tillsynsmail/A 11894-2022 tillsynsmail.docx", "A 11894-2022")</f>
        <v/>
      </c>
    </row>
    <row r="77" ht="15" customHeight="1">
      <c r="A77" t="inlineStr">
        <is>
          <t>A 14887-2022</t>
        </is>
      </c>
      <c r="B77" s="1" t="n">
        <v>44656</v>
      </c>
      <c r="C77" s="1" t="n">
        <v>45212</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 artfynd.xlsx", "A 14887-2022")</f>
        <v/>
      </c>
      <c r="T77">
        <f>HYPERLINK("https://klasma.github.io/Logging_2260/karta/A 14887-2022 karta.png", "A 14887-2022")</f>
        <v/>
      </c>
      <c r="U77">
        <f>HYPERLINK("https://klasma.github.io/Logging_2260/knärot/A 14887-2022 knärot.png", "A 14887-2022")</f>
        <v/>
      </c>
      <c r="V77">
        <f>HYPERLINK("https://klasma.github.io/Logging_2260/klagomål/A 14887-2022 klagomål.docx", "A 14887-2022")</f>
        <v/>
      </c>
      <c r="W77">
        <f>HYPERLINK("https://klasma.github.io/Logging_2260/klagomålsmail/A 14887-2022 klagomålsmail.docx", "A 14887-2022")</f>
        <v/>
      </c>
      <c r="X77">
        <f>HYPERLINK("https://klasma.github.io/Logging_2260/tillsyn/A 14887-2022 tillsyn.docx", "A 14887-2022")</f>
        <v/>
      </c>
      <c r="Y77">
        <f>HYPERLINK("https://klasma.github.io/Logging_2260/tillsynsmail/A 14887-2022 tillsynsmail.docx", "A 14887-2022")</f>
        <v/>
      </c>
    </row>
    <row r="78" ht="15" customHeight="1">
      <c r="A78" t="inlineStr">
        <is>
          <t>A 18563-2022</t>
        </is>
      </c>
      <c r="B78" s="1" t="n">
        <v>44686</v>
      </c>
      <c r="C78" s="1" t="n">
        <v>45212</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 artfynd.xlsx", "A 18563-2022")</f>
        <v/>
      </c>
      <c r="T78">
        <f>HYPERLINK("https://klasma.github.io/Logging_2280/karta/A 18563-2022 karta.png", "A 18563-2022")</f>
        <v/>
      </c>
      <c r="V78">
        <f>HYPERLINK("https://klasma.github.io/Logging_2280/klagomål/A 18563-2022 klagomål.docx", "A 18563-2022")</f>
        <v/>
      </c>
      <c r="W78">
        <f>HYPERLINK("https://klasma.github.io/Logging_2280/klagomålsmail/A 18563-2022 klagomålsmail.docx", "A 18563-2022")</f>
        <v/>
      </c>
      <c r="X78">
        <f>HYPERLINK("https://klasma.github.io/Logging_2280/tillsyn/A 18563-2022 tillsyn.docx", "A 18563-2022")</f>
        <v/>
      </c>
      <c r="Y78">
        <f>HYPERLINK("https://klasma.github.io/Logging_2280/tillsynsmail/A 18563-2022 tillsynsmail.docx", "A 18563-2022")</f>
        <v/>
      </c>
    </row>
    <row r="79" ht="15" customHeight="1">
      <c r="A79" t="inlineStr">
        <is>
          <t>A 49519-2022</t>
        </is>
      </c>
      <c r="B79" s="1" t="n">
        <v>44861</v>
      </c>
      <c r="C79" s="1" t="n">
        <v>45212</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 artfynd.xlsx", "A 49519-2022")</f>
        <v/>
      </c>
      <c r="T79">
        <f>HYPERLINK("https://klasma.github.io/Logging_2260/karta/A 49519-2022 karta.png", "A 49519-2022")</f>
        <v/>
      </c>
      <c r="U79">
        <f>HYPERLINK("https://klasma.github.io/Logging_2260/knärot/A 49519-2022 knärot.png", "A 49519-2022")</f>
        <v/>
      </c>
      <c r="V79">
        <f>HYPERLINK("https://klasma.github.io/Logging_2260/klagomål/A 49519-2022 klagomål.docx", "A 49519-2022")</f>
        <v/>
      </c>
      <c r="W79">
        <f>HYPERLINK("https://klasma.github.io/Logging_2260/klagomålsmail/A 49519-2022 klagomålsmail.docx", "A 49519-2022")</f>
        <v/>
      </c>
      <c r="X79">
        <f>HYPERLINK("https://klasma.github.io/Logging_2260/tillsyn/A 49519-2022 tillsyn.docx", "A 49519-2022")</f>
        <v/>
      </c>
      <c r="Y79">
        <f>HYPERLINK("https://klasma.github.io/Logging_2260/tillsynsmail/A 49519-2022 tillsynsmail.docx", "A 49519-2022")</f>
        <v/>
      </c>
    </row>
    <row r="80" ht="15" customHeight="1">
      <c r="A80" t="inlineStr">
        <is>
          <t>A 16388-2023</t>
        </is>
      </c>
      <c r="B80" s="1" t="n">
        <v>45022</v>
      </c>
      <c r="C80" s="1" t="n">
        <v>45212</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 artfynd.xlsx", "A 16388-2023")</f>
        <v/>
      </c>
      <c r="T80">
        <f>HYPERLINK("https://klasma.github.io/Logging_2281/karta/A 16388-2023 karta.png", "A 16388-2023")</f>
        <v/>
      </c>
      <c r="U80">
        <f>HYPERLINK("https://klasma.github.io/Logging_2281/knärot/A 16388-2023 knärot.png", "A 16388-2023")</f>
        <v/>
      </c>
      <c r="V80">
        <f>HYPERLINK("https://klasma.github.io/Logging_2281/klagomål/A 16388-2023 klagomål.docx", "A 16388-2023")</f>
        <v/>
      </c>
      <c r="W80">
        <f>HYPERLINK("https://klasma.github.io/Logging_2281/klagomålsmail/A 16388-2023 klagomålsmail.docx", "A 16388-2023")</f>
        <v/>
      </c>
      <c r="X80">
        <f>HYPERLINK("https://klasma.github.io/Logging_2281/tillsyn/A 16388-2023 tillsyn.docx", "A 16388-2023")</f>
        <v/>
      </c>
      <c r="Y80">
        <f>HYPERLINK("https://klasma.github.io/Logging_2281/tillsynsmail/A 16388-2023 tillsynsmail.docx", "A 16388-2023")</f>
        <v/>
      </c>
    </row>
    <row r="81" ht="15" customHeight="1">
      <c r="A81" t="inlineStr">
        <is>
          <t>A 40520-2019</t>
        </is>
      </c>
      <c r="B81" s="1" t="n">
        <v>43696</v>
      </c>
      <c r="C81" s="1" t="n">
        <v>45212</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HYPERLINK("https://klasma.github.io/Logging_2260/artfynd/A 40520-2019 artfynd.xlsx", "A 40520-2019")</f>
        <v/>
      </c>
      <c r="T81">
        <f>HYPERLINK("https://klasma.github.io/Logging_2260/karta/A 40520-2019 karta.png", "A 40520-2019")</f>
        <v/>
      </c>
      <c r="V81">
        <f>HYPERLINK("https://klasma.github.io/Logging_2260/klagomål/A 40520-2019 klagomål.docx", "A 40520-2019")</f>
        <v/>
      </c>
      <c r="W81">
        <f>HYPERLINK("https://klasma.github.io/Logging_2260/klagomålsmail/A 40520-2019 klagomålsmail.docx", "A 40520-2019")</f>
        <v/>
      </c>
      <c r="X81">
        <f>HYPERLINK("https://klasma.github.io/Logging_2260/tillsyn/A 40520-2019 tillsyn.docx", "A 40520-2019")</f>
        <v/>
      </c>
      <c r="Y81">
        <f>HYPERLINK("https://klasma.github.io/Logging_2260/tillsynsmail/A 40520-2019 tillsynsmail.docx", "A 40520-2019")</f>
        <v/>
      </c>
    </row>
    <row r="82" ht="15" customHeight="1">
      <c r="A82" t="inlineStr">
        <is>
          <t>A 3261-2020</t>
        </is>
      </c>
      <c r="B82" s="1" t="n">
        <v>43852</v>
      </c>
      <c r="C82" s="1" t="n">
        <v>45212</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HYPERLINK("https://klasma.github.io/Logging_2282/artfynd/A 3261-2020 artfynd.xlsx", "A 3261-2020")</f>
        <v/>
      </c>
      <c r="T82">
        <f>HYPERLINK("https://klasma.github.io/Logging_2282/karta/A 3261-2020 karta.png", "A 3261-2020")</f>
        <v/>
      </c>
      <c r="V82">
        <f>HYPERLINK("https://klasma.github.io/Logging_2282/klagomål/A 3261-2020 klagomål.docx", "A 3261-2020")</f>
        <v/>
      </c>
      <c r="W82">
        <f>HYPERLINK("https://klasma.github.io/Logging_2282/klagomålsmail/A 3261-2020 klagomålsmail.docx", "A 3261-2020")</f>
        <v/>
      </c>
      <c r="X82">
        <f>HYPERLINK("https://klasma.github.io/Logging_2282/tillsyn/A 3261-2020 tillsyn.docx", "A 3261-2020")</f>
        <v/>
      </c>
      <c r="Y82">
        <f>HYPERLINK("https://klasma.github.io/Logging_2282/tillsynsmail/A 3261-2020 tillsynsmail.docx", "A 3261-2020")</f>
        <v/>
      </c>
    </row>
    <row r="83" ht="15" customHeight="1">
      <c r="A83" t="inlineStr">
        <is>
          <t>A 50639-2020</t>
        </is>
      </c>
      <c r="B83" s="1" t="n">
        <v>44110</v>
      </c>
      <c r="C83" s="1" t="n">
        <v>45212</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HYPERLINK("https://klasma.github.io/Logging_2283/artfynd/A 50639-2020 artfynd.xlsx", "A 50639-2020")</f>
        <v/>
      </c>
      <c r="T83">
        <f>HYPERLINK("https://klasma.github.io/Logging_2283/karta/A 50639-2020 karta.png", "A 50639-2020")</f>
        <v/>
      </c>
      <c r="V83">
        <f>HYPERLINK("https://klasma.github.io/Logging_2283/klagomål/A 50639-2020 klagomål.docx", "A 50639-2020")</f>
        <v/>
      </c>
      <c r="W83">
        <f>HYPERLINK("https://klasma.github.io/Logging_2283/klagomålsmail/A 50639-2020 klagomålsmail.docx", "A 50639-2020")</f>
        <v/>
      </c>
      <c r="X83">
        <f>HYPERLINK("https://klasma.github.io/Logging_2283/tillsyn/A 50639-2020 tillsyn.docx", "A 50639-2020")</f>
        <v/>
      </c>
      <c r="Y83">
        <f>HYPERLINK("https://klasma.github.io/Logging_2283/tillsynsmail/A 50639-2020 tillsynsmail.docx", "A 50639-2020")</f>
        <v/>
      </c>
    </row>
    <row r="84" ht="15" customHeight="1">
      <c r="A84" t="inlineStr">
        <is>
          <t>A 53796-2021</t>
        </is>
      </c>
      <c r="B84" s="1" t="n">
        <v>44469</v>
      </c>
      <c r="C84" s="1" t="n">
        <v>45212</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HYPERLINK("https://klasma.github.io/Logging_2284/artfynd/A 53796-2021 artfynd.xlsx", "A 53796-2021")</f>
        <v/>
      </c>
      <c r="T84">
        <f>HYPERLINK("https://klasma.github.io/Logging_2284/karta/A 53796-2021 karta.png", "A 53796-2021")</f>
        <v/>
      </c>
      <c r="V84">
        <f>HYPERLINK("https://klasma.github.io/Logging_2284/klagomål/A 53796-2021 klagomål.docx", "A 53796-2021")</f>
        <v/>
      </c>
      <c r="W84">
        <f>HYPERLINK("https://klasma.github.io/Logging_2284/klagomålsmail/A 53796-2021 klagomålsmail.docx", "A 53796-2021")</f>
        <v/>
      </c>
      <c r="X84">
        <f>HYPERLINK("https://klasma.github.io/Logging_2284/tillsyn/A 53796-2021 tillsyn.docx", "A 53796-2021")</f>
        <v/>
      </c>
      <c r="Y84">
        <f>HYPERLINK("https://klasma.github.io/Logging_2284/tillsynsmail/A 53796-2021 tillsynsmail.docx", "A 53796-2021")</f>
        <v/>
      </c>
    </row>
    <row r="85" ht="15" customHeight="1">
      <c r="A85" t="inlineStr">
        <is>
          <t>A 66171-2021</t>
        </is>
      </c>
      <c r="B85" s="1" t="n">
        <v>44517</v>
      </c>
      <c r="C85" s="1" t="n">
        <v>45212</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HYPERLINK("https://klasma.github.io/Logging_2283/artfynd/A 66171-2021 artfynd.xlsx", "A 66171-2021")</f>
        <v/>
      </c>
      <c r="T85">
        <f>HYPERLINK("https://klasma.github.io/Logging_2283/karta/A 66171-2021 karta.png", "A 66171-2021")</f>
        <v/>
      </c>
      <c r="U85">
        <f>HYPERLINK("https://klasma.github.io/Logging_2283/knärot/A 66171-2021 knärot.png", "A 66171-2021")</f>
        <v/>
      </c>
      <c r="V85">
        <f>HYPERLINK("https://klasma.github.io/Logging_2283/klagomål/A 66171-2021 klagomål.docx", "A 66171-2021")</f>
        <v/>
      </c>
      <c r="W85">
        <f>HYPERLINK("https://klasma.github.io/Logging_2283/klagomålsmail/A 66171-2021 klagomålsmail.docx", "A 66171-2021")</f>
        <v/>
      </c>
      <c r="X85">
        <f>HYPERLINK("https://klasma.github.io/Logging_2283/tillsyn/A 66171-2021 tillsyn.docx", "A 66171-2021")</f>
        <v/>
      </c>
      <c r="Y85">
        <f>HYPERLINK("https://klasma.github.io/Logging_2283/tillsynsmail/A 66171-2021 tillsynsmail.docx", "A 66171-2021")</f>
        <v/>
      </c>
    </row>
    <row r="86" ht="15" customHeight="1">
      <c r="A86" t="inlineStr">
        <is>
          <t>A 747-2022</t>
        </is>
      </c>
      <c r="B86" s="1" t="n">
        <v>44568</v>
      </c>
      <c r="C86" s="1" t="n">
        <v>45212</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HYPERLINK("https://klasma.github.io/Logging_2283/artfynd/A 747-2022 artfynd.xlsx", "A 747-2022")</f>
        <v/>
      </c>
      <c r="T86">
        <f>HYPERLINK("https://klasma.github.io/Logging_2283/karta/A 747-2022 karta.png", "A 747-2022")</f>
        <v/>
      </c>
      <c r="V86">
        <f>HYPERLINK("https://klasma.github.io/Logging_2283/klagomål/A 747-2022 klagomål.docx", "A 747-2022")</f>
        <v/>
      </c>
      <c r="W86">
        <f>HYPERLINK("https://klasma.github.io/Logging_2283/klagomålsmail/A 747-2022 klagomålsmail.docx", "A 747-2022")</f>
        <v/>
      </c>
      <c r="X86">
        <f>HYPERLINK("https://klasma.github.io/Logging_2283/tillsyn/A 747-2022 tillsyn.docx", "A 747-2022")</f>
        <v/>
      </c>
      <c r="Y86">
        <f>HYPERLINK("https://klasma.github.io/Logging_2283/tillsynsmail/A 747-2022 tillsynsmail.docx", "A 747-2022")</f>
        <v/>
      </c>
    </row>
    <row r="87" ht="15" customHeight="1">
      <c r="A87" t="inlineStr">
        <is>
          <t>A 11491-2022</t>
        </is>
      </c>
      <c r="B87" s="1" t="n">
        <v>44630</v>
      </c>
      <c r="C87" s="1" t="n">
        <v>45212</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HYPERLINK("https://klasma.github.io/Logging_2283/artfynd/A 11491-2022 artfynd.xlsx", "A 11491-2022")</f>
        <v/>
      </c>
      <c r="T87">
        <f>HYPERLINK("https://klasma.github.io/Logging_2283/karta/A 11491-2022 karta.png", "A 11491-2022")</f>
        <v/>
      </c>
      <c r="U87">
        <f>HYPERLINK("https://klasma.github.io/Logging_2283/knärot/A 11491-2022 knärot.png", "A 11491-2022")</f>
        <v/>
      </c>
      <c r="V87">
        <f>HYPERLINK("https://klasma.github.io/Logging_2283/klagomål/A 11491-2022 klagomål.docx", "A 11491-2022")</f>
        <v/>
      </c>
      <c r="W87">
        <f>HYPERLINK("https://klasma.github.io/Logging_2283/klagomålsmail/A 11491-2022 klagomålsmail.docx", "A 11491-2022")</f>
        <v/>
      </c>
      <c r="X87">
        <f>HYPERLINK("https://klasma.github.io/Logging_2283/tillsyn/A 11491-2022 tillsyn.docx", "A 11491-2022")</f>
        <v/>
      </c>
      <c r="Y87">
        <f>HYPERLINK("https://klasma.github.io/Logging_2283/tillsynsmail/A 11491-2022 tillsynsmail.docx", "A 11491-2022")</f>
        <v/>
      </c>
    </row>
    <row r="88" ht="15" customHeight="1">
      <c r="A88" t="inlineStr">
        <is>
          <t>A 20312-2022</t>
        </is>
      </c>
      <c r="B88" s="1" t="n">
        <v>44698</v>
      </c>
      <c r="C88" s="1" t="n">
        <v>45212</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HYPERLINK("https://klasma.github.io/Logging_2283/artfynd/A 20312-2022 artfynd.xlsx", "A 20312-2022")</f>
        <v/>
      </c>
      <c r="T88">
        <f>HYPERLINK("https://klasma.github.io/Logging_2283/karta/A 20312-2022 karta.png", "A 20312-2022")</f>
        <v/>
      </c>
      <c r="U88">
        <f>HYPERLINK("https://klasma.github.io/Logging_2283/knärot/A 20312-2022 knärot.png", "A 20312-2022")</f>
        <v/>
      </c>
      <c r="V88">
        <f>HYPERLINK("https://klasma.github.io/Logging_2283/klagomål/A 20312-2022 klagomål.docx", "A 20312-2022")</f>
        <v/>
      </c>
      <c r="W88">
        <f>HYPERLINK("https://klasma.github.io/Logging_2283/klagomålsmail/A 20312-2022 klagomålsmail.docx", "A 20312-2022")</f>
        <v/>
      </c>
      <c r="X88">
        <f>HYPERLINK("https://klasma.github.io/Logging_2283/tillsyn/A 20312-2022 tillsyn.docx", "A 20312-2022")</f>
        <v/>
      </c>
      <c r="Y88">
        <f>HYPERLINK("https://klasma.github.io/Logging_2283/tillsynsmail/A 20312-2022 tillsynsmail.docx", "A 20312-2022")</f>
        <v/>
      </c>
    </row>
    <row r="89" ht="15" customHeight="1">
      <c r="A89" t="inlineStr">
        <is>
          <t>A 20314-2022</t>
        </is>
      </c>
      <c r="B89" s="1" t="n">
        <v>44698</v>
      </c>
      <c r="C89" s="1" t="n">
        <v>45212</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HYPERLINK("https://klasma.github.io/Logging_2283/artfynd/A 20314-2022 artfynd.xlsx", "A 20314-2022")</f>
        <v/>
      </c>
      <c r="T89">
        <f>HYPERLINK("https://klasma.github.io/Logging_2283/karta/A 20314-2022 karta.png", "A 20314-2022")</f>
        <v/>
      </c>
      <c r="U89">
        <f>HYPERLINK("https://klasma.github.io/Logging_2283/knärot/A 20314-2022 knärot.png", "A 20314-2022")</f>
        <v/>
      </c>
      <c r="V89">
        <f>HYPERLINK("https://klasma.github.io/Logging_2283/klagomål/A 20314-2022 klagomål.docx", "A 20314-2022")</f>
        <v/>
      </c>
      <c r="W89">
        <f>HYPERLINK("https://klasma.github.io/Logging_2283/klagomålsmail/A 20314-2022 klagomålsmail.docx", "A 20314-2022")</f>
        <v/>
      </c>
      <c r="X89">
        <f>HYPERLINK("https://klasma.github.io/Logging_2283/tillsyn/A 20314-2022 tillsyn.docx", "A 20314-2022")</f>
        <v/>
      </c>
      <c r="Y89">
        <f>HYPERLINK("https://klasma.github.io/Logging_2283/tillsynsmail/A 20314-2022 tillsynsmail.docx", "A 20314-2022")</f>
        <v/>
      </c>
    </row>
    <row r="90" ht="15" customHeight="1">
      <c r="A90" t="inlineStr">
        <is>
          <t>A 34268-2022</t>
        </is>
      </c>
      <c r="B90" s="1" t="n">
        <v>44791</v>
      </c>
      <c r="C90" s="1" t="n">
        <v>45212</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HYPERLINK("https://klasma.github.io/Logging_2283/artfynd/A 34268-2022 artfynd.xlsx", "A 34268-2022")</f>
        <v/>
      </c>
      <c r="T90">
        <f>HYPERLINK("https://klasma.github.io/Logging_2283/karta/A 34268-2022 karta.png", "A 34268-2022")</f>
        <v/>
      </c>
      <c r="U90">
        <f>HYPERLINK("https://klasma.github.io/Logging_2283/knärot/A 34268-2022 knärot.png", "A 34268-2022")</f>
        <v/>
      </c>
      <c r="V90">
        <f>HYPERLINK("https://klasma.github.io/Logging_2283/klagomål/A 34268-2022 klagomål.docx", "A 34268-2022")</f>
        <v/>
      </c>
      <c r="W90">
        <f>HYPERLINK("https://klasma.github.io/Logging_2283/klagomålsmail/A 34268-2022 klagomålsmail.docx", "A 34268-2022")</f>
        <v/>
      </c>
      <c r="X90">
        <f>HYPERLINK("https://klasma.github.io/Logging_2283/tillsyn/A 34268-2022 tillsyn.docx", "A 34268-2022")</f>
        <v/>
      </c>
      <c r="Y90">
        <f>HYPERLINK("https://klasma.github.io/Logging_2283/tillsynsmail/A 34268-2022 tillsynsmail.docx", "A 34268-2022")</f>
        <v/>
      </c>
    </row>
    <row r="91" ht="15" customHeight="1">
      <c r="A91" t="inlineStr">
        <is>
          <t>A 40603-2022</t>
        </is>
      </c>
      <c r="B91" s="1" t="n">
        <v>44823</v>
      </c>
      <c r="C91" s="1" t="n">
        <v>45212</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HYPERLINK("https://klasma.github.io/Logging_2281/artfynd/A 40603-2022 artfynd.xlsx", "A 40603-2022")</f>
        <v/>
      </c>
      <c r="T91">
        <f>HYPERLINK("https://klasma.github.io/Logging_2281/karta/A 40603-2022 karta.png", "A 40603-2022")</f>
        <v/>
      </c>
      <c r="U91">
        <f>HYPERLINK("https://klasma.github.io/Logging_2281/knärot/A 40603-2022 knärot.png", "A 40603-2022")</f>
        <v/>
      </c>
      <c r="V91">
        <f>HYPERLINK("https://klasma.github.io/Logging_2281/klagomål/A 40603-2022 klagomål.docx", "A 40603-2022")</f>
        <v/>
      </c>
      <c r="W91">
        <f>HYPERLINK("https://klasma.github.io/Logging_2281/klagomålsmail/A 40603-2022 klagomålsmail.docx", "A 40603-2022")</f>
        <v/>
      </c>
      <c r="X91">
        <f>HYPERLINK("https://klasma.github.io/Logging_2281/tillsyn/A 40603-2022 tillsyn.docx", "A 40603-2022")</f>
        <v/>
      </c>
      <c r="Y91">
        <f>HYPERLINK("https://klasma.github.io/Logging_2281/tillsynsmail/A 40603-2022 tillsynsmail.docx", "A 40603-2022")</f>
        <v/>
      </c>
    </row>
    <row r="92" ht="15" customHeight="1">
      <c r="A92" t="inlineStr">
        <is>
          <t>A 45702-2022</t>
        </is>
      </c>
      <c r="B92" s="1" t="n">
        <v>44845</v>
      </c>
      <c r="C92" s="1" t="n">
        <v>45212</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HYPERLINK("https://klasma.github.io/Logging_2260/artfynd/A 45702-2022 artfynd.xlsx", "A 45702-2022")</f>
        <v/>
      </c>
      <c r="T92">
        <f>HYPERLINK("https://klasma.github.io/Logging_2260/karta/A 45702-2022 karta.png", "A 45702-2022")</f>
        <v/>
      </c>
      <c r="V92">
        <f>HYPERLINK("https://klasma.github.io/Logging_2260/klagomål/A 45702-2022 klagomål.docx", "A 45702-2022")</f>
        <v/>
      </c>
      <c r="W92">
        <f>HYPERLINK("https://klasma.github.io/Logging_2260/klagomålsmail/A 45702-2022 klagomålsmail.docx", "A 45702-2022")</f>
        <v/>
      </c>
      <c r="X92">
        <f>HYPERLINK("https://klasma.github.io/Logging_2260/tillsyn/A 45702-2022 tillsyn.docx", "A 45702-2022")</f>
        <v/>
      </c>
      <c r="Y92">
        <f>HYPERLINK("https://klasma.github.io/Logging_2260/tillsynsmail/A 45702-2022 tillsynsmail.docx", "A 45702-2022")</f>
        <v/>
      </c>
    </row>
    <row r="93" ht="15" customHeight="1">
      <c r="A93" t="inlineStr">
        <is>
          <t>A 16398-2023</t>
        </is>
      </c>
      <c r="B93" s="1" t="n">
        <v>45022</v>
      </c>
      <c r="C93" s="1" t="n">
        <v>45212</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HYPERLINK("https://klasma.github.io/Logging_2281/artfynd/A 16398-2023 artfynd.xlsx", "A 16398-2023")</f>
        <v/>
      </c>
      <c r="T93">
        <f>HYPERLINK("https://klasma.github.io/Logging_2281/karta/A 16398-2023 karta.png", "A 16398-2023")</f>
        <v/>
      </c>
      <c r="U93">
        <f>HYPERLINK("https://klasma.github.io/Logging_2281/knärot/A 16398-2023 knärot.png", "A 16398-2023")</f>
        <v/>
      </c>
      <c r="V93">
        <f>HYPERLINK("https://klasma.github.io/Logging_2281/klagomål/A 16398-2023 klagomål.docx", "A 16398-2023")</f>
        <v/>
      </c>
      <c r="W93">
        <f>HYPERLINK("https://klasma.github.io/Logging_2281/klagomålsmail/A 16398-2023 klagomålsmail.docx", "A 16398-2023")</f>
        <v/>
      </c>
      <c r="X93">
        <f>HYPERLINK("https://klasma.github.io/Logging_2281/tillsyn/A 16398-2023 tillsyn.docx", "A 16398-2023")</f>
        <v/>
      </c>
      <c r="Y93">
        <f>HYPERLINK("https://klasma.github.io/Logging_2281/tillsynsmail/A 16398-2023 tillsynsmail.docx", "A 16398-2023")</f>
        <v/>
      </c>
    </row>
    <row r="94" ht="15" customHeight="1">
      <c r="A94" t="inlineStr">
        <is>
          <t>A 18999-2023</t>
        </is>
      </c>
      <c r="B94" s="1" t="n">
        <v>45044</v>
      </c>
      <c r="C94" s="1" t="n">
        <v>45212</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HYPERLINK("https://klasma.github.io/Logging_2281/artfynd/A 18999-2023 artfynd.xlsx", "A 18999-2023")</f>
        <v/>
      </c>
      <c r="T94">
        <f>HYPERLINK("https://klasma.github.io/Logging_2281/karta/A 18999-2023 karta.png", "A 18999-2023")</f>
        <v/>
      </c>
      <c r="U94">
        <f>HYPERLINK("https://klasma.github.io/Logging_2281/knärot/A 18999-2023 knärot.png", "A 18999-2023")</f>
        <v/>
      </c>
      <c r="V94">
        <f>HYPERLINK("https://klasma.github.io/Logging_2281/klagomål/A 18999-2023 klagomål.docx", "A 18999-2023")</f>
        <v/>
      </c>
      <c r="W94">
        <f>HYPERLINK("https://klasma.github.io/Logging_2281/klagomålsmail/A 18999-2023 klagomålsmail.docx", "A 18999-2023")</f>
        <v/>
      </c>
      <c r="X94">
        <f>HYPERLINK("https://klasma.github.io/Logging_2281/tillsyn/A 18999-2023 tillsyn.docx", "A 18999-2023")</f>
        <v/>
      </c>
      <c r="Y94">
        <f>HYPERLINK("https://klasma.github.io/Logging_2281/tillsynsmail/A 18999-2023 tillsynsmail.docx", "A 18999-2023")</f>
        <v/>
      </c>
    </row>
    <row r="95" ht="15" customHeight="1">
      <c r="A95" t="inlineStr">
        <is>
          <t>A 19825-2023</t>
        </is>
      </c>
      <c r="B95" s="1" t="n">
        <v>45051</v>
      </c>
      <c r="C95" s="1" t="n">
        <v>45212</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HYPERLINK("https://klasma.github.io/Logging_2283/artfynd/A 19825-2023 artfynd.xlsx", "A 19825-2023")</f>
        <v/>
      </c>
      <c r="T95">
        <f>HYPERLINK("https://klasma.github.io/Logging_2283/karta/A 19825-2023 karta.png", "A 19825-2023")</f>
        <v/>
      </c>
      <c r="V95">
        <f>HYPERLINK("https://klasma.github.io/Logging_2283/klagomål/A 19825-2023 klagomål.docx", "A 19825-2023")</f>
        <v/>
      </c>
      <c r="W95">
        <f>HYPERLINK("https://klasma.github.io/Logging_2283/klagomålsmail/A 19825-2023 klagomålsmail.docx", "A 19825-2023")</f>
        <v/>
      </c>
      <c r="X95">
        <f>HYPERLINK("https://klasma.github.io/Logging_2283/tillsyn/A 19825-2023 tillsyn.docx", "A 19825-2023")</f>
        <v/>
      </c>
      <c r="Y95">
        <f>HYPERLINK("https://klasma.github.io/Logging_2283/tillsynsmail/A 19825-2023 tillsynsmail.docx", "A 19825-2023")</f>
        <v/>
      </c>
    </row>
    <row r="96" ht="15" customHeight="1">
      <c r="A96" t="inlineStr">
        <is>
          <t>A 25323-2023</t>
        </is>
      </c>
      <c r="B96" s="1" t="n">
        <v>45086</v>
      </c>
      <c r="C96" s="1" t="n">
        <v>45212</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HYPERLINK("https://klasma.github.io/Logging_2260/artfynd/A 25323-2023 artfynd.xlsx", "A 25323-2023")</f>
        <v/>
      </c>
      <c r="T96">
        <f>HYPERLINK("https://klasma.github.io/Logging_2260/karta/A 25323-2023 karta.png", "A 25323-2023")</f>
        <v/>
      </c>
      <c r="U96">
        <f>HYPERLINK("https://klasma.github.io/Logging_2260/knärot/A 25323-2023 knärot.png", "A 25323-2023")</f>
        <v/>
      </c>
      <c r="V96">
        <f>HYPERLINK("https://klasma.github.io/Logging_2260/klagomål/A 25323-2023 klagomål.docx", "A 25323-2023")</f>
        <v/>
      </c>
      <c r="W96">
        <f>HYPERLINK("https://klasma.github.io/Logging_2260/klagomålsmail/A 25323-2023 klagomålsmail.docx", "A 25323-2023")</f>
        <v/>
      </c>
      <c r="X96">
        <f>HYPERLINK("https://klasma.github.io/Logging_2260/tillsyn/A 25323-2023 tillsyn.docx", "A 25323-2023")</f>
        <v/>
      </c>
      <c r="Y96">
        <f>HYPERLINK("https://klasma.github.io/Logging_2260/tillsynsmail/A 25323-2023 tillsynsmail.docx", "A 25323-2023")</f>
        <v/>
      </c>
    </row>
    <row r="97" ht="15" customHeight="1">
      <c r="A97" t="inlineStr">
        <is>
          <t>A 34711-2023</t>
        </is>
      </c>
      <c r="B97" s="1" t="n">
        <v>45139</v>
      </c>
      <c r="C97" s="1" t="n">
        <v>45212</v>
      </c>
      <c r="D97" t="inlineStr">
        <is>
          <t>VÄSTERNORRLANDS LÄN</t>
        </is>
      </c>
      <c r="E97" t="inlineStr">
        <is>
          <t>HÄRNÖSAND</t>
        </is>
      </c>
      <c r="G97" t="n">
        <v>11.6</v>
      </c>
      <c r="H97" t="n">
        <v>0</v>
      </c>
      <c r="I97" t="n">
        <v>4</v>
      </c>
      <c r="J97" t="n">
        <v>4</v>
      </c>
      <c r="K97" t="n">
        <v>2</v>
      </c>
      <c r="L97" t="n">
        <v>0</v>
      </c>
      <c r="M97" t="n">
        <v>0</v>
      </c>
      <c r="N97" t="n">
        <v>0</v>
      </c>
      <c r="O97" t="n">
        <v>6</v>
      </c>
      <c r="P97" t="n">
        <v>2</v>
      </c>
      <c r="Q97" t="n">
        <v>10</v>
      </c>
      <c r="R97" s="2" t="inlineStr">
        <is>
          <t>Aspfjädermossa
Aspgelélav
Doftskinn
Granticka
Kolflarnlav
Ullticka
Korallblylav
Skinnlav
Stuplav
Vedticka</t>
        </is>
      </c>
      <c r="S97">
        <f>HYPERLINK("https://klasma.github.io/Logging_2280/artfynd/A 34711-2023 artfynd.xlsx", "A 34711-2023")</f>
        <v/>
      </c>
      <c r="T97">
        <f>HYPERLINK("https://klasma.github.io/Logging_2280/karta/A 34711-2023 karta.png", "A 34711-2023")</f>
        <v/>
      </c>
      <c r="V97">
        <f>HYPERLINK("https://klasma.github.io/Logging_2280/klagomål/A 34711-2023 klagomål.docx", "A 34711-2023")</f>
        <v/>
      </c>
      <c r="W97">
        <f>HYPERLINK("https://klasma.github.io/Logging_2280/klagomålsmail/A 34711-2023 klagomålsmail.docx", "A 34711-2023")</f>
        <v/>
      </c>
      <c r="X97">
        <f>HYPERLINK("https://klasma.github.io/Logging_2280/tillsyn/A 34711-2023 tillsyn.docx", "A 34711-2023")</f>
        <v/>
      </c>
      <c r="Y97">
        <f>HYPERLINK("https://klasma.github.io/Logging_2280/tillsynsmail/A 34711-2023 tillsynsmail.docx", "A 34711-2023")</f>
        <v/>
      </c>
    </row>
    <row r="98" ht="15" customHeight="1">
      <c r="A98" t="inlineStr">
        <is>
          <t>A 70316-2018</t>
        </is>
      </c>
      <c r="B98" s="1" t="n">
        <v>43445</v>
      </c>
      <c r="C98" s="1" t="n">
        <v>45212</v>
      </c>
      <c r="D98" t="inlineStr">
        <is>
          <t>VÄSTERNORRLANDS LÄN</t>
        </is>
      </c>
      <c r="E98" t="inlineStr">
        <is>
          <t>KRAMFORS</t>
        </is>
      </c>
      <c r="G98" t="n">
        <v>7.5</v>
      </c>
      <c r="H98" t="n">
        <v>1</v>
      </c>
      <c r="I98" t="n">
        <v>4</v>
      </c>
      <c r="J98" t="n">
        <v>3</v>
      </c>
      <c r="K98" t="n">
        <v>1</v>
      </c>
      <c r="L98" t="n">
        <v>0</v>
      </c>
      <c r="M98" t="n">
        <v>0</v>
      </c>
      <c r="N98" t="n">
        <v>0</v>
      </c>
      <c r="O98" t="n">
        <v>4</v>
      </c>
      <c r="P98" t="n">
        <v>1</v>
      </c>
      <c r="Q98" t="n">
        <v>9</v>
      </c>
      <c r="R98" s="2" t="inlineStr">
        <is>
          <t>Lappticka
Lunglav
Ullticka
Violettgrå tagellav
Barkticka
Korallblylav
Stuplav
Vedticka
Blåsippa</t>
        </is>
      </c>
      <c r="S98">
        <f>HYPERLINK("https://klasma.github.io/Logging_2282/artfynd/A 70316-2018 artfynd.xlsx", "A 70316-2018")</f>
        <v/>
      </c>
      <c r="T98">
        <f>HYPERLINK("https://klasma.github.io/Logging_2282/karta/A 70316-2018 karta.png", "A 70316-2018")</f>
        <v/>
      </c>
      <c r="V98">
        <f>HYPERLINK("https://klasma.github.io/Logging_2282/klagomål/A 70316-2018 klagomål.docx", "A 70316-2018")</f>
        <v/>
      </c>
      <c r="W98">
        <f>HYPERLINK("https://klasma.github.io/Logging_2282/klagomålsmail/A 70316-2018 klagomålsmail.docx", "A 70316-2018")</f>
        <v/>
      </c>
      <c r="X98">
        <f>HYPERLINK("https://klasma.github.io/Logging_2282/tillsyn/A 70316-2018 tillsyn.docx", "A 70316-2018")</f>
        <v/>
      </c>
      <c r="Y98">
        <f>HYPERLINK("https://klasma.github.io/Logging_2282/tillsynsmail/A 70316-2018 tillsynsmail.docx", "A 70316-2018")</f>
        <v/>
      </c>
    </row>
    <row r="99" ht="15" customHeight="1">
      <c r="A99" t="inlineStr">
        <is>
          <t>A 4946-2019</t>
        </is>
      </c>
      <c r="B99" s="1" t="n">
        <v>43479</v>
      </c>
      <c r="C99" s="1" t="n">
        <v>45212</v>
      </c>
      <c r="D99" t="inlineStr">
        <is>
          <t>VÄSTERNORRLANDS LÄN</t>
        </is>
      </c>
      <c r="E99" t="inlineStr">
        <is>
          <t>SUNDSVALL</t>
        </is>
      </c>
      <c r="F99" t="inlineStr">
        <is>
          <t>SCA</t>
        </is>
      </c>
      <c r="G99" t="n">
        <v>103.4</v>
      </c>
      <c r="H99" t="n">
        <v>1</v>
      </c>
      <c r="I99" t="n">
        <v>3</v>
      </c>
      <c r="J99" t="n">
        <v>6</v>
      </c>
      <c r="K99" t="n">
        <v>0</v>
      </c>
      <c r="L99" t="n">
        <v>0</v>
      </c>
      <c r="M99" t="n">
        <v>0</v>
      </c>
      <c r="N99" t="n">
        <v>0</v>
      </c>
      <c r="O99" t="n">
        <v>6</v>
      </c>
      <c r="P99" t="n">
        <v>0</v>
      </c>
      <c r="Q99" t="n">
        <v>9</v>
      </c>
      <c r="R99" s="2" t="inlineStr">
        <is>
          <t>Blanksvart spiklav
Dvärgbägarlav
Garnlav
Lunglav
Tallticka
Violettgrå tagellav
Norrlandslav
Plattlummer
Vågbandad barkbock</t>
        </is>
      </c>
      <c r="S99">
        <f>HYPERLINK("https://klasma.github.io/Logging_2281/artfynd/A 4946-2019 artfynd.xlsx", "A 4946-2019")</f>
        <v/>
      </c>
      <c r="T99">
        <f>HYPERLINK("https://klasma.github.io/Logging_2281/karta/A 4946-2019 karta.png", "A 4946-2019")</f>
        <v/>
      </c>
      <c r="V99">
        <f>HYPERLINK("https://klasma.github.io/Logging_2281/klagomål/A 4946-2019 klagomål.docx", "A 4946-2019")</f>
        <v/>
      </c>
      <c r="W99">
        <f>HYPERLINK("https://klasma.github.io/Logging_2281/klagomålsmail/A 4946-2019 klagomålsmail.docx", "A 4946-2019")</f>
        <v/>
      </c>
      <c r="X99">
        <f>HYPERLINK("https://klasma.github.io/Logging_2281/tillsyn/A 4946-2019 tillsyn.docx", "A 4946-2019")</f>
        <v/>
      </c>
      <c r="Y99">
        <f>HYPERLINK("https://klasma.github.io/Logging_2281/tillsynsmail/A 4946-2019 tillsynsmail.docx", "A 4946-2019")</f>
        <v/>
      </c>
    </row>
    <row r="100" ht="15" customHeight="1">
      <c r="A100" t="inlineStr">
        <is>
          <t>A 65056-2019</t>
        </is>
      </c>
      <c r="B100" s="1" t="n">
        <v>43801</v>
      </c>
      <c r="C100" s="1" t="n">
        <v>45212</v>
      </c>
      <c r="D100" t="inlineStr">
        <is>
          <t>VÄSTERNORRLANDS LÄN</t>
        </is>
      </c>
      <c r="E100" t="inlineStr">
        <is>
          <t>KRAMFORS</t>
        </is>
      </c>
      <c r="G100" t="n">
        <v>6.2</v>
      </c>
      <c r="H100" t="n">
        <v>1</v>
      </c>
      <c r="I100" t="n">
        <v>3</v>
      </c>
      <c r="J100" t="n">
        <v>6</v>
      </c>
      <c r="K100" t="n">
        <v>0</v>
      </c>
      <c r="L100" t="n">
        <v>0</v>
      </c>
      <c r="M100" t="n">
        <v>0</v>
      </c>
      <c r="N100" t="n">
        <v>0</v>
      </c>
      <c r="O100" t="n">
        <v>6</v>
      </c>
      <c r="P100" t="n">
        <v>0</v>
      </c>
      <c r="Q100" t="n">
        <v>9</v>
      </c>
      <c r="R100" s="2" t="inlineStr">
        <is>
          <t>Gammelgransskål
Garnlav
Lunglav
Tretåig hackspett
Ullticka
Violettgrå tagellav
Kattfotslav
Stuplav
Vedticka</t>
        </is>
      </c>
      <c r="S100">
        <f>HYPERLINK("https://klasma.github.io/Logging_2282/artfynd/A 65056-2019 artfynd.xlsx", "A 65056-2019")</f>
        <v/>
      </c>
      <c r="T100">
        <f>HYPERLINK("https://klasma.github.io/Logging_2282/karta/A 65056-2019 karta.png", "A 65056-2019")</f>
        <v/>
      </c>
      <c r="V100">
        <f>HYPERLINK("https://klasma.github.io/Logging_2282/klagomål/A 65056-2019 klagomål.docx", "A 65056-2019")</f>
        <v/>
      </c>
      <c r="W100">
        <f>HYPERLINK("https://klasma.github.io/Logging_2282/klagomålsmail/A 65056-2019 klagomålsmail.docx", "A 65056-2019")</f>
        <v/>
      </c>
      <c r="X100">
        <f>HYPERLINK("https://klasma.github.io/Logging_2282/tillsyn/A 65056-2019 tillsyn.docx", "A 65056-2019")</f>
        <v/>
      </c>
      <c r="Y100">
        <f>HYPERLINK("https://klasma.github.io/Logging_2282/tillsynsmail/A 65056-2019 tillsynsmail.docx", "A 65056-2019")</f>
        <v/>
      </c>
    </row>
    <row r="101" ht="15" customHeight="1">
      <c r="A101" t="inlineStr">
        <is>
          <t>A 16159-2020</t>
        </is>
      </c>
      <c r="B101" s="1" t="n">
        <v>43916</v>
      </c>
      <c r="C101" s="1" t="n">
        <v>45212</v>
      </c>
      <c r="D101" t="inlineStr">
        <is>
          <t>VÄSTERNORRLANDS LÄN</t>
        </is>
      </c>
      <c r="E101" t="inlineStr">
        <is>
          <t>KRAMFORS</t>
        </is>
      </c>
      <c r="G101" t="n">
        <v>9.1</v>
      </c>
      <c r="H101" t="n">
        <v>1</v>
      </c>
      <c r="I101" t="n">
        <v>3</v>
      </c>
      <c r="J101" t="n">
        <v>5</v>
      </c>
      <c r="K101" t="n">
        <v>1</v>
      </c>
      <c r="L101" t="n">
        <v>0</v>
      </c>
      <c r="M101" t="n">
        <v>0</v>
      </c>
      <c r="N101" t="n">
        <v>0</v>
      </c>
      <c r="O101" t="n">
        <v>6</v>
      </c>
      <c r="P101" t="n">
        <v>1</v>
      </c>
      <c r="Q101" t="n">
        <v>9</v>
      </c>
      <c r="R101" s="2" t="inlineStr">
        <is>
          <t>Rynkskinn
Garnlav
Granticka
Rosenticka
Tretåig hackspett
Ullticka
Skinnlav
Vedticka
Vågbandad barkbock</t>
        </is>
      </c>
      <c r="S101">
        <f>HYPERLINK("https://klasma.github.io/Logging_2282/artfynd/A 16159-2020 artfynd.xlsx", "A 16159-2020")</f>
        <v/>
      </c>
      <c r="T101">
        <f>HYPERLINK("https://klasma.github.io/Logging_2282/karta/A 16159-2020 karta.png", "A 16159-2020")</f>
        <v/>
      </c>
      <c r="V101">
        <f>HYPERLINK("https://klasma.github.io/Logging_2282/klagomål/A 16159-2020 klagomål.docx", "A 16159-2020")</f>
        <v/>
      </c>
      <c r="W101">
        <f>HYPERLINK("https://klasma.github.io/Logging_2282/klagomålsmail/A 16159-2020 klagomålsmail.docx", "A 16159-2020")</f>
        <v/>
      </c>
      <c r="X101">
        <f>HYPERLINK("https://klasma.github.io/Logging_2282/tillsyn/A 16159-2020 tillsyn.docx", "A 16159-2020")</f>
        <v/>
      </c>
      <c r="Y101">
        <f>HYPERLINK("https://klasma.github.io/Logging_2282/tillsynsmail/A 16159-2020 tillsynsmail.docx", "A 16159-2020")</f>
        <v/>
      </c>
    </row>
    <row r="102" ht="15" customHeight="1">
      <c r="A102" t="inlineStr">
        <is>
          <t>A 50643-2020</t>
        </is>
      </c>
      <c r="B102" s="1" t="n">
        <v>44110</v>
      </c>
      <c r="C102" s="1" t="n">
        <v>45212</v>
      </c>
      <c r="D102" t="inlineStr">
        <is>
          <t>VÄSTERNORRLANDS LÄN</t>
        </is>
      </c>
      <c r="E102" t="inlineStr">
        <is>
          <t>HÄRNÖSAND</t>
        </is>
      </c>
      <c r="F102" t="inlineStr">
        <is>
          <t>SCA</t>
        </is>
      </c>
      <c r="G102" t="n">
        <v>5.3</v>
      </c>
      <c r="H102" t="n">
        <v>1</v>
      </c>
      <c r="I102" t="n">
        <v>2</v>
      </c>
      <c r="J102" t="n">
        <v>6</v>
      </c>
      <c r="K102" t="n">
        <v>1</v>
      </c>
      <c r="L102" t="n">
        <v>0</v>
      </c>
      <c r="M102" t="n">
        <v>0</v>
      </c>
      <c r="N102" t="n">
        <v>0</v>
      </c>
      <c r="O102" t="n">
        <v>7</v>
      </c>
      <c r="P102" t="n">
        <v>1</v>
      </c>
      <c r="Q102" t="n">
        <v>9</v>
      </c>
      <c r="R102" s="2" t="inlineStr">
        <is>
          <t>Rynkskinn
Gammelgransskål
Garnlav
Kolflarnlav
Ullticka
Violettgrå tagellav
Vitgrynig nållav
Plattlummer
Vedticka</t>
        </is>
      </c>
      <c r="S102">
        <f>HYPERLINK("https://klasma.github.io/Logging_2280/artfynd/A 50643-2020 artfynd.xlsx", "A 50643-2020")</f>
        <v/>
      </c>
      <c r="T102">
        <f>HYPERLINK("https://klasma.github.io/Logging_2280/karta/A 50643-2020 karta.png", "A 50643-2020")</f>
        <v/>
      </c>
      <c r="V102">
        <f>HYPERLINK("https://klasma.github.io/Logging_2280/klagomål/A 50643-2020 klagomål.docx", "A 50643-2020")</f>
        <v/>
      </c>
      <c r="W102">
        <f>HYPERLINK("https://klasma.github.io/Logging_2280/klagomålsmail/A 50643-2020 klagomålsmail.docx", "A 50643-2020")</f>
        <v/>
      </c>
      <c r="X102">
        <f>HYPERLINK("https://klasma.github.io/Logging_2280/tillsyn/A 50643-2020 tillsyn.docx", "A 50643-2020")</f>
        <v/>
      </c>
      <c r="Y102">
        <f>HYPERLINK("https://klasma.github.io/Logging_2280/tillsynsmail/A 50643-2020 tillsynsmail.docx", "A 50643-2020")</f>
        <v/>
      </c>
    </row>
    <row r="103" ht="15" customHeight="1">
      <c r="A103" t="inlineStr">
        <is>
          <t>A 3454-2021</t>
        </is>
      </c>
      <c r="B103" s="1" t="n">
        <v>44180</v>
      </c>
      <c r="C103" s="1" t="n">
        <v>45212</v>
      </c>
      <c r="D103" t="inlineStr">
        <is>
          <t>VÄSTERNORRLANDS LÄN</t>
        </is>
      </c>
      <c r="E103" t="inlineStr">
        <is>
          <t>HÄRNÖSAND</t>
        </is>
      </c>
      <c r="F103" t="inlineStr">
        <is>
          <t>SCA</t>
        </is>
      </c>
      <c r="G103" t="n">
        <v>9.300000000000001</v>
      </c>
      <c r="H103" t="n">
        <v>2</v>
      </c>
      <c r="I103" t="n">
        <v>1</v>
      </c>
      <c r="J103" t="n">
        <v>6</v>
      </c>
      <c r="K103" t="n">
        <v>2</v>
      </c>
      <c r="L103" t="n">
        <v>0</v>
      </c>
      <c r="M103" t="n">
        <v>0</v>
      </c>
      <c r="N103" t="n">
        <v>0</v>
      </c>
      <c r="O103" t="n">
        <v>8</v>
      </c>
      <c r="P103" t="n">
        <v>2</v>
      </c>
      <c r="Q103" t="n">
        <v>9</v>
      </c>
      <c r="R103" s="2" t="inlineStr">
        <is>
          <t>Knärot
Rynkskinn
Garnlav
Gränsticka
Lunglav
Rosenticka
Ullticka
Violettgrå tagellav
Plattlummer</t>
        </is>
      </c>
      <c r="S103">
        <f>HYPERLINK("https://klasma.github.io/Logging_2280/artfynd/A 3454-2021 artfynd.xlsx", "A 3454-2021")</f>
        <v/>
      </c>
      <c r="T103">
        <f>HYPERLINK("https://klasma.github.io/Logging_2280/karta/A 3454-2021 karta.png", "A 3454-2021")</f>
        <v/>
      </c>
      <c r="U103">
        <f>HYPERLINK("https://klasma.github.io/Logging_2280/knärot/A 3454-2021 knärot.png", "A 3454-2021")</f>
        <v/>
      </c>
      <c r="V103">
        <f>HYPERLINK("https://klasma.github.io/Logging_2280/klagomål/A 3454-2021 klagomål.docx", "A 3454-2021")</f>
        <v/>
      </c>
      <c r="W103">
        <f>HYPERLINK("https://klasma.github.io/Logging_2280/klagomålsmail/A 3454-2021 klagomålsmail.docx", "A 3454-2021")</f>
        <v/>
      </c>
      <c r="X103">
        <f>HYPERLINK("https://klasma.github.io/Logging_2280/tillsyn/A 3454-2021 tillsyn.docx", "A 3454-2021")</f>
        <v/>
      </c>
      <c r="Y103">
        <f>HYPERLINK("https://klasma.github.io/Logging_2280/tillsynsmail/A 3454-2021 tillsynsmail.docx", "A 3454-2021")</f>
        <v/>
      </c>
    </row>
    <row r="104" ht="15" customHeight="1">
      <c r="A104" t="inlineStr">
        <is>
          <t>A 34786-2021</t>
        </is>
      </c>
      <c r="B104" s="1" t="n">
        <v>44382</v>
      </c>
      <c r="C104" s="1" t="n">
        <v>45212</v>
      </c>
      <c r="D104" t="inlineStr">
        <is>
          <t>VÄSTERNORRLANDS LÄN</t>
        </is>
      </c>
      <c r="E104" t="inlineStr">
        <is>
          <t>ÅNGE</t>
        </is>
      </c>
      <c r="F104" t="inlineStr">
        <is>
          <t>SCA</t>
        </is>
      </c>
      <c r="G104" t="n">
        <v>10.3</v>
      </c>
      <c r="H104" t="n">
        <v>2</v>
      </c>
      <c r="I104" t="n">
        <v>4</v>
      </c>
      <c r="J104" t="n">
        <v>4</v>
      </c>
      <c r="K104" t="n">
        <v>0</v>
      </c>
      <c r="L104" t="n">
        <v>0</v>
      </c>
      <c r="M104" t="n">
        <v>0</v>
      </c>
      <c r="N104" t="n">
        <v>0</v>
      </c>
      <c r="O104" t="n">
        <v>4</v>
      </c>
      <c r="P104" t="n">
        <v>0</v>
      </c>
      <c r="Q104" t="n">
        <v>9</v>
      </c>
      <c r="R104" s="2" t="inlineStr">
        <is>
          <t>Garnlav
Lunglav
Skrovellav
Ullticka
Kransrams
Spindelblomster
Stuplav
Ögonpyrola
Fläcknycklar</t>
        </is>
      </c>
      <c r="S104">
        <f>HYPERLINK("https://klasma.github.io/Logging_2260/artfynd/A 34786-2021 artfynd.xlsx", "A 34786-2021")</f>
        <v/>
      </c>
      <c r="T104">
        <f>HYPERLINK("https://klasma.github.io/Logging_2260/karta/A 34786-2021 karta.png", "A 34786-2021")</f>
        <v/>
      </c>
      <c r="V104">
        <f>HYPERLINK("https://klasma.github.io/Logging_2260/klagomål/A 34786-2021 klagomål.docx", "A 34786-2021")</f>
        <v/>
      </c>
      <c r="W104">
        <f>HYPERLINK("https://klasma.github.io/Logging_2260/klagomålsmail/A 34786-2021 klagomålsmail.docx", "A 34786-2021")</f>
        <v/>
      </c>
      <c r="X104">
        <f>HYPERLINK("https://klasma.github.io/Logging_2260/tillsyn/A 34786-2021 tillsyn.docx", "A 34786-2021")</f>
        <v/>
      </c>
      <c r="Y104">
        <f>HYPERLINK("https://klasma.github.io/Logging_2260/tillsynsmail/A 34786-2021 tillsynsmail.docx", "A 34786-2021")</f>
        <v/>
      </c>
    </row>
    <row r="105" ht="15" customHeight="1">
      <c r="A105" t="inlineStr">
        <is>
          <t>A 73845-2021</t>
        </is>
      </c>
      <c r="B105" s="1" t="n">
        <v>44553</v>
      </c>
      <c r="C105" s="1" t="n">
        <v>45212</v>
      </c>
      <c r="D105" t="inlineStr">
        <is>
          <t>VÄSTERNORRLANDS LÄN</t>
        </is>
      </c>
      <c r="E105" t="inlineStr">
        <is>
          <t>SOLLEFTEÅ</t>
        </is>
      </c>
      <c r="F105" t="inlineStr">
        <is>
          <t>Övriga Aktiebolag</t>
        </is>
      </c>
      <c r="G105" t="n">
        <v>25.2</v>
      </c>
      <c r="H105" t="n">
        <v>2</v>
      </c>
      <c r="I105" t="n">
        <v>2</v>
      </c>
      <c r="J105" t="n">
        <v>7</v>
      </c>
      <c r="K105" t="n">
        <v>0</v>
      </c>
      <c r="L105" t="n">
        <v>0</v>
      </c>
      <c r="M105" t="n">
        <v>0</v>
      </c>
      <c r="N105" t="n">
        <v>0</v>
      </c>
      <c r="O105" t="n">
        <v>7</v>
      </c>
      <c r="P105" t="n">
        <v>0</v>
      </c>
      <c r="Q105" t="n">
        <v>9</v>
      </c>
      <c r="R105" s="2" t="inlineStr">
        <is>
          <t>Garnlav
Granticka
Lunglav
Rosenticka
Talltita
Tretåig hackspett
Ullticka
Skinnlav
Vedticka</t>
        </is>
      </c>
      <c r="S105">
        <f>HYPERLINK("https://klasma.github.io/Logging_2283/artfynd/A 73845-2021 artfynd.xlsx", "A 73845-2021")</f>
        <v/>
      </c>
      <c r="T105">
        <f>HYPERLINK("https://klasma.github.io/Logging_2283/karta/A 73845-2021 karta.png", "A 73845-2021")</f>
        <v/>
      </c>
      <c r="V105">
        <f>HYPERLINK("https://klasma.github.io/Logging_2283/klagomål/A 73845-2021 klagomål.docx", "A 73845-2021")</f>
        <v/>
      </c>
      <c r="W105">
        <f>HYPERLINK("https://klasma.github.io/Logging_2283/klagomålsmail/A 73845-2021 klagomålsmail.docx", "A 73845-2021")</f>
        <v/>
      </c>
      <c r="X105">
        <f>HYPERLINK("https://klasma.github.io/Logging_2283/tillsyn/A 73845-2021 tillsyn.docx", "A 73845-2021")</f>
        <v/>
      </c>
      <c r="Y105">
        <f>HYPERLINK("https://klasma.github.io/Logging_2283/tillsynsmail/A 73845-2021 tillsynsmail.docx", "A 73845-2021")</f>
        <v/>
      </c>
    </row>
    <row r="106" ht="15" customHeight="1">
      <c r="A106" t="inlineStr">
        <is>
          <t>A 20694-2022</t>
        </is>
      </c>
      <c r="B106" s="1" t="n">
        <v>44700</v>
      </c>
      <c r="C106" s="1" t="n">
        <v>45212</v>
      </c>
      <c r="D106" t="inlineStr">
        <is>
          <t>VÄSTERNORRLANDS LÄN</t>
        </is>
      </c>
      <c r="E106" t="inlineStr">
        <is>
          <t>ÅNGE</t>
        </is>
      </c>
      <c r="G106" t="n">
        <v>5</v>
      </c>
      <c r="H106" t="n">
        <v>2</v>
      </c>
      <c r="I106" t="n">
        <v>2</v>
      </c>
      <c r="J106" t="n">
        <v>5</v>
      </c>
      <c r="K106" t="n">
        <v>1</v>
      </c>
      <c r="L106" t="n">
        <v>0</v>
      </c>
      <c r="M106" t="n">
        <v>0</v>
      </c>
      <c r="N106" t="n">
        <v>0</v>
      </c>
      <c r="O106" t="n">
        <v>6</v>
      </c>
      <c r="P106" t="n">
        <v>1</v>
      </c>
      <c r="Q106" t="n">
        <v>9</v>
      </c>
      <c r="R106" s="2" t="inlineStr">
        <is>
          <t>Knärot
Gammelgransskål
Gränsticka
Ullticka
Vedtrappmossa
Vitgrynig nållav
Mörk husmossa
Vedticka
Blåsippa</t>
        </is>
      </c>
      <c r="S106">
        <f>HYPERLINK("https://klasma.github.io/Logging_2260/artfynd/A 20694-2022 artfynd.xlsx", "A 20694-2022")</f>
        <v/>
      </c>
      <c r="T106">
        <f>HYPERLINK("https://klasma.github.io/Logging_2260/karta/A 20694-2022 karta.png", "A 20694-2022")</f>
        <v/>
      </c>
      <c r="U106">
        <f>HYPERLINK("https://klasma.github.io/Logging_2260/knärot/A 20694-2022 knärot.png", "A 20694-2022")</f>
        <v/>
      </c>
      <c r="V106">
        <f>HYPERLINK("https://klasma.github.io/Logging_2260/klagomål/A 20694-2022 klagomål.docx", "A 20694-2022")</f>
        <v/>
      </c>
      <c r="W106">
        <f>HYPERLINK("https://klasma.github.io/Logging_2260/klagomålsmail/A 20694-2022 klagomålsmail.docx", "A 20694-2022")</f>
        <v/>
      </c>
      <c r="X106">
        <f>HYPERLINK("https://klasma.github.io/Logging_2260/tillsyn/A 20694-2022 tillsyn.docx", "A 20694-2022")</f>
        <v/>
      </c>
      <c r="Y106">
        <f>HYPERLINK("https://klasma.github.io/Logging_2260/tillsynsmail/A 20694-2022 tillsynsmail.docx", "A 20694-2022")</f>
        <v/>
      </c>
    </row>
    <row r="107" ht="15" customHeight="1">
      <c r="A107" t="inlineStr">
        <is>
          <t>A 29309-2022</t>
        </is>
      </c>
      <c r="B107" s="1" t="n">
        <v>44750</v>
      </c>
      <c r="C107" s="1" t="n">
        <v>45212</v>
      </c>
      <c r="D107" t="inlineStr">
        <is>
          <t>VÄSTERNORRLANDS LÄN</t>
        </is>
      </c>
      <c r="E107" t="inlineStr">
        <is>
          <t>SOLLEFTEÅ</t>
        </is>
      </c>
      <c r="F107" t="inlineStr">
        <is>
          <t>SCA</t>
        </is>
      </c>
      <c r="G107" t="n">
        <v>7.3</v>
      </c>
      <c r="H107" t="n">
        <v>1</v>
      </c>
      <c r="I107" t="n">
        <v>0</v>
      </c>
      <c r="J107" t="n">
        <v>9</v>
      </c>
      <c r="K107" t="n">
        <v>0</v>
      </c>
      <c r="L107" t="n">
        <v>0</v>
      </c>
      <c r="M107" t="n">
        <v>0</v>
      </c>
      <c r="N107" t="n">
        <v>0</v>
      </c>
      <c r="O107" t="n">
        <v>9</v>
      </c>
      <c r="P107" t="n">
        <v>0</v>
      </c>
      <c r="Q107" t="n">
        <v>9</v>
      </c>
      <c r="R107" s="2" t="inlineStr">
        <is>
          <t>Blå taggsvamp
Dvärgbägarlav
Garnlav
Lunglav
Mörk kolflarnlav
Nordtagging
Tretåig hackspett
Vedskivlav
Vitplätt</t>
        </is>
      </c>
      <c r="S107">
        <f>HYPERLINK("https://klasma.github.io/Logging_2283/artfynd/A 29309-2022 artfynd.xlsx", "A 29309-2022")</f>
        <v/>
      </c>
      <c r="T107">
        <f>HYPERLINK("https://klasma.github.io/Logging_2283/karta/A 29309-2022 karta.png", "A 29309-2022")</f>
        <v/>
      </c>
      <c r="U107">
        <f>HYPERLINK("https://klasma.github.io/Logging_2283/knärot/A 29309-2022 knärot.png", "A 29309-2022")</f>
        <v/>
      </c>
      <c r="V107">
        <f>HYPERLINK("https://klasma.github.io/Logging_2283/klagomål/A 29309-2022 klagomål.docx", "A 29309-2022")</f>
        <v/>
      </c>
      <c r="W107">
        <f>HYPERLINK("https://klasma.github.io/Logging_2283/klagomålsmail/A 29309-2022 klagomålsmail.docx", "A 29309-2022")</f>
        <v/>
      </c>
      <c r="X107">
        <f>HYPERLINK("https://klasma.github.io/Logging_2283/tillsyn/A 29309-2022 tillsyn.docx", "A 29309-2022")</f>
        <v/>
      </c>
      <c r="Y107">
        <f>HYPERLINK("https://klasma.github.io/Logging_2283/tillsynsmail/A 29309-2022 tillsynsmail.docx", "A 29309-2022")</f>
        <v/>
      </c>
    </row>
    <row r="108" ht="15" customHeight="1">
      <c r="A108" t="inlineStr">
        <is>
          <t>A 34519-2022</t>
        </is>
      </c>
      <c r="B108" s="1" t="n">
        <v>44792</v>
      </c>
      <c r="C108" s="1" t="n">
        <v>45212</v>
      </c>
      <c r="D108" t="inlineStr">
        <is>
          <t>VÄSTERNORRLANDS LÄN</t>
        </is>
      </c>
      <c r="E108" t="inlineStr">
        <is>
          <t>ÅNGE</t>
        </is>
      </c>
      <c r="F108" t="inlineStr">
        <is>
          <t>SCA</t>
        </is>
      </c>
      <c r="G108" t="n">
        <v>6.3</v>
      </c>
      <c r="H108" t="n">
        <v>1</v>
      </c>
      <c r="I108" t="n">
        <v>3</v>
      </c>
      <c r="J108" t="n">
        <v>5</v>
      </c>
      <c r="K108" t="n">
        <v>1</v>
      </c>
      <c r="L108" t="n">
        <v>0</v>
      </c>
      <c r="M108" t="n">
        <v>0</v>
      </c>
      <c r="N108" t="n">
        <v>0</v>
      </c>
      <c r="O108" t="n">
        <v>6</v>
      </c>
      <c r="P108" t="n">
        <v>1</v>
      </c>
      <c r="Q108" t="n">
        <v>9</v>
      </c>
      <c r="R108" s="2" t="inlineStr">
        <is>
          <t>Knärot
Gammelgransskål
Lunglav
Skrovellav
Stiftgelélav
Vitgrynig nållav
Korallblylav
Luddlav
Stuplav</t>
        </is>
      </c>
      <c r="S108">
        <f>HYPERLINK("https://klasma.github.io/Logging_2260/artfynd/A 34519-2022 artfynd.xlsx", "A 34519-2022")</f>
        <v/>
      </c>
      <c r="T108">
        <f>HYPERLINK("https://klasma.github.io/Logging_2260/karta/A 34519-2022 karta.png", "A 34519-2022")</f>
        <v/>
      </c>
      <c r="U108">
        <f>HYPERLINK("https://klasma.github.io/Logging_2260/knärot/A 34519-2022 knärot.png", "A 34519-2022")</f>
        <v/>
      </c>
      <c r="V108">
        <f>HYPERLINK("https://klasma.github.io/Logging_2260/klagomål/A 34519-2022 klagomål.docx", "A 34519-2022")</f>
        <v/>
      </c>
      <c r="W108">
        <f>HYPERLINK("https://klasma.github.io/Logging_2260/klagomålsmail/A 34519-2022 klagomålsmail.docx", "A 34519-2022")</f>
        <v/>
      </c>
      <c r="X108">
        <f>HYPERLINK("https://klasma.github.io/Logging_2260/tillsyn/A 34519-2022 tillsyn.docx", "A 34519-2022")</f>
        <v/>
      </c>
      <c r="Y108">
        <f>HYPERLINK("https://klasma.github.io/Logging_2260/tillsynsmail/A 34519-2022 tillsynsmail.docx", "A 34519-2022")</f>
        <v/>
      </c>
    </row>
    <row r="109" ht="15" customHeight="1">
      <c r="A109" t="inlineStr">
        <is>
          <t>A 40274-2022</t>
        </is>
      </c>
      <c r="B109" s="1" t="n">
        <v>44820</v>
      </c>
      <c r="C109" s="1" t="n">
        <v>45212</v>
      </c>
      <c r="D109" t="inlineStr">
        <is>
          <t>VÄSTERNORRLANDS LÄN</t>
        </is>
      </c>
      <c r="E109" t="inlineStr">
        <is>
          <t>SOLLEFTEÅ</t>
        </is>
      </c>
      <c r="F109" t="inlineStr">
        <is>
          <t>SCA</t>
        </is>
      </c>
      <c r="G109" t="n">
        <v>2.1</v>
      </c>
      <c r="H109" t="n">
        <v>3</v>
      </c>
      <c r="I109" t="n">
        <v>0</v>
      </c>
      <c r="J109" t="n">
        <v>7</v>
      </c>
      <c r="K109" t="n">
        <v>2</v>
      </c>
      <c r="L109" t="n">
        <v>0</v>
      </c>
      <c r="M109" t="n">
        <v>0</v>
      </c>
      <c r="N109" t="n">
        <v>0</v>
      </c>
      <c r="O109" t="n">
        <v>9</v>
      </c>
      <c r="P109" t="n">
        <v>2</v>
      </c>
      <c r="Q109" t="n">
        <v>9</v>
      </c>
      <c r="R109" s="2" t="inlineStr">
        <is>
          <t>Knärot
Rynkskinn
Garnlav
Kolflarnlav
Lunglav
Rosenticka
Talltita
Tretåig hackspett
Ullticka</t>
        </is>
      </c>
      <c r="S109">
        <f>HYPERLINK("https://klasma.github.io/Logging_2283/artfynd/A 40274-2022 artfynd.xlsx", "A 40274-2022")</f>
        <v/>
      </c>
      <c r="T109">
        <f>HYPERLINK("https://klasma.github.io/Logging_2283/karta/A 40274-2022 karta.png", "A 40274-2022")</f>
        <v/>
      </c>
      <c r="U109">
        <f>HYPERLINK("https://klasma.github.io/Logging_2283/knärot/A 40274-2022 knärot.png", "A 40274-2022")</f>
        <v/>
      </c>
      <c r="V109">
        <f>HYPERLINK("https://klasma.github.io/Logging_2283/klagomål/A 40274-2022 klagomål.docx", "A 40274-2022")</f>
        <v/>
      </c>
      <c r="W109">
        <f>HYPERLINK("https://klasma.github.io/Logging_2283/klagomålsmail/A 40274-2022 klagomålsmail.docx", "A 40274-2022")</f>
        <v/>
      </c>
      <c r="X109">
        <f>HYPERLINK("https://klasma.github.io/Logging_2283/tillsyn/A 40274-2022 tillsyn.docx", "A 40274-2022")</f>
        <v/>
      </c>
      <c r="Y109">
        <f>HYPERLINK("https://klasma.github.io/Logging_2283/tillsynsmail/A 40274-2022 tillsynsmail.docx", "A 40274-2022")</f>
        <v/>
      </c>
    </row>
    <row r="110" ht="15" customHeight="1">
      <c r="A110" t="inlineStr">
        <is>
          <t>A 13578-2023</t>
        </is>
      </c>
      <c r="B110" s="1" t="n">
        <v>45005</v>
      </c>
      <c r="C110" s="1" t="n">
        <v>45212</v>
      </c>
      <c r="D110" t="inlineStr">
        <is>
          <t>VÄSTERNORRLANDS LÄN</t>
        </is>
      </c>
      <c r="E110" t="inlineStr">
        <is>
          <t>ÅNGE</t>
        </is>
      </c>
      <c r="G110" t="n">
        <v>10.8</v>
      </c>
      <c r="H110" t="n">
        <v>4</v>
      </c>
      <c r="I110" t="n">
        <v>1</v>
      </c>
      <c r="J110" t="n">
        <v>5</v>
      </c>
      <c r="K110" t="n">
        <v>2</v>
      </c>
      <c r="L110" t="n">
        <v>0</v>
      </c>
      <c r="M110" t="n">
        <v>0</v>
      </c>
      <c r="N110" t="n">
        <v>0</v>
      </c>
      <c r="O110" t="n">
        <v>7</v>
      </c>
      <c r="P110" t="n">
        <v>2</v>
      </c>
      <c r="Q110" t="n">
        <v>9</v>
      </c>
      <c r="R110" s="2" t="inlineStr">
        <is>
          <t>Knärot
Rynkskinn
Garnlav
Lunglav
Rosenticka
Talltita
Tretåig hackspett
Vedticka
Fläcknycklar</t>
        </is>
      </c>
      <c r="S110">
        <f>HYPERLINK("https://klasma.github.io/Logging_2260/artfynd/A 13578-2023 artfynd.xlsx", "A 13578-2023")</f>
        <v/>
      </c>
      <c r="T110">
        <f>HYPERLINK("https://klasma.github.io/Logging_2260/karta/A 13578-2023 karta.png", "A 13578-2023")</f>
        <v/>
      </c>
      <c r="U110">
        <f>HYPERLINK("https://klasma.github.io/Logging_2260/knärot/A 13578-2023 knärot.png", "A 13578-2023")</f>
        <v/>
      </c>
      <c r="V110">
        <f>HYPERLINK("https://klasma.github.io/Logging_2260/klagomål/A 13578-2023 klagomål.docx", "A 13578-2023")</f>
        <v/>
      </c>
      <c r="W110">
        <f>HYPERLINK("https://klasma.github.io/Logging_2260/klagomålsmail/A 13578-2023 klagomålsmail.docx", "A 13578-2023")</f>
        <v/>
      </c>
      <c r="X110">
        <f>HYPERLINK("https://klasma.github.io/Logging_2260/tillsyn/A 13578-2023 tillsyn.docx", "A 13578-2023")</f>
        <v/>
      </c>
      <c r="Y110">
        <f>HYPERLINK("https://klasma.github.io/Logging_2260/tillsynsmail/A 13578-2023 tillsynsmail.docx", "A 13578-2023")</f>
        <v/>
      </c>
    </row>
    <row r="111" ht="15" customHeight="1">
      <c r="A111" t="inlineStr">
        <is>
          <t>A 15983-2023</t>
        </is>
      </c>
      <c r="B111" s="1" t="n">
        <v>45022</v>
      </c>
      <c r="C111" s="1" t="n">
        <v>45212</v>
      </c>
      <c r="D111" t="inlineStr">
        <is>
          <t>VÄSTERNORRLANDS LÄN</t>
        </is>
      </c>
      <c r="E111" t="inlineStr">
        <is>
          <t>SOLLEFTEÅ</t>
        </is>
      </c>
      <c r="F111" t="inlineStr">
        <is>
          <t>SCA</t>
        </is>
      </c>
      <c r="G111" t="n">
        <v>4.7</v>
      </c>
      <c r="H111" t="n">
        <v>1</v>
      </c>
      <c r="I111" t="n">
        <v>0</v>
      </c>
      <c r="J111" t="n">
        <v>9</v>
      </c>
      <c r="K111" t="n">
        <v>0</v>
      </c>
      <c r="L111" t="n">
        <v>0</v>
      </c>
      <c r="M111" t="n">
        <v>0</v>
      </c>
      <c r="N111" t="n">
        <v>0</v>
      </c>
      <c r="O111" t="n">
        <v>9</v>
      </c>
      <c r="P111" t="n">
        <v>0</v>
      </c>
      <c r="Q111" t="n">
        <v>9</v>
      </c>
      <c r="R111" s="2" t="inlineStr">
        <is>
          <t>Dvärgbägarlav
Lunglav
Rosenticka
Skrovlig taggsvamp
Tretåig hackspett
Vedskivlav
Violmussling
Vitgrynig nållav
Vitplätt</t>
        </is>
      </c>
      <c r="S111">
        <f>HYPERLINK("https://klasma.github.io/Logging_2283/artfynd/A 15983-2023 artfynd.xlsx", "A 15983-2023")</f>
        <v/>
      </c>
      <c r="T111">
        <f>HYPERLINK("https://klasma.github.io/Logging_2283/karta/A 15983-2023 karta.png", "A 15983-2023")</f>
        <v/>
      </c>
      <c r="V111">
        <f>HYPERLINK("https://klasma.github.io/Logging_2283/klagomål/A 15983-2023 klagomål.docx", "A 15983-2023")</f>
        <v/>
      </c>
      <c r="W111">
        <f>HYPERLINK("https://klasma.github.io/Logging_2283/klagomålsmail/A 15983-2023 klagomålsmail.docx", "A 15983-2023")</f>
        <v/>
      </c>
      <c r="X111">
        <f>HYPERLINK("https://klasma.github.io/Logging_2283/tillsyn/A 15983-2023 tillsyn.docx", "A 15983-2023")</f>
        <v/>
      </c>
      <c r="Y111">
        <f>HYPERLINK("https://klasma.github.io/Logging_2283/tillsynsmail/A 15983-2023 tillsynsmail.docx", "A 15983-2023")</f>
        <v/>
      </c>
    </row>
    <row r="112" ht="15" customHeight="1">
      <c r="A112" t="inlineStr">
        <is>
          <t>A 22621-2023</t>
        </is>
      </c>
      <c r="B112" s="1" t="n">
        <v>45071</v>
      </c>
      <c r="C112" s="1" t="n">
        <v>45212</v>
      </c>
      <c r="D112" t="inlineStr">
        <is>
          <t>VÄSTERNORRLANDS LÄN</t>
        </is>
      </c>
      <c r="E112" t="inlineStr">
        <is>
          <t>SUNDSVALL</t>
        </is>
      </c>
      <c r="F112" t="inlineStr">
        <is>
          <t>Holmen skog AB</t>
        </is>
      </c>
      <c r="G112" t="n">
        <v>7.3</v>
      </c>
      <c r="H112" t="n">
        <v>0</v>
      </c>
      <c r="I112" t="n">
        <v>6</v>
      </c>
      <c r="J112" t="n">
        <v>3</v>
      </c>
      <c r="K112" t="n">
        <v>0</v>
      </c>
      <c r="L112" t="n">
        <v>0</v>
      </c>
      <c r="M112" t="n">
        <v>0</v>
      </c>
      <c r="N112" t="n">
        <v>0</v>
      </c>
      <c r="O112" t="n">
        <v>3</v>
      </c>
      <c r="P112" t="n">
        <v>0</v>
      </c>
      <c r="Q112" t="n">
        <v>9</v>
      </c>
      <c r="R112" s="2" t="inlineStr">
        <is>
          <t>Garnlav
Lunglav
Ullticka
Barkkornlav
Bårdlav
Korallblylav
Skinnlav
Stor aspticka
Stuplav</t>
        </is>
      </c>
      <c r="S112">
        <f>HYPERLINK("https://klasma.github.io/Logging_2281/artfynd/A 22621-2023 artfynd.xlsx", "A 22621-2023")</f>
        <v/>
      </c>
      <c r="T112">
        <f>HYPERLINK("https://klasma.github.io/Logging_2281/karta/A 22621-2023 karta.png", "A 22621-2023")</f>
        <v/>
      </c>
      <c r="V112">
        <f>HYPERLINK("https://klasma.github.io/Logging_2281/klagomål/A 22621-2023 klagomål.docx", "A 22621-2023")</f>
        <v/>
      </c>
      <c r="W112">
        <f>HYPERLINK("https://klasma.github.io/Logging_2281/klagomålsmail/A 22621-2023 klagomålsmail.docx", "A 22621-2023")</f>
        <v/>
      </c>
      <c r="X112">
        <f>HYPERLINK("https://klasma.github.io/Logging_2281/tillsyn/A 22621-2023 tillsyn.docx", "A 22621-2023")</f>
        <v/>
      </c>
      <c r="Y112">
        <f>HYPERLINK("https://klasma.github.io/Logging_2281/tillsynsmail/A 22621-2023 tillsynsmail.docx", "A 22621-2023")</f>
        <v/>
      </c>
    </row>
    <row r="113" ht="15" customHeight="1">
      <c r="A113" t="inlineStr">
        <is>
          <t>A 30272-2023</t>
        </is>
      </c>
      <c r="B113" s="1" t="n">
        <v>45099</v>
      </c>
      <c r="C113" s="1" t="n">
        <v>45212</v>
      </c>
      <c r="D113" t="inlineStr">
        <is>
          <t>VÄSTERNORRLANDS LÄN</t>
        </is>
      </c>
      <c r="E113" t="inlineStr">
        <is>
          <t>SUNDSVALL</t>
        </is>
      </c>
      <c r="G113" t="n">
        <v>4.1</v>
      </c>
      <c r="H113" t="n">
        <v>2</v>
      </c>
      <c r="I113" t="n">
        <v>4</v>
      </c>
      <c r="J113" t="n">
        <v>4</v>
      </c>
      <c r="K113" t="n">
        <v>1</v>
      </c>
      <c r="L113" t="n">
        <v>0</v>
      </c>
      <c r="M113" t="n">
        <v>0</v>
      </c>
      <c r="N113" t="n">
        <v>0</v>
      </c>
      <c r="O113" t="n">
        <v>5</v>
      </c>
      <c r="P113" t="n">
        <v>1</v>
      </c>
      <c r="Q113" t="n">
        <v>9</v>
      </c>
      <c r="R113" s="2" t="inlineStr">
        <is>
          <t>Knärot
Järpe
Rosenticka
Ullticka
Äggvaxskivling
Bronshjon
Mörk husmossa
Skarp dropptaggsvamp
Vågbandad barkbock</t>
        </is>
      </c>
      <c r="S113">
        <f>HYPERLINK("https://klasma.github.io/Logging_2281/artfynd/A 30272-2023 artfynd.xlsx", "A 30272-2023")</f>
        <v/>
      </c>
      <c r="T113">
        <f>HYPERLINK("https://klasma.github.io/Logging_2281/karta/A 30272-2023 karta.png", "A 30272-2023")</f>
        <v/>
      </c>
      <c r="U113">
        <f>HYPERLINK("https://klasma.github.io/Logging_2281/knärot/A 30272-2023 knärot.png", "A 30272-2023")</f>
        <v/>
      </c>
      <c r="V113">
        <f>HYPERLINK("https://klasma.github.io/Logging_2281/klagomål/A 30272-2023 klagomål.docx", "A 30272-2023")</f>
        <v/>
      </c>
      <c r="W113">
        <f>HYPERLINK("https://klasma.github.io/Logging_2281/klagomålsmail/A 30272-2023 klagomålsmail.docx", "A 30272-2023")</f>
        <v/>
      </c>
      <c r="X113">
        <f>HYPERLINK("https://klasma.github.io/Logging_2281/tillsyn/A 30272-2023 tillsyn.docx", "A 30272-2023")</f>
        <v/>
      </c>
      <c r="Y113">
        <f>HYPERLINK("https://klasma.github.io/Logging_2281/tillsynsmail/A 30272-2023 tillsynsmail.docx", "A 30272-2023")</f>
        <v/>
      </c>
    </row>
    <row r="114" ht="15" customHeight="1">
      <c r="A114" t="inlineStr">
        <is>
          <t>A 62734-2018</t>
        </is>
      </c>
      <c r="B114" s="1" t="n">
        <v>43413</v>
      </c>
      <c r="C114" s="1" t="n">
        <v>45212</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HYPERLINK("https://klasma.github.io/Logging_2282/artfynd/A 62734-2018 artfynd.xlsx", "A 62734-2018")</f>
        <v/>
      </c>
      <c r="T114">
        <f>HYPERLINK("https://klasma.github.io/Logging_2282/karta/A 62734-2018 karta.png", "A 62734-2018")</f>
        <v/>
      </c>
      <c r="V114">
        <f>HYPERLINK("https://klasma.github.io/Logging_2282/klagomål/A 62734-2018 klagomål.docx", "A 62734-2018")</f>
        <v/>
      </c>
      <c r="W114">
        <f>HYPERLINK("https://klasma.github.io/Logging_2282/klagomålsmail/A 62734-2018 klagomålsmail.docx", "A 62734-2018")</f>
        <v/>
      </c>
      <c r="X114">
        <f>HYPERLINK("https://klasma.github.io/Logging_2282/tillsyn/A 62734-2018 tillsyn.docx", "A 62734-2018")</f>
        <v/>
      </c>
      <c r="Y114">
        <f>HYPERLINK("https://klasma.github.io/Logging_2282/tillsynsmail/A 62734-2018 tillsynsmail.docx", "A 62734-2018")</f>
        <v/>
      </c>
    </row>
    <row r="115" ht="15" customHeight="1">
      <c r="A115" t="inlineStr">
        <is>
          <t>A 44262-2019</t>
        </is>
      </c>
      <c r="B115" s="1" t="n">
        <v>43710</v>
      </c>
      <c r="C115" s="1" t="n">
        <v>45212</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HYPERLINK("https://klasma.github.io/Logging_2280/artfynd/A 44262-2019 artfynd.xlsx", "A 44262-2019")</f>
        <v/>
      </c>
      <c r="T115">
        <f>HYPERLINK("https://klasma.github.io/Logging_2280/karta/A 44262-2019 karta.png", "A 44262-2019")</f>
        <v/>
      </c>
      <c r="V115">
        <f>HYPERLINK("https://klasma.github.io/Logging_2280/klagomål/A 44262-2019 klagomål.docx", "A 44262-2019")</f>
        <v/>
      </c>
      <c r="W115">
        <f>HYPERLINK("https://klasma.github.io/Logging_2280/klagomålsmail/A 44262-2019 klagomålsmail.docx", "A 44262-2019")</f>
        <v/>
      </c>
      <c r="X115">
        <f>HYPERLINK("https://klasma.github.io/Logging_2280/tillsyn/A 44262-2019 tillsyn.docx", "A 44262-2019")</f>
        <v/>
      </c>
      <c r="Y115">
        <f>HYPERLINK("https://klasma.github.io/Logging_2280/tillsynsmail/A 44262-2019 tillsynsmail.docx", "A 44262-2019")</f>
        <v/>
      </c>
    </row>
    <row r="116" ht="15" customHeight="1">
      <c r="A116" t="inlineStr">
        <is>
          <t>A 52945-2019</t>
        </is>
      </c>
      <c r="B116" s="1" t="n">
        <v>43739</v>
      </c>
      <c r="C116" s="1" t="n">
        <v>45212</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HYPERLINK("https://klasma.github.io/Logging_2283/artfynd/A 52945-2019 artfynd.xlsx", "A 52945-2019")</f>
        <v/>
      </c>
      <c r="T116">
        <f>HYPERLINK("https://klasma.github.io/Logging_2283/karta/A 52945-2019 karta.png", "A 52945-2019")</f>
        <v/>
      </c>
      <c r="V116">
        <f>HYPERLINK("https://klasma.github.io/Logging_2283/klagomål/A 52945-2019 klagomål.docx", "A 52945-2019")</f>
        <v/>
      </c>
      <c r="W116">
        <f>HYPERLINK("https://klasma.github.io/Logging_2283/klagomålsmail/A 52945-2019 klagomålsmail.docx", "A 52945-2019")</f>
        <v/>
      </c>
      <c r="X116">
        <f>HYPERLINK("https://klasma.github.io/Logging_2283/tillsyn/A 52945-2019 tillsyn.docx", "A 52945-2019")</f>
        <v/>
      </c>
      <c r="Y116">
        <f>HYPERLINK("https://klasma.github.io/Logging_2283/tillsynsmail/A 52945-2019 tillsynsmail.docx", "A 52945-2019")</f>
        <v/>
      </c>
    </row>
    <row r="117" ht="15" customHeight="1">
      <c r="A117" t="inlineStr">
        <is>
          <t>A 9826-2020</t>
        </is>
      </c>
      <c r="B117" s="1" t="n">
        <v>43881</v>
      </c>
      <c r="C117" s="1" t="n">
        <v>45212</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HYPERLINK("https://klasma.github.io/Logging_2260/artfynd/A 9826-2020 artfynd.xlsx", "A 9826-2020")</f>
        <v/>
      </c>
      <c r="T117">
        <f>HYPERLINK("https://klasma.github.io/Logging_2260/karta/A 9826-2020 karta.png", "A 9826-2020")</f>
        <v/>
      </c>
      <c r="U117">
        <f>HYPERLINK("https://klasma.github.io/Logging_2260/knärot/A 9826-2020 knärot.png", "A 9826-2020")</f>
        <v/>
      </c>
      <c r="V117">
        <f>HYPERLINK("https://klasma.github.io/Logging_2260/klagomål/A 9826-2020 klagomål.docx", "A 9826-2020")</f>
        <v/>
      </c>
      <c r="W117">
        <f>HYPERLINK("https://klasma.github.io/Logging_2260/klagomålsmail/A 9826-2020 klagomålsmail.docx", "A 9826-2020")</f>
        <v/>
      </c>
      <c r="X117">
        <f>HYPERLINK("https://klasma.github.io/Logging_2260/tillsyn/A 9826-2020 tillsyn.docx", "A 9826-2020")</f>
        <v/>
      </c>
      <c r="Y117">
        <f>HYPERLINK("https://klasma.github.io/Logging_2260/tillsynsmail/A 9826-2020 tillsynsmail.docx", "A 9826-2020")</f>
        <v/>
      </c>
    </row>
    <row r="118" ht="15" customHeight="1">
      <c r="A118" t="inlineStr">
        <is>
          <t>A 27404-2020</t>
        </is>
      </c>
      <c r="B118" s="1" t="n">
        <v>43992</v>
      </c>
      <c r="C118" s="1" t="n">
        <v>45212</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HYPERLINK("https://klasma.github.io/Logging_2281/artfynd/A 27404-2020 artfynd.xlsx", "A 27404-2020")</f>
        <v/>
      </c>
      <c r="T118">
        <f>HYPERLINK("https://klasma.github.io/Logging_2281/karta/A 27404-2020 karta.png", "A 27404-2020")</f>
        <v/>
      </c>
      <c r="U118">
        <f>HYPERLINK("https://klasma.github.io/Logging_2281/knärot/A 27404-2020 knärot.png", "A 27404-2020")</f>
        <v/>
      </c>
      <c r="V118">
        <f>HYPERLINK("https://klasma.github.io/Logging_2281/klagomål/A 27404-2020 klagomål.docx", "A 27404-2020")</f>
        <v/>
      </c>
      <c r="W118">
        <f>HYPERLINK("https://klasma.github.io/Logging_2281/klagomålsmail/A 27404-2020 klagomålsmail.docx", "A 27404-2020")</f>
        <v/>
      </c>
      <c r="X118">
        <f>HYPERLINK("https://klasma.github.io/Logging_2281/tillsyn/A 27404-2020 tillsyn.docx", "A 27404-2020")</f>
        <v/>
      </c>
      <c r="Y118">
        <f>HYPERLINK("https://klasma.github.io/Logging_2281/tillsynsmail/A 27404-2020 tillsynsmail.docx", "A 27404-2020")</f>
        <v/>
      </c>
    </row>
    <row r="119" ht="15" customHeight="1">
      <c r="A119" t="inlineStr">
        <is>
          <t>A 57792-2020</t>
        </is>
      </c>
      <c r="B119" s="1" t="n">
        <v>44141</v>
      </c>
      <c r="C119" s="1" t="n">
        <v>45212</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HYPERLINK("https://klasma.github.io/Logging_2284/artfynd/A 57792-2020 artfynd.xlsx", "A 57792-2020")</f>
        <v/>
      </c>
      <c r="T119">
        <f>HYPERLINK("https://klasma.github.io/Logging_2284/karta/A 57792-2020 karta.png", "A 57792-2020")</f>
        <v/>
      </c>
      <c r="V119">
        <f>HYPERLINK("https://klasma.github.io/Logging_2284/klagomål/A 57792-2020 klagomål.docx", "A 57792-2020")</f>
        <v/>
      </c>
      <c r="W119">
        <f>HYPERLINK("https://klasma.github.io/Logging_2284/klagomålsmail/A 57792-2020 klagomålsmail.docx", "A 57792-2020")</f>
        <v/>
      </c>
      <c r="X119">
        <f>HYPERLINK("https://klasma.github.io/Logging_2284/tillsyn/A 57792-2020 tillsyn.docx", "A 57792-2020")</f>
        <v/>
      </c>
      <c r="Y119">
        <f>HYPERLINK("https://klasma.github.io/Logging_2284/tillsynsmail/A 57792-2020 tillsynsmail.docx", "A 57792-2020")</f>
        <v/>
      </c>
    </row>
    <row r="120" ht="15" customHeight="1">
      <c r="A120" t="inlineStr">
        <is>
          <t>A 38950-2021</t>
        </is>
      </c>
      <c r="B120" s="1" t="n">
        <v>44411</v>
      </c>
      <c r="C120" s="1" t="n">
        <v>45212</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HYPERLINK("https://klasma.github.io/Logging_2282/artfynd/A 38950-2021 artfynd.xlsx", "A 38950-2021")</f>
        <v/>
      </c>
      <c r="T120">
        <f>HYPERLINK("https://klasma.github.io/Logging_2282/karta/A 38950-2021 karta.png", "A 38950-2021")</f>
        <v/>
      </c>
      <c r="V120">
        <f>HYPERLINK("https://klasma.github.io/Logging_2282/klagomål/A 38950-2021 klagomål.docx", "A 38950-2021")</f>
        <v/>
      </c>
      <c r="W120">
        <f>HYPERLINK("https://klasma.github.io/Logging_2282/klagomålsmail/A 38950-2021 klagomålsmail.docx", "A 38950-2021")</f>
        <v/>
      </c>
      <c r="X120">
        <f>HYPERLINK("https://klasma.github.io/Logging_2282/tillsyn/A 38950-2021 tillsyn.docx", "A 38950-2021")</f>
        <v/>
      </c>
      <c r="Y120">
        <f>HYPERLINK("https://klasma.github.io/Logging_2282/tillsynsmail/A 38950-2021 tillsynsmail.docx", "A 38950-2021")</f>
        <v/>
      </c>
    </row>
    <row r="121" ht="15" customHeight="1">
      <c r="A121" t="inlineStr">
        <is>
          <t>A 45577-2021</t>
        </is>
      </c>
      <c r="B121" s="1" t="n">
        <v>44440</v>
      </c>
      <c r="C121" s="1" t="n">
        <v>45212</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HYPERLINK("https://klasma.github.io/Logging_2282/artfynd/A 45577-2021 artfynd.xlsx", "A 45577-2021")</f>
        <v/>
      </c>
      <c r="T121">
        <f>HYPERLINK("https://klasma.github.io/Logging_2282/karta/A 45577-2021 karta.png", "A 45577-2021")</f>
        <v/>
      </c>
      <c r="V121">
        <f>HYPERLINK("https://klasma.github.io/Logging_2282/klagomål/A 45577-2021 klagomål.docx", "A 45577-2021")</f>
        <v/>
      </c>
      <c r="W121">
        <f>HYPERLINK("https://klasma.github.io/Logging_2282/klagomålsmail/A 45577-2021 klagomålsmail.docx", "A 45577-2021")</f>
        <v/>
      </c>
      <c r="X121">
        <f>HYPERLINK("https://klasma.github.io/Logging_2282/tillsyn/A 45577-2021 tillsyn.docx", "A 45577-2021")</f>
        <v/>
      </c>
      <c r="Y121">
        <f>HYPERLINK("https://klasma.github.io/Logging_2282/tillsynsmail/A 45577-2021 tillsynsmail.docx", "A 45577-2021")</f>
        <v/>
      </c>
    </row>
    <row r="122" ht="15" customHeight="1">
      <c r="A122" t="inlineStr">
        <is>
          <t>A 59993-2021</t>
        </is>
      </c>
      <c r="B122" s="1" t="n">
        <v>44494</v>
      </c>
      <c r="C122" s="1" t="n">
        <v>45212</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HYPERLINK("https://klasma.github.io/Logging_2260/artfynd/A 59993-2021 artfynd.xlsx", "A 59993-2021")</f>
        <v/>
      </c>
      <c r="T122">
        <f>HYPERLINK("https://klasma.github.io/Logging_2260/karta/A 59993-2021 karta.png", "A 59993-2021")</f>
        <v/>
      </c>
      <c r="U122">
        <f>HYPERLINK("https://klasma.github.io/Logging_2260/knärot/A 59993-2021 knärot.png", "A 59993-2021")</f>
        <v/>
      </c>
      <c r="V122">
        <f>HYPERLINK("https://klasma.github.io/Logging_2260/klagomål/A 59993-2021 klagomål.docx", "A 59993-2021")</f>
        <v/>
      </c>
      <c r="W122">
        <f>HYPERLINK("https://klasma.github.io/Logging_2260/klagomålsmail/A 59993-2021 klagomålsmail.docx", "A 59993-2021")</f>
        <v/>
      </c>
      <c r="X122">
        <f>HYPERLINK("https://klasma.github.io/Logging_2260/tillsyn/A 59993-2021 tillsyn.docx", "A 59993-2021")</f>
        <v/>
      </c>
      <c r="Y122">
        <f>HYPERLINK("https://klasma.github.io/Logging_2260/tillsynsmail/A 59993-2021 tillsynsmail.docx", "A 59993-2021")</f>
        <v/>
      </c>
    </row>
    <row r="123" ht="15" customHeight="1">
      <c r="A123" t="inlineStr">
        <is>
          <t>A 37600-2022</t>
        </is>
      </c>
      <c r="B123" s="1" t="n">
        <v>44809</v>
      </c>
      <c r="C123" s="1" t="n">
        <v>45212</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HYPERLINK("https://klasma.github.io/Logging_2262/artfynd/A 37600-2022 artfynd.xlsx", "A 37600-2022")</f>
        <v/>
      </c>
      <c r="T123">
        <f>HYPERLINK("https://klasma.github.io/Logging_2262/karta/A 37600-2022 karta.png", "A 37600-2022")</f>
        <v/>
      </c>
      <c r="V123">
        <f>HYPERLINK("https://klasma.github.io/Logging_2262/klagomål/A 37600-2022 klagomål.docx", "A 37600-2022")</f>
        <v/>
      </c>
      <c r="W123">
        <f>HYPERLINK("https://klasma.github.io/Logging_2262/klagomålsmail/A 37600-2022 klagomålsmail.docx", "A 37600-2022")</f>
        <v/>
      </c>
      <c r="X123">
        <f>HYPERLINK("https://klasma.github.io/Logging_2262/tillsyn/A 37600-2022 tillsyn.docx", "A 37600-2022")</f>
        <v/>
      </c>
      <c r="Y123">
        <f>HYPERLINK("https://klasma.github.io/Logging_2262/tillsynsmail/A 37600-2022 tillsynsmail.docx", "A 37600-2022")</f>
        <v/>
      </c>
    </row>
    <row r="124" ht="15" customHeight="1">
      <c r="A124" t="inlineStr">
        <is>
          <t>A 57857-2022</t>
        </is>
      </c>
      <c r="B124" s="1" t="n">
        <v>44898</v>
      </c>
      <c r="C124" s="1" t="n">
        <v>45212</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HYPERLINK("https://klasma.github.io/Logging_2281/artfynd/A 57857-2022 artfynd.xlsx", "A 57857-2022")</f>
        <v/>
      </c>
      <c r="T124">
        <f>HYPERLINK("https://klasma.github.io/Logging_2281/karta/A 57857-2022 karta.png", "A 57857-2022")</f>
        <v/>
      </c>
      <c r="V124">
        <f>HYPERLINK("https://klasma.github.io/Logging_2281/klagomål/A 57857-2022 klagomål.docx", "A 57857-2022")</f>
        <v/>
      </c>
      <c r="W124">
        <f>HYPERLINK("https://klasma.github.io/Logging_2281/klagomålsmail/A 57857-2022 klagomålsmail.docx", "A 57857-2022")</f>
        <v/>
      </c>
      <c r="X124">
        <f>HYPERLINK("https://klasma.github.io/Logging_2281/tillsyn/A 57857-2022 tillsyn.docx", "A 57857-2022")</f>
        <v/>
      </c>
      <c r="Y124">
        <f>HYPERLINK("https://klasma.github.io/Logging_2281/tillsynsmail/A 57857-2022 tillsynsmail.docx", "A 57857-2022")</f>
        <v/>
      </c>
    </row>
    <row r="125" ht="15" customHeight="1">
      <c r="A125" t="inlineStr">
        <is>
          <t>A 58447-2022</t>
        </is>
      </c>
      <c r="B125" s="1" t="n">
        <v>44901</v>
      </c>
      <c r="C125" s="1" t="n">
        <v>45212</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HYPERLINK("https://klasma.github.io/Logging_2280/artfynd/A 58447-2022 artfynd.xlsx", "A 58447-2022")</f>
        <v/>
      </c>
      <c r="T125">
        <f>HYPERLINK("https://klasma.github.io/Logging_2280/karta/A 58447-2022 karta.png", "A 58447-2022")</f>
        <v/>
      </c>
      <c r="U125">
        <f>HYPERLINK("https://klasma.github.io/Logging_2280/knärot/A 58447-2022 knärot.png", "A 58447-2022")</f>
        <v/>
      </c>
      <c r="V125">
        <f>HYPERLINK("https://klasma.github.io/Logging_2280/klagomål/A 58447-2022 klagomål.docx", "A 58447-2022")</f>
        <v/>
      </c>
      <c r="W125">
        <f>HYPERLINK("https://klasma.github.io/Logging_2280/klagomålsmail/A 58447-2022 klagomålsmail.docx", "A 58447-2022")</f>
        <v/>
      </c>
      <c r="X125">
        <f>HYPERLINK("https://klasma.github.io/Logging_2280/tillsyn/A 58447-2022 tillsyn.docx", "A 58447-2022")</f>
        <v/>
      </c>
      <c r="Y125">
        <f>HYPERLINK("https://klasma.github.io/Logging_2280/tillsynsmail/A 58447-2022 tillsynsmail.docx", "A 58447-2022")</f>
        <v/>
      </c>
    </row>
    <row r="126" ht="15" customHeight="1">
      <c r="A126" t="inlineStr">
        <is>
          <t>A 62083-2022</t>
        </is>
      </c>
      <c r="B126" s="1" t="n">
        <v>44918</v>
      </c>
      <c r="C126" s="1" t="n">
        <v>45212</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HYPERLINK("https://klasma.github.io/Logging_2281/artfynd/A 62083-2022 artfynd.xlsx", "A 62083-2022")</f>
        <v/>
      </c>
      <c r="T126">
        <f>HYPERLINK("https://klasma.github.io/Logging_2281/karta/A 62083-2022 karta.png", "A 62083-2022")</f>
        <v/>
      </c>
      <c r="U126">
        <f>HYPERLINK("https://klasma.github.io/Logging_2281/knärot/A 62083-2022 knärot.png", "A 62083-2022")</f>
        <v/>
      </c>
      <c r="V126">
        <f>HYPERLINK("https://klasma.github.io/Logging_2281/klagomål/A 62083-2022 klagomål.docx", "A 62083-2022")</f>
        <v/>
      </c>
      <c r="W126">
        <f>HYPERLINK("https://klasma.github.io/Logging_2281/klagomålsmail/A 62083-2022 klagomålsmail.docx", "A 62083-2022")</f>
        <v/>
      </c>
      <c r="X126">
        <f>HYPERLINK("https://klasma.github.io/Logging_2281/tillsyn/A 62083-2022 tillsyn.docx", "A 62083-2022")</f>
        <v/>
      </c>
      <c r="Y126">
        <f>HYPERLINK("https://klasma.github.io/Logging_2281/tillsynsmail/A 62083-2022 tillsynsmail.docx", "A 62083-2022")</f>
        <v/>
      </c>
    </row>
    <row r="127" ht="15" customHeight="1">
      <c r="A127" t="inlineStr">
        <is>
          <t>A 10086-2023</t>
        </is>
      </c>
      <c r="B127" s="1" t="n">
        <v>44985</v>
      </c>
      <c r="C127" s="1" t="n">
        <v>45212</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HYPERLINK("https://klasma.github.io/Logging_2260/artfynd/A 10086-2023 artfynd.xlsx", "A 10086-2023")</f>
        <v/>
      </c>
      <c r="T127">
        <f>HYPERLINK("https://klasma.github.io/Logging_2260/karta/A 10086-2023 karta.png", "A 10086-2023")</f>
        <v/>
      </c>
      <c r="V127">
        <f>HYPERLINK("https://klasma.github.io/Logging_2260/klagomål/A 10086-2023 klagomål.docx", "A 10086-2023")</f>
        <v/>
      </c>
      <c r="W127">
        <f>HYPERLINK("https://klasma.github.io/Logging_2260/klagomålsmail/A 10086-2023 klagomålsmail.docx", "A 10086-2023")</f>
        <v/>
      </c>
      <c r="X127">
        <f>HYPERLINK("https://klasma.github.io/Logging_2260/tillsyn/A 10086-2023 tillsyn.docx", "A 10086-2023")</f>
        <v/>
      </c>
      <c r="Y127">
        <f>HYPERLINK("https://klasma.github.io/Logging_2260/tillsynsmail/A 10086-2023 tillsynsmail.docx", "A 10086-2023")</f>
        <v/>
      </c>
    </row>
    <row r="128" ht="15" customHeight="1">
      <c r="A128" t="inlineStr">
        <is>
          <t>A 22737-2023</t>
        </is>
      </c>
      <c r="B128" s="1" t="n">
        <v>45071</v>
      </c>
      <c r="C128" s="1" t="n">
        <v>45212</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HYPERLINK("https://klasma.github.io/Logging_2260/artfynd/A 22737-2023 artfynd.xlsx", "A 22737-2023")</f>
        <v/>
      </c>
      <c r="T128">
        <f>HYPERLINK("https://klasma.github.io/Logging_2260/karta/A 22737-2023 karta.png", "A 22737-2023")</f>
        <v/>
      </c>
      <c r="U128">
        <f>HYPERLINK("https://klasma.github.io/Logging_2260/knärot/A 22737-2023 knärot.png", "A 22737-2023")</f>
        <v/>
      </c>
      <c r="V128">
        <f>HYPERLINK("https://klasma.github.io/Logging_2260/klagomål/A 22737-2023 klagomål.docx", "A 22737-2023")</f>
        <v/>
      </c>
      <c r="W128">
        <f>HYPERLINK("https://klasma.github.io/Logging_2260/klagomålsmail/A 22737-2023 klagomålsmail.docx", "A 22737-2023")</f>
        <v/>
      </c>
      <c r="X128">
        <f>HYPERLINK("https://klasma.github.io/Logging_2260/tillsyn/A 22737-2023 tillsyn.docx", "A 22737-2023")</f>
        <v/>
      </c>
      <c r="Y128">
        <f>HYPERLINK("https://klasma.github.io/Logging_2260/tillsynsmail/A 22737-2023 tillsynsmail.docx", "A 22737-2023")</f>
        <v/>
      </c>
    </row>
    <row r="129" ht="15" customHeight="1">
      <c r="A129" t="inlineStr">
        <is>
          <t>A 29620-2023</t>
        </is>
      </c>
      <c r="B129" s="1" t="n">
        <v>45106</v>
      </c>
      <c r="C129" s="1" t="n">
        <v>45212</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HYPERLINK("https://klasma.github.io/Logging_2283/artfynd/A 29620-2023 artfynd.xlsx", "A 29620-2023")</f>
        <v/>
      </c>
      <c r="T129">
        <f>HYPERLINK("https://klasma.github.io/Logging_2283/karta/A 29620-2023 karta.png", "A 29620-2023")</f>
        <v/>
      </c>
      <c r="V129">
        <f>HYPERLINK("https://klasma.github.io/Logging_2283/klagomål/A 29620-2023 klagomål.docx", "A 29620-2023")</f>
        <v/>
      </c>
      <c r="W129">
        <f>HYPERLINK("https://klasma.github.io/Logging_2283/klagomålsmail/A 29620-2023 klagomålsmail.docx", "A 29620-2023")</f>
        <v/>
      </c>
      <c r="X129">
        <f>HYPERLINK("https://klasma.github.io/Logging_2283/tillsyn/A 29620-2023 tillsyn.docx", "A 29620-2023")</f>
        <v/>
      </c>
      <c r="Y129">
        <f>HYPERLINK("https://klasma.github.io/Logging_2283/tillsynsmail/A 29620-2023 tillsynsmail.docx", "A 29620-2023")</f>
        <v/>
      </c>
    </row>
    <row r="130" ht="15" customHeight="1">
      <c r="A130" t="inlineStr">
        <is>
          <t>A 32200-2023</t>
        </is>
      </c>
      <c r="B130" s="1" t="n">
        <v>45119</v>
      </c>
      <c r="C130" s="1" t="n">
        <v>45212</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HYPERLINK("https://klasma.github.io/Logging_2283/artfynd/A 32200-2023 artfynd.xlsx", "A 32200-2023")</f>
        <v/>
      </c>
      <c r="T130">
        <f>HYPERLINK("https://klasma.github.io/Logging_2283/karta/A 32200-2023 karta.png", "A 32200-2023")</f>
        <v/>
      </c>
      <c r="U130">
        <f>HYPERLINK("https://klasma.github.io/Logging_2283/knärot/A 32200-2023 knärot.png", "A 32200-2023")</f>
        <v/>
      </c>
      <c r="V130">
        <f>HYPERLINK("https://klasma.github.io/Logging_2283/klagomål/A 32200-2023 klagomål.docx", "A 32200-2023")</f>
        <v/>
      </c>
      <c r="W130">
        <f>HYPERLINK("https://klasma.github.io/Logging_2283/klagomålsmail/A 32200-2023 klagomålsmail.docx", "A 32200-2023")</f>
        <v/>
      </c>
      <c r="X130">
        <f>HYPERLINK("https://klasma.github.io/Logging_2283/tillsyn/A 32200-2023 tillsyn.docx", "A 32200-2023")</f>
        <v/>
      </c>
      <c r="Y130">
        <f>HYPERLINK("https://klasma.github.io/Logging_2283/tillsynsmail/A 32200-2023 tillsynsmail.docx", "A 32200-2023")</f>
        <v/>
      </c>
    </row>
    <row r="131" ht="15" customHeight="1">
      <c r="A131" t="inlineStr">
        <is>
          <t>A 43845-2018</t>
        </is>
      </c>
      <c r="B131" s="1" t="n">
        <v>43357</v>
      </c>
      <c r="C131" s="1" t="n">
        <v>45212</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HYPERLINK("https://klasma.github.io/Logging_2282/artfynd/A 43845-2018 artfynd.xlsx", "A 43845-2018")</f>
        <v/>
      </c>
      <c r="T131">
        <f>HYPERLINK("https://klasma.github.io/Logging_2282/karta/A 43845-2018 karta.png", "A 43845-2018")</f>
        <v/>
      </c>
      <c r="V131">
        <f>HYPERLINK("https://klasma.github.io/Logging_2282/klagomål/A 43845-2018 klagomål.docx", "A 43845-2018")</f>
        <v/>
      </c>
      <c r="W131">
        <f>HYPERLINK("https://klasma.github.io/Logging_2282/klagomålsmail/A 43845-2018 klagomålsmail.docx", "A 43845-2018")</f>
        <v/>
      </c>
      <c r="X131">
        <f>HYPERLINK("https://klasma.github.io/Logging_2282/tillsyn/A 43845-2018 tillsyn.docx", "A 43845-2018")</f>
        <v/>
      </c>
      <c r="Y131">
        <f>HYPERLINK("https://klasma.github.io/Logging_2282/tillsynsmail/A 43845-2018 tillsynsmail.docx", "A 43845-2018")</f>
        <v/>
      </c>
    </row>
    <row r="132" ht="15" customHeight="1">
      <c r="A132" t="inlineStr">
        <is>
          <t>A 26239-2019</t>
        </is>
      </c>
      <c r="B132" s="1" t="n">
        <v>43609</v>
      </c>
      <c r="C132" s="1" t="n">
        <v>45212</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HYPERLINK("https://klasma.github.io/Logging_2260/artfynd/A 26239-2019 artfynd.xlsx", "A 26239-2019")</f>
        <v/>
      </c>
      <c r="T132">
        <f>HYPERLINK("https://klasma.github.io/Logging_2260/karta/A 26239-2019 karta.png", "A 26239-2019")</f>
        <v/>
      </c>
      <c r="U132">
        <f>HYPERLINK("https://klasma.github.io/Logging_2260/knärot/A 26239-2019 knärot.png", "A 26239-2019")</f>
        <v/>
      </c>
      <c r="V132">
        <f>HYPERLINK("https://klasma.github.io/Logging_2260/klagomål/A 26239-2019 klagomål.docx", "A 26239-2019")</f>
        <v/>
      </c>
      <c r="W132">
        <f>HYPERLINK("https://klasma.github.io/Logging_2260/klagomålsmail/A 26239-2019 klagomålsmail.docx", "A 26239-2019")</f>
        <v/>
      </c>
      <c r="X132">
        <f>HYPERLINK("https://klasma.github.io/Logging_2260/tillsyn/A 26239-2019 tillsyn.docx", "A 26239-2019")</f>
        <v/>
      </c>
      <c r="Y132">
        <f>HYPERLINK("https://klasma.github.io/Logging_2260/tillsynsmail/A 26239-2019 tillsynsmail.docx", "A 26239-2019")</f>
        <v/>
      </c>
    </row>
    <row r="133" ht="15" customHeight="1">
      <c r="A133" t="inlineStr">
        <is>
          <t>A 41012-2019</t>
        </is>
      </c>
      <c r="B133" s="1" t="n">
        <v>43697</v>
      </c>
      <c r="C133" s="1" t="n">
        <v>45212</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HYPERLINK("https://klasma.github.io/Logging_2260/artfynd/A 41012-2019 artfynd.xlsx", "A 41012-2019")</f>
        <v/>
      </c>
      <c r="T133">
        <f>HYPERLINK("https://klasma.github.io/Logging_2260/karta/A 41012-2019 karta.png", "A 41012-2019")</f>
        <v/>
      </c>
      <c r="V133">
        <f>HYPERLINK("https://klasma.github.io/Logging_2260/klagomål/A 41012-2019 klagomål.docx", "A 41012-2019")</f>
        <v/>
      </c>
      <c r="W133">
        <f>HYPERLINK("https://klasma.github.io/Logging_2260/klagomålsmail/A 41012-2019 klagomålsmail.docx", "A 41012-2019")</f>
        <v/>
      </c>
      <c r="X133">
        <f>HYPERLINK("https://klasma.github.io/Logging_2260/tillsyn/A 41012-2019 tillsyn.docx", "A 41012-2019")</f>
        <v/>
      </c>
      <c r="Y133">
        <f>HYPERLINK("https://klasma.github.io/Logging_2260/tillsynsmail/A 41012-2019 tillsynsmail.docx", "A 41012-2019")</f>
        <v/>
      </c>
    </row>
    <row r="134" ht="15" customHeight="1">
      <c r="A134" t="inlineStr">
        <is>
          <t>A 11392-2020</t>
        </is>
      </c>
      <c r="B134" s="1" t="n">
        <v>43892</v>
      </c>
      <c r="C134" s="1" t="n">
        <v>45212</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HYPERLINK("https://klasma.github.io/Logging_2283/artfynd/A 11392-2020 artfynd.xlsx", "A 11392-2020")</f>
        <v/>
      </c>
      <c r="T134">
        <f>HYPERLINK("https://klasma.github.io/Logging_2283/karta/A 11392-2020 karta.png", "A 11392-2020")</f>
        <v/>
      </c>
      <c r="V134">
        <f>HYPERLINK("https://klasma.github.io/Logging_2283/klagomål/A 11392-2020 klagomål.docx", "A 11392-2020")</f>
        <v/>
      </c>
      <c r="W134">
        <f>HYPERLINK("https://klasma.github.io/Logging_2283/klagomålsmail/A 11392-2020 klagomålsmail.docx", "A 11392-2020")</f>
        <v/>
      </c>
      <c r="X134">
        <f>HYPERLINK("https://klasma.github.io/Logging_2283/tillsyn/A 11392-2020 tillsyn.docx", "A 11392-2020")</f>
        <v/>
      </c>
      <c r="Y134">
        <f>HYPERLINK("https://klasma.github.io/Logging_2283/tillsynsmail/A 11392-2020 tillsynsmail.docx", "A 11392-2020")</f>
        <v/>
      </c>
    </row>
    <row r="135" ht="15" customHeight="1">
      <c r="A135" t="inlineStr">
        <is>
          <t>A 48150-2020</t>
        </is>
      </c>
      <c r="B135" s="1" t="n">
        <v>44091</v>
      </c>
      <c r="C135" s="1" t="n">
        <v>45212</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HYPERLINK("https://klasma.github.io/Logging_2281/artfynd/A 48150-2020 artfynd.xlsx", "A 48150-2020")</f>
        <v/>
      </c>
      <c r="T135">
        <f>HYPERLINK("https://klasma.github.io/Logging_2281/karta/A 48150-2020 karta.png", "A 48150-2020")</f>
        <v/>
      </c>
      <c r="V135">
        <f>HYPERLINK("https://klasma.github.io/Logging_2281/klagomål/A 48150-2020 klagomål.docx", "A 48150-2020")</f>
        <v/>
      </c>
      <c r="W135">
        <f>HYPERLINK("https://klasma.github.io/Logging_2281/klagomålsmail/A 48150-2020 klagomålsmail.docx", "A 48150-2020")</f>
        <v/>
      </c>
      <c r="X135">
        <f>HYPERLINK("https://klasma.github.io/Logging_2281/tillsyn/A 48150-2020 tillsyn.docx", "A 48150-2020")</f>
        <v/>
      </c>
      <c r="Y135">
        <f>HYPERLINK("https://klasma.github.io/Logging_2281/tillsynsmail/A 48150-2020 tillsynsmail.docx", "A 48150-2020")</f>
        <v/>
      </c>
    </row>
    <row r="136" ht="15" customHeight="1">
      <c r="A136" t="inlineStr">
        <is>
          <t>A 61396-2020</t>
        </is>
      </c>
      <c r="B136" s="1" t="n">
        <v>44155</v>
      </c>
      <c r="C136" s="1" t="n">
        <v>45212</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HYPERLINK("https://klasma.github.io/Logging_2260/artfynd/A 61396-2020 artfynd.xlsx", "A 61396-2020")</f>
        <v/>
      </c>
      <c r="T136">
        <f>HYPERLINK("https://klasma.github.io/Logging_2260/karta/A 61396-2020 karta.png", "A 61396-2020")</f>
        <v/>
      </c>
      <c r="V136">
        <f>HYPERLINK("https://klasma.github.io/Logging_2260/klagomål/A 61396-2020 klagomål.docx", "A 61396-2020")</f>
        <v/>
      </c>
      <c r="W136">
        <f>HYPERLINK("https://klasma.github.io/Logging_2260/klagomålsmail/A 61396-2020 klagomålsmail.docx", "A 61396-2020")</f>
        <v/>
      </c>
      <c r="X136">
        <f>HYPERLINK("https://klasma.github.io/Logging_2260/tillsyn/A 61396-2020 tillsyn.docx", "A 61396-2020")</f>
        <v/>
      </c>
      <c r="Y136">
        <f>HYPERLINK("https://klasma.github.io/Logging_2260/tillsynsmail/A 61396-2020 tillsynsmail.docx", "A 61396-2020")</f>
        <v/>
      </c>
    </row>
    <row r="137" ht="15" customHeight="1">
      <c r="A137" t="inlineStr">
        <is>
          <t>A 2481-2021</t>
        </is>
      </c>
      <c r="B137" s="1" t="n">
        <v>44214</v>
      </c>
      <c r="C137" s="1" t="n">
        <v>45212</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HYPERLINK("https://klasma.github.io/Logging_2260/artfynd/A 2481-2021 artfynd.xlsx", "A 2481-2021")</f>
        <v/>
      </c>
      <c r="T137">
        <f>HYPERLINK("https://klasma.github.io/Logging_2260/karta/A 2481-2021 karta.png", "A 2481-2021")</f>
        <v/>
      </c>
      <c r="V137">
        <f>HYPERLINK("https://klasma.github.io/Logging_2260/klagomål/A 2481-2021 klagomål.docx", "A 2481-2021")</f>
        <v/>
      </c>
      <c r="W137">
        <f>HYPERLINK("https://klasma.github.io/Logging_2260/klagomålsmail/A 2481-2021 klagomålsmail.docx", "A 2481-2021")</f>
        <v/>
      </c>
      <c r="X137">
        <f>HYPERLINK("https://klasma.github.io/Logging_2260/tillsyn/A 2481-2021 tillsyn.docx", "A 2481-2021")</f>
        <v/>
      </c>
      <c r="Y137">
        <f>HYPERLINK("https://klasma.github.io/Logging_2260/tillsynsmail/A 2481-2021 tillsynsmail.docx", "A 2481-2021")</f>
        <v/>
      </c>
    </row>
    <row r="138" ht="15" customHeight="1">
      <c r="A138" t="inlineStr">
        <is>
          <t>A 16040-2021</t>
        </is>
      </c>
      <c r="B138" s="1" t="n">
        <v>44287</v>
      </c>
      <c r="C138" s="1" t="n">
        <v>45212</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HYPERLINK("https://klasma.github.io/Logging_2283/artfynd/A 16040-2021 artfynd.xlsx", "A 16040-2021")</f>
        <v/>
      </c>
      <c r="T138">
        <f>HYPERLINK("https://klasma.github.io/Logging_2283/karta/A 16040-2021 karta.png", "A 16040-2021")</f>
        <v/>
      </c>
      <c r="V138">
        <f>HYPERLINK("https://klasma.github.io/Logging_2283/klagomål/A 16040-2021 klagomål.docx", "A 16040-2021")</f>
        <v/>
      </c>
      <c r="W138">
        <f>HYPERLINK("https://klasma.github.io/Logging_2283/klagomålsmail/A 16040-2021 klagomålsmail.docx", "A 16040-2021")</f>
        <v/>
      </c>
      <c r="X138">
        <f>HYPERLINK("https://klasma.github.io/Logging_2283/tillsyn/A 16040-2021 tillsyn.docx", "A 16040-2021")</f>
        <v/>
      </c>
      <c r="Y138">
        <f>HYPERLINK("https://klasma.github.io/Logging_2283/tillsynsmail/A 16040-2021 tillsynsmail.docx", "A 16040-2021")</f>
        <v/>
      </c>
    </row>
    <row r="139" ht="15" customHeight="1">
      <c r="A139" t="inlineStr">
        <is>
          <t>A 20365-2022</t>
        </is>
      </c>
      <c r="B139" s="1" t="n">
        <v>44699</v>
      </c>
      <c r="C139" s="1" t="n">
        <v>45212</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HYPERLINK("https://klasma.github.io/Logging_2260/artfynd/A 20365-2022 artfynd.xlsx", "A 20365-2022")</f>
        <v/>
      </c>
      <c r="T139">
        <f>HYPERLINK("https://klasma.github.io/Logging_2260/karta/A 20365-2022 karta.png", "A 20365-2022")</f>
        <v/>
      </c>
      <c r="V139">
        <f>HYPERLINK("https://klasma.github.io/Logging_2260/klagomål/A 20365-2022 klagomål.docx", "A 20365-2022")</f>
        <v/>
      </c>
      <c r="W139">
        <f>HYPERLINK("https://klasma.github.io/Logging_2260/klagomålsmail/A 20365-2022 klagomålsmail.docx", "A 20365-2022")</f>
        <v/>
      </c>
      <c r="X139">
        <f>HYPERLINK("https://klasma.github.io/Logging_2260/tillsyn/A 20365-2022 tillsyn.docx", "A 20365-2022")</f>
        <v/>
      </c>
      <c r="Y139">
        <f>HYPERLINK("https://klasma.github.io/Logging_2260/tillsynsmail/A 20365-2022 tillsynsmail.docx", "A 20365-2022")</f>
        <v/>
      </c>
    </row>
    <row r="140" ht="15" customHeight="1">
      <c r="A140" t="inlineStr">
        <is>
          <t>A 25270-2022</t>
        </is>
      </c>
      <c r="B140" s="1" t="n">
        <v>44729</v>
      </c>
      <c r="C140" s="1" t="n">
        <v>45212</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HYPERLINK("https://klasma.github.io/Logging_2281/artfynd/A 25270-2022 artfynd.xlsx", "A 25270-2022")</f>
        <v/>
      </c>
      <c r="T140">
        <f>HYPERLINK("https://klasma.github.io/Logging_2281/karta/A 25270-2022 karta.png", "A 25270-2022")</f>
        <v/>
      </c>
      <c r="V140">
        <f>HYPERLINK("https://klasma.github.io/Logging_2281/klagomål/A 25270-2022 klagomål.docx", "A 25270-2022")</f>
        <v/>
      </c>
      <c r="W140">
        <f>HYPERLINK("https://klasma.github.io/Logging_2281/klagomålsmail/A 25270-2022 klagomålsmail.docx", "A 25270-2022")</f>
        <v/>
      </c>
      <c r="X140">
        <f>HYPERLINK("https://klasma.github.io/Logging_2281/tillsyn/A 25270-2022 tillsyn.docx", "A 25270-2022")</f>
        <v/>
      </c>
      <c r="Y140">
        <f>HYPERLINK("https://klasma.github.io/Logging_2281/tillsynsmail/A 25270-2022 tillsynsmail.docx", "A 25270-2022")</f>
        <v/>
      </c>
    </row>
    <row r="141" ht="15" customHeight="1">
      <c r="A141" t="inlineStr">
        <is>
          <t>A 25898-2022</t>
        </is>
      </c>
      <c r="B141" s="1" t="n">
        <v>44733</v>
      </c>
      <c r="C141" s="1" t="n">
        <v>45212</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HYPERLINK("https://klasma.github.io/Logging_2260/artfynd/A 25898-2022 artfynd.xlsx", "A 25898-2022")</f>
        <v/>
      </c>
      <c r="T141">
        <f>HYPERLINK("https://klasma.github.io/Logging_2260/karta/A 25898-2022 karta.png", "A 25898-2022")</f>
        <v/>
      </c>
      <c r="V141">
        <f>HYPERLINK("https://klasma.github.io/Logging_2260/klagomål/A 25898-2022 klagomål.docx", "A 25898-2022")</f>
        <v/>
      </c>
      <c r="W141">
        <f>HYPERLINK("https://klasma.github.io/Logging_2260/klagomålsmail/A 25898-2022 klagomålsmail.docx", "A 25898-2022")</f>
        <v/>
      </c>
      <c r="X141">
        <f>HYPERLINK("https://klasma.github.io/Logging_2260/tillsyn/A 25898-2022 tillsyn.docx", "A 25898-2022")</f>
        <v/>
      </c>
      <c r="Y141">
        <f>HYPERLINK("https://klasma.github.io/Logging_2260/tillsynsmail/A 25898-2022 tillsynsmail.docx", "A 25898-2022")</f>
        <v/>
      </c>
    </row>
    <row r="142" ht="15" customHeight="1">
      <c r="A142" t="inlineStr">
        <is>
          <t>A 43131-2022</t>
        </is>
      </c>
      <c r="B142" s="1" t="n">
        <v>44833</v>
      </c>
      <c r="C142" s="1" t="n">
        <v>45212</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HYPERLINK("https://klasma.github.io/Logging_2283/artfynd/A 43131-2022 artfynd.xlsx", "A 43131-2022")</f>
        <v/>
      </c>
      <c r="T142">
        <f>HYPERLINK("https://klasma.github.io/Logging_2283/karta/A 43131-2022 karta.png", "A 43131-2022")</f>
        <v/>
      </c>
      <c r="U142">
        <f>HYPERLINK("https://klasma.github.io/Logging_2283/knärot/A 43131-2022 knärot.png", "A 43131-2022")</f>
        <v/>
      </c>
      <c r="V142">
        <f>HYPERLINK("https://klasma.github.io/Logging_2283/klagomål/A 43131-2022 klagomål.docx", "A 43131-2022")</f>
        <v/>
      </c>
      <c r="W142">
        <f>HYPERLINK("https://klasma.github.io/Logging_2283/klagomålsmail/A 43131-2022 klagomålsmail.docx", "A 43131-2022")</f>
        <v/>
      </c>
      <c r="X142">
        <f>HYPERLINK("https://klasma.github.io/Logging_2283/tillsyn/A 43131-2022 tillsyn.docx", "A 43131-2022")</f>
        <v/>
      </c>
      <c r="Y142">
        <f>HYPERLINK("https://klasma.github.io/Logging_2283/tillsynsmail/A 43131-2022 tillsynsmail.docx", "A 43131-2022")</f>
        <v/>
      </c>
    </row>
    <row r="143" ht="15" customHeight="1">
      <c r="A143" t="inlineStr">
        <is>
          <t>A 43779-2022</t>
        </is>
      </c>
      <c r="B143" s="1" t="n">
        <v>44837</v>
      </c>
      <c r="C143" s="1" t="n">
        <v>45212</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HYPERLINK("https://klasma.github.io/Logging_2283/artfynd/A 43779-2022 artfynd.xlsx", "A 43779-2022")</f>
        <v/>
      </c>
      <c r="T143">
        <f>HYPERLINK("https://klasma.github.io/Logging_2283/karta/A 43779-2022 karta.png", "A 43779-2022")</f>
        <v/>
      </c>
      <c r="U143">
        <f>HYPERLINK("https://klasma.github.io/Logging_2283/knärot/A 43779-2022 knärot.png", "A 43779-2022")</f>
        <v/>
      </c>
      <c r="V143">
        <f>HYPERLINK("https://klasma.github.io/Logging_2283/klagomål/A 43779-2022 klagomål.docx", "A 43779-2022")</f>
        <v/>
      </c>
      <c r="W143">
        <f>HYPERLINK("https://klasma.github.io/Logging_2283/klagomålsmail/A 43779-2022 klagomålsmail.docx", "A 43779-2022")</f>
        <v/>
      </c>
      <c r="X143">
        <f>HYPERLINK("https://klasma.github.io/Logging_2283/tillsyn/A 43779-2022 tillsyn.docx", "A 43779-2022")</f>
        <v/>
      </c>
      <c r="Y143">
        <f>HYPERLINK("https://klasma.github.io/Logging_2283/tillsynsmail/A 43779-2022 tillsynsmail.docx", "A 43779-2022")</f>
        <v/>
      </c>
    </row>
    <row r="144" ht="15" customHeight="1">
      <c r="A144" t="inlineStr">
        <is>
          <t>A 47647-2022</t>
        </is>
      </c>
      <c r="B144" s="1" t="n">
        <v>44852</v>
      </c>
      <c r="C144" s="1" t="n">
        <v>45212</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HYPERLINK("https://klasma.github.io/Logging_2283/artfynd/A 47647-2022 artfynd.xlsx", "A 47647-2022")</f>
        <v/>
      </c>
      <c r="T144">
        <f>HYPERLINK("https://klasma.github.io/Logging_2283/karta/A 47647-2022 karta.png", "A 47647-2022")</f>
        <v/>
      </c>
      <c r="V144">
        <f>HYPERLINK("https://klasma.github.io/Logging_2283/klagomål/A 47647-2022 klagomål.docx", "A 47647-2022")</f>
        <v/>
      </c>
      <c r="W144">
        <f>HYPERLINK("https://klasma.github.io/Logging_2283/klagomålsmail/A 47647-2022 klagomålsmail.docx", "A 47647-2022")</f>
        <v/>
      </c>
      <c r="X144">
        <f>HYPERLINK("https://klasma.github.io/Logging_2283/tillsyn/A 47647-2022 tillsyn.docx", "A 47647-2022")</f>
        <v/>
      </c>
      <c r="Y144">
        <f>HYPERLINK("https://klasma.github.io/Logging_2283/tillsynsmail/A 47647-2022 tillsynsmail.docx", "A 47647-2022")</f>
        <v/>
      </c>
    </row>
    <row r="145" ht="15" customHeight="1">
      <c r="A145" t="inlineStr">
        <is>
          <t>A 48200-2022</t>
        </is>
      </c>
      <c r="B145" s="1" t="n">
        <v>44853</v>
      </c>
      <c r="C145" s="1" t="n">
        <v>45212</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HYPERLINK("https://klasma.github.io/Logging_2260/artfynd/A 48200-2022 artfynd.xlsx", "A 48200-2022")</f>
        <v/>
      </c>
      <c r="T145">
        <f>HYPERLINK("https://klasma.github.io/Logging_2260/karta/A 48200-2022 karta.png", "A 48200-2022")</f>
        <v/>
      </c>
      <c r="V145">
        <f>HYPERLINK("https://klasma.github.io/Logging_2260/klagomål/A 48200-2022 klagomål.docx", "A 48200-2022")</f>
        <v/>
      </c>
      <c r="W145">
        <f>HYPERLINK("https://klasma.github.io/Logging_2260/klagomålsmail/A 48200-2022 klagomålsmail.docx", "A 48200-2022")</f>
        <v/>
      </c>
      <c r="X145">
        <f>HYPERLINK("https://klasma.github.io/Logging_2260/tillsyn/A 48200-2022 tillsyn.docx", "A 48200-2022")</f>
        <v/>
      </c>
      <c r="Y145">
        <f>HYPERLINK("https://klasma.github.io/Logging_2260/tillsynsmail/A 48200-2022 tillsynsmail.docx", "A 48200-2022")</f>
        <v/>
      </c>
    </row>
    <row r="146" ht="15" customHeight="1">
      <c r="A146" t="inlineStr">
        <is>
          <t>A 51307-2022</t>
        </is>
      </c>
      <c r="B146" s="1" t="n">
        <v>44868</v>
      </c>
      <c r="C146" s="1" t="n">
        <v>45212</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HYPERLINK("https://klasma.github.io/Logging_2281/artfynd/A 51307-2022 artfynd.xlsx", "A 51307-2022")</f>
        <v/>
      </c>
      <c r="T146">
        <f>HYPERLINK("https://klasma.github.io/Logging_2281/karta/A 51307-2022 karta.png", "A 51307-2022")</f>
        <v/>
      </c>
      <c r="U146">
        <f>HYPERLINK("https://klasma.github.io/Logging_2281/knärot/A 51307-2022 knärot.png", "A 51307-2022")</f>
        <v/>
      </c>
      <c r="V146">
        <f>HYPERLINK("https://klasma.github.io/Logging_2281/klagomål/A 51307-2022 klagomål.docx", "A 51307-2022")</f>
        <v/>
      </c>
      <c r="W146">
        <f>HYPERLINK("https://klasma.github.io/Logging_2281/klagomålsmail/A 51307-2022 klagomålsmail.docx", "A 51307-2022")</f>
        <v/>
      </c>
      <c r="X146">
        <f>HYPERLINK("https://klasma.github.io/Logging_2281/tillsyn/A 51307-2022 tillsyn.docx", "A 51307-2022")</f>
        <v/>
      </c>
      <c r="Y146">
        <f>HYPERLINK("https://klasma.github.io/Logging_2281/tillsynsmail/A 51307-2022 tillsynsmail.docx", "A 51307-2022")</f>
        <v/>
      </c>
    </row>
    <row r="147" ht="15" customHeight="1">
      <c r="A147" t="inlineStr">
        <is>
          <t>A 53121-2022</t>
        </is>
      </c>
      <c r="B147" s="1" t="n">
        <v>44873</v>
      </c>
      <c r="C147" s="1" t="n">
        <v>45212</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HYPERLINK("https://klasma.github.io/Logging_2283/artfynd/A 53121-2022 artfynd.xlsx", "A 53121-2022")</f>
        <v/>
      </c>
      <c r="T147">
        <f>HYPERLINK("https://klasma.github.io/Logging_2283/karta/A 53121-2022 karta.png", "A 53121-2022")</f>
        <v/>
      </c>
      <c r="V147">
        <f>HYPERLINK("https://klasma.github.io/Logging_2283/klagomål/A 53121-2022 klagomål.docx", "A 53121-2022")</f>
        <v/>
      </c>
      <c r="W147">
        <f>HYPERLINK("https://klasma.github.io/Logging_2283/klagomålsmail/A 53121-2022 klagomålsmail.docx", "A 53121-2022")</f>
        <v/>
      </c>
      <c r="X147">
        <f>HYPERLINK("https://klasma.github.io/Logging_2283/tillsyn/A 53121-2022 tillsyn.docx", "A 53121-2022")</f>
        <v/>
      </c>
      <c r="Y147">
        <f>HYPERLINK("https://klasma.github.io/Logging_2283/tillsynsmail/A 53121-2022 tillsynsmail.docx", "A 53121-2022")</f>
        <v/>
      </c>
    </row>
    <row r="148" ht="15" customHeight="1">
      <c r="A148" t="inlineStr">
        <is>
          <t>A 56411-2022</t>
        </is>
      </c>
      <c r="B148" s="1" t="n">
        <v>44890</v>
      </c>
      <c r="C148" s="1" t="n">
        <v>45212</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HYPERLINK("https://klasma.github.io/Logging_2262/artfynd/A 56411-2022 artfynd.xlsx", "A 56411-2022")</f>
        <v/>
      </c>
      <c r="T148">
        <f>HYPERLINK("https://klasma.github.io/Logging_2262/karta/A 56411-2022 karta.png", "A 56411-2022")</f>
        <v/>
      </c>
      <c r="V148">
        <f>HYPERLINK("https://klasma.github.io/Logging_2262/klagomål/A 56411-2022 klagomål.docx", "A 56411-2022")</f>
        <v/>
      </c>
      <c r="W148">
        <f>HYPERLINK("https://klasma.github.io/Logging_2262/klagomålsmail/A 56411-2022 klagomålsmail.docx", "A 56411-2022")</f>
        <v/>
      </c>
      <c r="X148">
        <f>HYPERLINK("https://klasma.github.io/Logging_2262/tillsyn/A 56411-2022 tillsyn.docx", "A 56411-2022")</f>
        <v/>
      </c>
      <c r="Y148">
        <f>HYPERLINK("https://klasma.github.io/Logging_2262/tillsynsmail/A 56411-2022 tillsynsmail.docx", "A 56411-2022")</f>
        <v/>
      </c>
    </row>
    <row r="149" ht="15" customHeight="1">
      <c r="A149" t="inlineStr">
        <is>
          <t>A 59045-2022</t>
        </is>
      </c>
      <c r="B149" s="1" t="n">
        <v>44903</v>
      </c>
      <c r="C149" s="1" t="n">
        <v>45212</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HYPERLINK("https://klasma.github.io/Logging_2283/artfynd/A 59045-2022 artfynd.xlsx", "A 59045-2022")</f>
        <v/>
      </c>
      <c r="T149">
        <f>HYPERLINK("https://klasma.github.io/Logging_2283/karta/A 59045-2022 karta.png", "A 59045-2022")</f>
        <v/>
      </c>
      <c r="V149">
        <f>HYPERLINK("https://klasma.github.io/Logging_2283/klagomål/A 59045-2022 klagomål.docx", "A 59045-2022")</f>
        <v/>
      </c>
      <c r="W149">
        <f>HYPERLINK("https://klasma.github.io/Logging_2283/klagomålsmail/A 59045-2022 klagomålsmail.docx", "A 59045-2022")</f>
        <v/>
      </c>
      <c r="X149">
        <f>HYPERLINK("https://klasma.github.io/Logging_2283/tillsyn/A 59045-2022 tillsyn.docx", "A 59045-2022")</f>
        <v/>
      </c>
      <c r="Y149">
        <f>HYPERLINK("https://klasma.github.io/Logging_2283/tillsynsmail/A 59045-2022 tillsynsmail.docx", "A 59045-2022")</f>
        <v/>
      </c>
    </row>
    <row r="150" ht="15" customHeight="1">
      <c r="A150" t="inlineStr">
        <is>
          <t>A 715-2023</t>
        </is>
      </c>
      <c r="B150" s="1" t="n">
        <v>44930</v>
      </c>
      <c r="C150" s="1" t="n">
        <v>45212</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HYPERLINK("https://klasma.github.io/Logging_2283/artfynd/A 715-2023 artfynd.xlsx", "A 715-2023")</f>
        <v/>
      </c>
      <c r="T150">
        <f>HYPERLINK("https://klasma.github.io/Logging_2283/karta/A 715-2023 karta.png", "A 715-2023")</f>
        <v/>
      </c>
      <c r="V150">
        <f>HYPERLINK("https://klasma.github.io/Logging_2283/klagomål/A 715-2023 klagomål.docx", "A 715-2023")</f>
        <v/>
      </c>
      <c r="W150">
        <f>HYPERLINK("https://klasma.github.io/Logging_2283/klagomålsmail/A 715-2023 klagomålsmail.docx", "A 715-2023")</f>
        <v/>
      </c>
      <c r="X150">
        <f>HYPERLINK("https://klasma.github.io/Logging_2283/tillsyn/A 715-2023 tillsyn.docx", "A 715-2023")</f>
        <v/>
      </c>
      <c r="Y150">
        <f>HYPERLINK("https://klasma.github.io/Logging_2283/tillsynsmail/A 715-2023 tillsynsmail.docx", "A 715-2023")</f>
        <v/>
      </c>
    </row>
    <row r="151" ht="15" customHeight="1">
      <c r="A151" t="inlineStr">
        <is>
          <t>A 36116-2023</t>
        </is>
      </c>
      <c r="B151" s="1" t="n">
        <v>45148</v>
      </c>
      <c r="C151" s="1" t="n">
        <v>45212</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HYPERLINK("https://klasma.github.io/Logging_2283/artfynd/A 36116-2023 artfynd.xlsx", "A 36116-2023")</f>
        <v/>
      </c>
      <c r="T151">
        <f>HYPERLINK("https://klasma.github.io/Logging_2283/karta/A 36116-2023 karta.png", "A 36116-2023")</f>
        <v/>
      </c>
      <c r="U151">
        <f>HYPERLINK("https://klasma.github.io/Logging_2283/knärot/A 36116-2023 knärot.png", "A 36116-2023")</f>
        <v/>
      </c>
      <c r="V151">
        <f>HYPERLINK("https://klasma.github.io/Logging_2283/klagomål/A 36116-2023 klagomål.docx", "A 36116-2023")</f>
        <v/>
      </c>
      <c r="W151">
        <f>HYPERLINK("https://klasma.github.io/Logging_2283/klagomålsmail/A 36116-2023 klagomålsmail.docx", "A 36116-2023")</f>
        <v/>
      </c>
      <c r="X151">
        <f>HYPERLINK("https://klasma.github.io/Logging_2283/tillsyn/A 36116-2023 tillsyn.docx", "A 36116-2023")</f>
        <v/>
      </c>
      <c r="Y151">
        <f>HYPERLINK("https://klasma.github.io/Logging_2283/tillsynsmail/A 36116-2023 tillsynsmail.docx", "A 36116-2023")</f>
        <v/>
      </c>
    </row>
    <row r="152" ht="15" customHeight="1">
      <c r="A152" t="inlineStr">
        <is>
          <t>A 57995-2018</t>
        </is>
      </c>
      <c r="B152" s="1" t="n">
        <v>43405</v>
      </c>
      <c r="C152" s="1" t="n">
        <v>45212</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HYPERLINK("https://klasma.github.io/Logging_2283/artfynd/A 57995-2018 artfynd.xlsx", "A 57995-2018")</f>
        <v/>
      </c>
      <c r="T152">
        <f>HYPERLINK("https://klasma.github.io/Logging_2283/karta/A 57995-2018 karta.png", "A 57995-2018")</f>
        <v/>
      </c>
      <c r="V152">
        <f>HYPERLINK("https://klasma.github.io/Logging_2283/klagomål/A 57995-2018 klagomål.docx", "A 57995-2018")</f>
        <v/>
      </c>
      <c r="W152">
        <f>HYPERLINK("https://klasma.github.io/Logging_2283/klagomålsmail/A 57995-2018 klagomålsmail.docx", "A 57995-2018")</f>
        <v/>
      </c>
      <c r="X152">
        <f>HYPERLINK("https://klasma.github.io/Logging_2283/tillsyn/A 57995-2018 tillsyn.docx", "A 57995-2018")</f>
        <v/>
      </c>
      <c r="Y152">
        <f>HYPERLINK("https://klasma.github.io/Logging_2283/tillsynsmail/A 57995-2018 tillsynsmail.docx", "A 57995-2018")</f>
        <v/>
      </c>
    </row>
    <row r="153" ht="15" customHeight="1">
      <c r="A153" t="inlineStr">
        <is>
          <t>A 65170-2018</t>
        </is>
      </c>
      <c r="B153" s="1" t="n">
        <v>43423</v>
      </c>
      <c r="C153" s="1" t="n">
        <v>45212</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HYPERLINK("https://klasma.github.io/Logging_2282/artfynd/A 65170-2018 artfynd.xlsx", "A 65170-2018")</f>
        <v/>
      </c>
      <c r="T153">
        <f>HYPERLINK("https://klasma.github.io/Logging_2282/karta/A 65170-2018 karta.png", "A 65170-2018")</f>
        <v/>
      </c>
      <c r="V153">
        <f>HYPERLINK("https://klasma.github.io/Logging_2282/klagomål/A 65170-2018 klagomål.docx", "A 65170-2018")</f>
        <v/>
      </c>
      <c r="W153">
        <f>HYPERLINK("https://klasma.github.io/Logging_2282/klagomålsmail/A 65170-2018 klagomålsmail.docx", "A 65170-2018")</f>
        <v/>
      </c>
      <c r="X153">
        <f>HYPERLINK("https://klasma.github.io/Logging_2282/tillsyn/A 65170-2018 tillsyn.docx", "A 65170-2018")</f>
        <v/>
      </c>
      <c r="Y153">
        <f>HYPERLINK("https://klasma.github.io/Logging_2282/tillsynsmail/A 65170-2018 tillsynsmail.docx", "A 65170-2018")</f>
        <v/>
      </c>
    </row>
    <row r="154" ht="15" customHeight="1">
      <c r="A154" t="inlineStr">
        <is>
          <t>A 64063-2018</t>
        </is>
      </c>
      <c r="B154" s="1" t="n">
        <v>43430</v>
      </c>
      <c r="C154" s="1" t="n">
        <v>45212</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HYPERLINK("https://klasma.github.io/Logging_2280/artfynd/A 64063-2018 artfynd.xlsx", "A 64063-2018")</f>
        <v/>
      </c>
      <c r="T154">
        <f>HYPERLINK("https://klasma.github.io/Logging_2280/karta/A 64063-2018 karta.png", "A 64063-2018")</f>
        <v/>
      </c>
      <c r="V154">
        <f>HYPERLINK("https://klasma.github.io/Logging_2280/klagomål/A 64063-2018 klagomål.docx", "A 64063-2018")</f>
        <v/>
      </c>
      <c r="W154">
        <f>HYPERLINK("https://klasma.github.io/Logging_2280/klagomålsmail/A 64063-2018 klagomålsmail.docx", "A 64063-2018")</f>
        <v/>
      </c>
      <c r="X154">
        <f>HYPERLINK("https://klasma.github.io/Logging_2280/tillsyn/A 64063-2018 tillsyn.docx", "A 64063-2018")</f>
        <v/>
      </c>
      <c r="Y154">
        <f>HYPERLINK("https://klasma.github.io/Logging_2280/tillsynsmail/A 64063-2018 tillsynsmail.docx", "A 64063-2018")</f>
        <v/>
      </c>
    </row>
    <row r="155" ht="15" customHeight="1">
      <c r="A155" t="inlineStr">
        <is>
          <t>A 27230-2019</t>
        </is>
      </c>
      <c r="B155" s="1" t="n">
        <v>43614</v>
      </c>
      <c r="C155" s="1" t="n">
        <v>45212</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HYPERLINK("https://klasma.github.io/Logging_2260/artfynd/A 27230-2019 artfynd.xlsx", "A 27230-2019")</f>
        <v/>
      </c>
      <c r="T155">
        <f>HYPERLINK("https://klasma.github.io/Logging_2260/karta/A 27230-2019 karta.png", "A 27230-2019")</f>
        <v/>
      </c>
      <c r="V155">
        <f>HYPERLINK("https://klasma.github.io/Logging_2260/klagomål/A 27230-2019 klagomål.docx", "A 27230-2019")</f>
        <v/>
      </c>
      <c r="W155">
        <f>HYPERLINK("https://klasma.github.io/Logging_2260/klagomålsmail/A 27230-2019 klagomålsmail.docx", "A 27230-2019")</f>
        <v/>
      </c>
      <c r="X155">
        <f>HYPERLINK("https://klasma.github.io/Logging_2260/tillsyn/A 27230-2019 tillsyn.docx", "A 27230-2019")</f>
        <v/>
      </c>
      <c r="Y155">
        <f>HYPERLINK("https://klasma.github.io/Logging_2260/tillsynsmail/A 27230-2019 tillsynsmail.docx", "A 27230-2019")</f>
        <v/>
      </c>
    </row>
    <row r="156" ht="15" customHeight="1">
      <c r="A156" t="inlineStr">
        <is>
          <t>A 27213-2019</t>
        </is>
      </c>
      <c r="B156" s="1" t="n">
        <v>43614</v>
      </c>
      <c r="C156" s="1" t="n">
        <v>45212</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HYPERLINK("https://klasma.github.io/Logging_2260/artfynd/A 27213-2019 artfynd.xlsx", "A 27213-2019")</f>
        <v/>
      </c>
      <c r="T156">
        <f>HYPERLINK("https://klasma.github.io/Logging_2260/karta/A 27213-2019 karta.png", "A 27213-2019")</f>
        <v/>
      </c>
      <c r="V156">
        <f>HYPERLINK("https://klasma.github.io/Logging_2260/klagomål/A 27213-2019 klagomål.docx", "A 27213-2019")</f>
        <v/>
      </c>
      <c r="W156">
        <f>HYPERLINK("https://klasma.github.io/Logging_2260/klagomålsmail/A 27213-2019 klagomålsmail.docx", "A 27213-2019")</f>
        <v/>
      </c>
      <c r="X156">
        <f>HYPERLINK("https://klasma.github.io/Logging_2260/tillsyn/A 27213-2019 tillsyn.docx", "A 27213-2019")</f>
        <v/>
      </c>
      <c r="Y156">
        <f>HYPERLINK("https://klasma.github.io/Logging_2260/tillsynsmail/A 27213-2019 tillsynsmail.docx", "A 27213-2019")</f>
        <v/>
      </c>
    </row>
    <row r="157" ht="15" customHeight="1">
      <c r="A157" t="inlineStr">
        <is>
          <t>A 59075-2019</t>
        </is>
      </c>
      <c r="B157" s="1" t="n">
        <v>43774</v>
      </c>
      <c r="C157" s="1" t="n">
        <v>45212</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HYPERLINK("https://klasma.github.io/Logging_2283/artfynd/A 59075-2019 artfynd.xlsx", "A 59075-2019")</f>
        <v/>
      </c>
      <c r="T157">
        <f>HYPERLINK("https://klasma.github.io/Logging_2283/karta/A 59075-2019 karta.png", "A 59075-2019")</f>
        <v/>
      </c>
      <c r="V157">
        <f>HYPERLINK("https://klasma.github.io/Logging_2283/klagomål/A 59075-2019 klagomål.docx", "A 59075-2019")</f>
        <v/>
      </c>
      <c r="W157">
        <f>HYPERLINK("https://klasma.github.io/Logging_2283/klagomålsmail/A 59075-2019 klagomålsmail.docx", "A 59075-2019")</f>
        <v/>
      </c>
      <c r="X157">
        <f>HYPERLINK("https://klasma.github.io/Logging_2283/tillsyn/A 59075-2019 tillsyn.docx", "A 59075-2019")</f>
        <v/>
      </c>
      <c r="Y157">
        <f>HYPERLINK("https://klasma.github.io/Logging_2283/tillsynsmail/A 59075-2019 tillsynsmail.docx", "A 59075-2019")</f>
        <v/>
      </c>
    </row>
    <row r="158" ht="15" customHeight="1">
      <c r="A158" t="inlineStr">
        <is>
          <t>A 62509-2019</t>
        </is>
      </c>
      <c r="B158" s="1" t="n">
        <v>43788</v>
      </c>
      <c r="C158" s="1" t="n">
        <v>45212</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HYPERLINK("https://klasma.github.io/Logging_2282/artfynd/A 62509-2019 artfynd.xlsx", "A 62509-2019")</f>
        <v/>
      </c>
      <c r="T158">
        <f>HYPERLINK("https://klasma.github.io/Logging_2282/karta/A 62509-2019 karta.png", "A 62509-2019")</f>
        <v/>
      </c>
      <c r="V158">
        <f>HYPERLINK("https://klasma.github.io/Logging_2282/klagomål/A 62509-2019 klagomål.docx", "A 62509-2019")</f>
        <v/>
      </c>
      <c r="W158">
        <f>HYPERLINK("https://klasma.github.io/Logging_2282/klagomålsmail/A 62509-2019 klagomålsmail.docx", "A 62509-2019")</f>
        <v/>
      </c>
      <c r="X158">
        <f>HYPERLINK("https://klasma.github.io/Logging_2282/tillsyn/A 62509-2019 tillsyn.docx", "A 62509-2019")</f>
        <v/>
      </c>
      <c r="Y158">
        <f>HYPERLINK("https://klasma.github.io/Logging_2282/tillsynsmail/A 62509-2019 tillsynsmail.docx", "A 62509-2019")</f>
        <v/>
      </c>
    </row>
    <row r="159" ht="15" customHeight="1">
      <c r="A159" t="inlineStr">
        <is>
          <t>A 68615-2019</t>
        </is>
      </c>
      <c r="B159" s="1" t="n">
        <v>43818</v>
      </c>
      <c r="C159" s="1" t="n">
        <v>45212</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HYPERLINK("https://klasma.github.io/Logging_2280/artfynd/A 68615-2019 artfynd.xlsx", "A 68615-2019")</f>
        <v/>
      </c>
      <c r="T159">
        <f>HYPERLINK("https://klasma.github.io/Logging_2280/karta/A 68615-2019 karta.png", "A 68615-2019")</f>
        <v/>
      </c>
      <c r="V159">
        <f>HYPERLINK("https://klasma.github.io/Logging_2280/klagomål/A 68615-2019 klagomål.docx", "A 68615-2019")</f>
        <v/>
      </c>
      <c r="W159">
        <f>HYPERLINK("https://klasma.github.io/Logging_2280/klagomålsmail/A 68615-2019 klagomålsmail.docx", "A 68615-2019")</f>
        <v/>
      </c>
      <c r="X159">
        <f>HYPERLINK("https://klasma.github.io/Logging_2280/tillsyn/A 68615-2019 tillsyn.docx", "A 68615-2019")</f>
        <v/>
      </c>
      <c r="Y159">
        <f>HYPERLINK("https://klasma.github.io/Logging_2280/tillsynsmail/A 68615-2019 tillsynsmail.docx", "A 68615-2019")</f>
        <v/>
      </c>
    </row>
    <row r="160" ht="15" customHeight="1">
      <c r="A160" t="inlineStr">
        <is>
          <t>A 10152-2020</t>
        </is>
      </c>
      <c r="B160" s="1" t="n">
        <v>43886</v>
      </c>
      <c r="C160" s="1" t="n">
        <v>45212</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HYPERLINK("https://klasma.github.io/Logging_2282/artfynd/A 10152-2020 artfynd.xlsx", "A 10152-2020")</f>
        <v/>
      </c>
      <c r="T160">
        <f>HYPERLINK("https://klasma.github.io/Logging_2282/karta/A 10152-2020 karta.png", "A 10152-2020")</f>
        <v/>
      </c>
      <c r="V160">
        <f>HYPERLINK("https://klasma.github.io/Logging_2282/klagomål/A 10152-2020 klagomål.docx", "A 10152-2020")</f>
        <v/>
      </c>
      <c r="W160">
        <f>HYPERLINK("https://klasma.github.io/Logging_2282/klagomålsmail/A 10152-2020 klagomålsmail.docx", "A 10152-2020")</f>
        <v/>
      </c>
      <c r="X160">
        <f>HYPERLINK("https://klasma.github.io/Logging_2282/tillsyn/A 10152-2020 tillsyn.docx", "A 10152-2020")</f>
        <v/>
      </c>
      <c r="Y160">
        <f>HYPERLINK("https://klasma.github.io/Logging_2282/tillsynsmail/A 10152-2020 tillsynsmail.docx", "A 10152-2020")</f>
        <v/>
      </c>
    </row>
    <row r="161" ht="15" customHeight="1">
      <c r="A161" t="inlineStr">
        <is>
          <t>A 65907-2020</t>
        </is>
      </c>
      <c r="B161" s="1" t="n">
        <v>44174</v>
      </c>
      <c r="C161" s="1" t="n">
        <v>45212</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HYPERLINK("https://klasma.github.io/Logging_2260/artfynd/A 65907-2020 artfynd.xlsx", "A 65907-2020")</f>
        <v/>
      </c>
      <c r="T161">
        <f>HYPERLINK("https://klasma.github.io/Logging_2260/karta/A 65907-2020 karta.png", "A 65907-2020")</f>
        <v/>
      </c>
      <c r="V161">
        <f>HYPERLINK("https://klasma.github.io/Logging_2260/klagomål/A 65907-2020 klagomål.docx", "A 65907-2020")</f>
        <v/>
      </c>
      <c r="W161">
        <f>HYPERLINK("https://klasma.github.io/Logging_2260/klagomålsmail/A 65907-2020 klagomålsmail.docx", "A 65907-2020")</f>
        <v/>
      </c>
      <c r="X161">
        <f>HYPERLINK("https://klasma.github.io/Logging_2260/tillsyn/A 65907-2020 tillsyn.docx", "A 65907-2020")</f>
        <v/>
      </c>
      <c r="Y161">
        <f>HYPERLINK("https://klasma.github.io/Logging_2260/tillsynsmail/A 65907-2020 tillsynsmail.docx", "A 65907-2020")</f>
        <v/>
      </c>
    </row>
    <row r="162" ht="15" customHeight="1">
      <c r="A162" t="inlineStr">
        <is>
          <t>A 729-2021</t>
        </is>
      </c>
      <c r="B162" s="1" t="n">
        <v>44203</v>
      </c>
      <c r="C162" s="1" t="n">
        <v>45212</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HYPERLINK("https://klasma.github.io/Logging_2262/artfynd/A 729-2021 artfynd.xlsx", "A 729-2021")</f>
        <v/>
      </c>
      <c r="T162">
        <f>HYPERLINK("https://klasma.github.io/Logging_2262/karta/A 729-2021 karta.png", "A 729-2021")</f>
        <v/>
      </c>
      <c r="V162">
        <f>HYPERLINK("https://klasma.github.io/Logging_2262/klagomål/A 729-2021 klagomål.docx", "A 729-2021")</f>
        <v/>
      </c>
      <c r="W162">
        <f>HYPERLINK("https://klasma.github.io/Logging_2262/klagomålsmail/A 729-2021 klagomålsmail.docx", "A 729-2021")</f>
        <v/>
      </c>
      <c r="X162">
        <f>HYPERLINK("https://klasma.github.io/Logging_2262/tillsyn/A 729-2021 tillsyn.docx", "A 729-2021")</f>
        <v/>
      </c>
      <c r="Y162">
        <f>HYPERLINK("https://klasma.github.io/Logging_2262/tillsynsmail/A 729-2021 tillsynsmail.docx", "A 729-2021")</f>
        <v/>
      </c>
    </row>
    <row r="163" ht="15" customHeight="1">
      <c r="A163" t="inlineStr">
        <is>
          <t>A 2823-2021</t>
        </is>
      </c>
      <c r="B163" s="1" t="n">
        <v>44215</v>
      </c>
      <c r="C163" s="1" t="n">
        <v>45212</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HYPERLINK("https://klasma.github.io/Logging_2280/artfynd/A 2823-2021 artfynd.xlsx", "A 2823-2021")</f>
        <v/>
      </c>
      <c r="T163">
        <f>HYPERLINK("https://klasma.github.io/Logging_2280/karta/A 2823-2021 karta.png", "A 2823-2021")</f>
        <v/>
      </c>
      <c r="V163">
        <f>HYPERLINK("https://klasma.github.io/Logging_2280/klagomål/A 2823-2021 klagomål.docx", "A 2823-2021")</f>
        <v/>
      </c>
      <c r="W163">
        <f>HYPERLINK("https://klasma.github.io/Logging_2280/klagomålsmail/A 2823-2021 klagomålsmail.docx", "A 2823-2021")</f>
        <v/>
      </c>
      <c r="X163">
        <f>HYPERLINK("https://klasma.github.io/Logging_2280/tillsyn/A 2823-2021 tillsyn.docx", "A 2823-2021")</f>
        <v/>
      </c>
      <c r="Y163">
        <f>HYPERLINK("https://klasma.github.io/Logging_2280/tillsynsmail/A 2823-2021 tillsynsmail.docx", "A 2823-2021")</f>
        <v/>
      </c>
    </row>
    <row r="164" ht="15" customHeight="1">
      <c r="A164" t="inlineStr">
        <is>
          <t>A 3348-2021</t>
        </is>
      </c>
      <c r="B164" s="1" t="n">
        <v>44217</v>
      </c>
      <c r="C164" s="1" t="n">
        <v>45212</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HYPERLINK("https://klasma.github.io/Logging_2260/artfynd/A 3348-2021 artfynd.xlsx", "A 3348-2021")</f>
        <v/>
      </c>
      <c r="T164">
        <f>HYPERLINK("https://klasma.github.io/Logging_2260/karta/A 3348-2021 karta.png", "A 3348-2021")</f>
        <v/>
      </c>
      <c r="V164">
        <f>HYPERLINK("https://klasma.github.io/Logging_2260/klagomål/A 3348-2021 klagomål.docx", "A 3348-2021")</f>
        <v/>
      </c>
      <c r="W164">
        <f>HYPERLINK("https://klasma.github.io/Logging_2260/klagomålsmail/A 3348-2021 klagomålsmail.docx", "A 3348-2021")</f>
        <v/>
      </c>
      <c r="X164">
        <f>HYPERLINK("https://klasma.github.io/Logging_2260/tillsyn/A 3348-2021 tillsyn.docx", "A 3348-2021")</f>
        <v/>
      </c>
      <c r="Y164">
        <f>HYPERLINK("https://klasma.github.io/Logging_2260/tillsynsmail/A 3348-2021 tillsynsmail.docx", "A 3348-2021")</f>
        <v/>
      </c>
    </row>
    <row r="165" ht="15" customHeight="1">
      <c r="A165" t="inlineStr">
        <is>
          <t>A 27955-2021</t>
        </is>
      </c>
      <c r="B165" s="1" t="n">
        <v>44354</v>
      </c>
      <c r="C165" s="1" t="n">
        <v>45212</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HYPERLINK("https://klasma.github.io/Logging_2260/artfynd/A 27955-2021 artfynd.xlsx", "A 27955-2021")</f>
        <v/>
      </c>
      <c r="T165">
        <f>HYPERLINK("https://klasma.github.io/Logging_2260/karta/A 27955-2021 karta.png", "A 27955-2021")</f>
        <v/>
      </c>
      <c r="V165">
        <f>HYPERLINK("https://klasma.github.io/Logging_2260/klagomål/A 27955-2021 klagomål.docx", "A 27955-2021")</f>
        <v/>
      </c>
      <c r="W165">
        <f>HYPERLINK("https://klasma.github.io/Logging_2260/klagomålsmail/A 27955-2021 klagomålsmail.docx", "A 27955-2021")</f>
        <v/>
      </c>
      <c r="X165">
        <f>HYPERLINK("https://klasma.github.io/Logging_2260/tillsyn/A 27955-2021 tillsyn.docx", "A 27955-2021")</f>
        <v/>
      </c>
      <c r="Y165">
        <f>HYPERLINK("https://klasma.github.io/Logging_2260/tillsynsmail/A 27955-2021 tillsynsmail.docx", "A 27955-2021")</f>
        <v/>
      </c>
    </row>
    <row r="166" ht="15" customHeight="1">
      <c r="A166" t="inlineStr">
        <is>
          <t>A 29964-2021</t>
        </is>
      </c>
      <c r="B166" s="1" t="n">
        <v>44363</v>
      </c>
      <c r="C166" s="1" t="n">
        <v>45212</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HYPERLINK("https://klasma.github.io/Logging_2284/artfynd/A 29964-2021 artfynd.xlsx", "A 29964-2021")</f>
        <v/>
      </c>
      <c r="T166">
        <f>HYPERLINK("https://klasma.github.io/Logging_2284/karta/A 29964-2021 karta.png", "A 29964-2021")</f>
        <v/>
      </c>
      <c r="V166">
        <f>HYPERLINK("https://klasma.github.io/Logging_2284/klagomål/A 29964-2021 klagomål.docx", "A 29964-2021")</f>
        <v/>
      </c>
      <c r="W166">
        <f>HYPERLINK("https://klasma.github.io/Logging_2284/klagomålsmail/A 29964-2021 klagomålsmail.docx", "A 29964-2021")</f>
        <v/>
      </c>
      <c r="X166">
        <f>HYPERLINK("https://klasma.github.io/Logging_2284/tillsyn/A 29964-2021 tillsyn.docx", "A 29964-2021")</f>
        <v/>
      </c>
      <c r="Y166">
        <f>HYPERLINK("https://klasma.github.io/Logging_2284/tillsynsmail/A 29964-2021 tillsynsmail.docx", "A 29964-2021")</f>
        <v/>
      </c>
    </row>
    <row r="167" ht="15" customHeight="1">
      <c r="A167" t="inlineStr">
        <is>
          <t>A 57263-2021</t>
        </is>
      </c>
      <c r="B167" s="1" t="n">
        <v>44483</v>
      </c>
      <c r="C167" s="1" t="n">
        <v>45212</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HYPERLINK("https://klasma.github.io/Logging_2284/artfynd/A 57263-2021 artfynd.xlsx", "A 57263-2021")</f>
        <v/>
      </c>
      <c r="T167">
        <f>HYPERLINK("https://klasma.github.io/Logging_2284/karta/A 57263-2021 karta.png", "A 57263-2021")</f>
        <v/>
      </c>
      <c r="V167">
        <f>HYPERLINK("https://klasma.github.io/Logging_2284/klagomål/A 57263-2021 klagomål.docx", "A 57263-2021")</f>
        <v/>
      </c>
      <c r="W167">
        <f>HYPERLINK("https://klasma.github.io/Logging_2284/klagomålsmail/A 57263-2021 klagomålsmail.docx", "A 57263-2021")</f>
        <v/>
      </c>
      <c r="X167">
        <f>HYPERLINK("https://klasma.github.io/Logging_2284/tillsyn/A 57263-2021 tillsyn.docx", "A 57263-2021")</f>
        <v/>
      </c>
      <c r="Y167">
        <f>HYPERLINK("https://klasma.github.io/Logging_2284/tillsynsmail/A 57263-2021 tillsynsmail.docx", "A 57263-2021")</f>
        <v/>
      </c>
    </row>
    <row r="168" ht="15" customHeight="1">
      <c r="A168" t="inlineStr">
        <is>
          <t>A 57942-2021</t>
        </is>
      </c>
      <c r="B168" s="1" t="n">
        <v>44487</v>
      </c>
      <c r="C168" s="1" t="n">
        <v>45212</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HYPERLINK("https://klasma.github.io/Logging_2283/artfynd/A 57942-2021 artfynd.xlsx", "A 57942-2021")</f>
        <v/>
      </c>
      <c r="T168">
        <f>HYPERLINK("https://klasma.github.io/Logging_2283/karta/A 57942-2021 karta.png", "A 57942-2021")</f>
        <v/>
      </c>
      <c r="U168">
        <f>HYPERLINK("https://klasma.github.io/Logging_2283/knärot/A 57942-2021 knärot.png", "A 57942-2021")</f>
        <v/>
      </c>
      <c r="V168">
        <f>HYPERLINK("https://klasma.github.io/Logging_2283/klagomål/A 57942-2021 klagomål.docx", "A 57942-2021")</f>
        <v/>
      </c>
      <c r="W168">
        <f>HYPERLINK("https://klasma.github.io/Logging_2283/klagomålsmail/A 57942-2021 klagomålsmail.docx", "A 57942-2021")</f>
        <v/>
      </c>
      <c r="X168">
        <f>HYPERLINK("https://klasma.github.io/Logging_2283/tillsyn/A 57942-2021 tillsyn.docx", "A 57942-2021")</f>
        <v/>
      </c>
      <c r="Y168">
        <f>HYPERLINK("https://klasma.github.io/Logging_2283/tillsynsmail/A 57942-2021 tillsynsmail.docx", "A 57942-2021")</f>
        <v/>
      </c>
    </row>
    <row r="169" ht="15" customHeight="1">
      <c r="A169" t="inlineStr">
        <is>
          <t>A 8980-2022</t>
        </is>
      </c>
      <c r="B169" s="1" t="n">
        <v>44614</v>
      </c>
      <c r="C169" s="1" t="n">
        <v>45212</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HYPERLINK("https://klasma.github.io/Logging_2283/artfynd/A 8980-2022 artfynd.xlsx", "A 8980-2022")</f>
        <v/>
      </c>
      <c r="T169">
        <f>HYPERLINK("https://klasma.github.io/Logging_2283/karta/A 8980-2022 karta.png", "A 8980-2022")</f>
        <v/>
      </c>
      <c r="U169">
        <f>HYPERLINK("https://klasma.github.io/Logging_2283/knärot/A 8980-2022 knärot.png", "A 8980-2022")</f>
        <v/>
      </c>
      <c r="V169">
        <f>HYPERLINK("https://klasma.github.io/Logging_2283/klagomål/A 8980-2022 klagomål.docx", "A 8980-2022")</f>
        <v/>
      </c>
      <c r="W169">
        <f>HYPERLINK("https://klasma.github.io/Logging_2283/klagomålsmail/A 8980-2022 klagomålsmail.docx", "A 8980-2022")</f>
        <v/>
      </c>
      <c r="X169">
        <f>HYPERLINK("https://klasma.github.io/Logging_2283/tillsyn/A 8980-2022 tillsyn.docx", "A 8980-2022")</f>
        <v/>
      </c>
      <c r="Y169">
        <f>HYPERLINK("https://klasma.github.io/Logging_2283/tillsynsmail/A 8980-2022 tillsynsmail.docx", "A 8980-2022")</f>
        <v/>
      </c>
    </row>
    <row r="170" ht="15" customHeight="1">
      <c r="A170" t="inlineStr">
        <is>
          <t>A 9502-2022</t>
        </is>
      </c>
      <c r="B170" s="1" t="n">
        <v>44616</v>
      </c>
      <c r="C170" s="1" t="n">
        <v>45212</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HYPERLINK("https://klasma.github.io/Logging_2283/artfynd/A 9502-2022 artfynd.xlsx", "A 9502-2022")</f>
        <v/>
      </c>
      <c r="T170">
        <f>HYPERLINK("https://klasma.github.io/Logging_2283/karta/A 9502-2022 karta.png", "A 9502-2022")</f>
        <v/>
      </c>
      <c r="U170">
        <f>HYPERLINK("https://klasma.github.io/Logging_2283/knärot/A 9502-2022 knärot.png", "A 9502-2022")</f>
        <v/>
      </c>
      <c r="V170">
        <f>HYPERLINK("https://klasma.github.io/Logging_2283/klagomål/A 9502-2022 klagomål.docx", "A 9502-2022")</f>
        <v/>
      </c>
      <c r="W170">
        <f>HYPERLINK("https://klasma.github.io/Logging_2283/klagomålsmail/A 9502-2022 klagomålsmail.docx", "A 9502-2022")</f>
        <v/>
      </c>
      <c r="X170">
        <f>HYPERLINK("https://klasma.github.io/Logging_2283/tillsyn/A 9502-2022 tillsyn.docx", "A 9502-2022")</f>
        <v/>
      </c>
      <c r="Y170">
        <f>HYPERLINK("https://klasma.github.io/Logging_2283/tillsynsmail/A 9502-2022 tillsynsmail.docx", "A 9502-2022")</f>
        <v/>
      </c>
    </row>
    <row r="171" ht="15" customHeight="1">
      <c r="A171" t="inlineStr">
        <is>
          <t>A 24887-2022</t>
        </is>
      </c>
      <c r="B171" s="1" t="n">
        <v>44728</v>
      </c>
      <c r="C171" s="1" t="n">
        <v>45212</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HYPERLINK("https://klasma.github.io/Logging_2283/artfynd/A 24887-2022 artfynd.xlsx", "A 24887-2022")</f>
        <v/>
      </c>
      <c r="T171">
        <f>HYPERLINK("https://klasma.github.io/Logging_2283/karta/A 24887-2022 karta.png", "A 24887-2022")</f>
        <v/>
      </c>
      <c r="U171">
        <f>HYPERLINK("https://klasma.github.io/Logging_2283/knärot/A 24887-2022 knärot.png", "A 24887-2022")</f>
        <v/>
      </c>
      <c r="V171">
        <f>HYPERLINK("https://klasma.github.io/Logging_2283/klagomål/A 24887-2022 klagomål.docx", "A 24887-2022")</f>
        <v/>
      </c>
      <c r="W171">
        <f>HYPERLINK("https://klasma.github.io/Logging_2283/klagomålsmail/A 24887-2022 klagomålsmail.docx", "A 24887-2022")</f>
        <v/>
      </c>
      <c r="X171">
        <f>HYPERLINK("https://klasma.github.io/Logging_2283/tillsyn/A 24887-2022 tillsyn.docx", "A 24887-2022")</f>
        <v/>
      </c>
      <c r="Y171">
        <f>HYPERLINK("https://klasma.github.io/Logging_2283/tillsynsmail/A 24887-2022 tillsynsmail.docx", "A 24887-2022")</f>
        <v/>
      </c>
    </row>
    <row r="172" ht="15" customHeight="1">
      <c r="A172" t="inlineStr">
        <is>
          <t>A 26655-2022</t>
        </is>
      </c>
      <c r="B172" s="1" t="n">
        <v>44739</v>
      </c>
      <c r="C172" s="1" t="n">
        <v>45212</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HYPERLINK("https://klasma.github.io/Logging_2283/artfynd/A 26655-2022 artfynd.xlsx", "A 26655-2022")</f>
        <v/>
      </c>
      <c r="T172">
        <f>HYPERLINK("https://klasma.github.io/Logging_2283/karta/A 26655-2022 karta.png", "A 26655-2022")</f>
        <v/>
      </c>
      <c r="U172">
        <f>HYPERLINK("https://klasma.github.io/Logging_2283/knärot/A 26655-2022 knärot.png", "A 26655-2022")</f>
        <v/>
      </c>
      <c r="V172">
        <f>HYPERLINK("https://klasma.github.io/Logging_2283/klagomål/A 26655-2022 klagomål.docx", "A 26655-2022")</f>
        <v/>
      </c>
      <c r="W172">
        <f>HYPERLINK("https://klasma.github.io/Logging_2283/klagomålsmail/A 26655-2022 klagomålsmail.docx", "A 26655-2022")</f>
        <v/>
      </c>
      <c r="X172">
        <f>HYPERLINK("https://klasma.github.io/Logging_2283/tillsyn/A 26655-2022 tillsyn.docx", "A 26655-2022")</f>
        <v/>
      </c>
      <c r="Y172">
        <f>HYPERLINK("https://klasma.github.io/Logging_2283/tillsynsmail/A 26655-2022 tillsynsmail.docx", "A 26655-2022")</f>
        <v/>
      </c>
    </row>
    <row r="173" ht="15" customHeight="1">
      <c r="A173" t="inlineStr">
        <is>
          <t>A 43457-2022</t>
        </is>
      </c>
      <c r="B173" s="1" t="n">
        <v>44835</v>
      </c>
      <c r="C173" s="1" t="n">
        <v>45212</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HYPERLINK("https://klasma.github.io/Logging_2281/artfynd/A 43457-2022 artfynd.xlsx", "A 43457-2022")</f>
        <v/>
      </c>
      <c r="T173">
        <f>HYPERLINK("https://klasma.github.io/Logging_2281/karta/A 43457-2022 karta.png", "A 43457-2022")</f>
        <v/>
      </c>
      <c r="V173">
        <f>HYPERLINK("https://klasma.github.io/Logging_2281/klagomål/A 43457-2022 klagomål.docx", "A 43457-2022")</f>
        <v/>
      </c>
      <c r="W173">
        <f>HYPERLINK("https://klasma.github.io/Logging_2281/klagomålsmail/A 43457-2022 klagomålsmail.docx", "A 43457-2022")</f>
        <v/>
      </c>
      <c r="X173">
        <f>HYPERLINK("https://klasma.github.io/Logging_2281/tillsyn/A 43457-2022 tillsyn.docx", "A 43457-2022")</f>
        <v/>
      </c>
      <c r="Y173">
        <f>HYPERLINK("https://klasma.github.io/Logging_2281/tillsynsmail/A 43457-2022 tillsynsmail.docx", "A 43457-2022")</f>
        <v/>
      </c>
    </row>
    <row r="174" ht="15" customHeight="1">
      <c r="A174" t="inlineStr">
        <is>
          <t>A 57858-2022</t>
        </is>
      </c>
      <c r="B174" s="1" t="n">
        <v>44898</v>
      </c>
      <c r="C174" s="1" t="n">
        <v>45212</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HYPERLINK("https://klasma.github.io/Logging_2284/artfynd/A 57858-2022 artfynd.xlsx", "A 57858-2022")</f>
        <v/>
      </c>
      <c r="T174">
        <f>HYPERLINK("https://klasma.github.io/Logging_2284/karta/A 57858-2022 karta.png", "A 57858-2022")</f>
        <v/>
      </c>
      <c r="U174">
        <f>HYPERLINK("https://klasma.github.io/Logging_2284/knärot/A 57858-2022 knärot.png", "A 57858-2022")</f>
        <v/>
      </c>
      <c r="V174">
        <f>HYPERLINK("https://klasma.github.io/Logging_2284/klagomål/A 57858-2022 klagomål.docx", "A 57858-2022")</f>
        <v/>
      </c>
      <c r="W174">
        <f>HYPERLINK("https://klasma.github.io/Logging_2284/klagomålsmail/A 57858-2022 klagomålsmail.docx", "A 57858-2022")</f>
        <v/>
      </c>
      <c r="X174">
        <f>HYPERLINK("https://klasma.github.io/Logging_2284/tillsyn/A 57858-2022 tillsyn.docx", "A 57858-2022")</f>
        <v/>
      </c>
      <c r="Y174">
        <f>HYPERLINK("https://klasma.github.io/Logging_2284/tillsynsmail/A 57858-2022 tillsynsmail.docx", "A 57858-2022")</f>
        <v/>
      </c>
    </row>
    <row r="175" ht="15" customHeight="1">
      <c r="A175" t="inlineStr">
        <is>
          <t>A 4130-2023</t>
        </is>
      </c>
      <c r="B175" s="1" t="n">
        <v>44952</v>
      </c>
      <c r="C175" s="1" t="n">
        <v>45212</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HYPERLINK("https://klasma.github.io/Logging_2260/artfynd/A 4130-2023 artfynd.xlsx", "A 4130-2023")</f>
        <v/>
      </c>
      <c r="T175">
        <f>HYPERLINK("https://klasma.github.io/Logging_2260/karta/A 4130-2023 karta.png", "A 4130-2023")</f>
        <v/>
      </c>
      <c r="V175">
        <f>HYPERLINK("https://klasma.github.io/Logging_2260/klagomål/A 4130-2023 klagomål.docx", "A 4130-2023")</f>
        <v/>
      </c>
      <c r="W175">
        <f>HYPERLINK("https://klasma.github.io/Logging_2260/klagomålsmail/A 4130-2023 klagomålsmail.docx", "A 4130-2023")</f>
        <v/>
      </c>
      <c r="X175">
        <f>HYPERLINK("https://klasma.github.io/Logging_2260/tillsyn/A 4130-2023 tillsyn.docx", "A 4130-2023")</f>
        <v/>
      </c>
      <c r="Y175">
        <f>HYPERLINK("https://klasma.github.io/Logging_2260/tillsynsmail/A 4130-2023 tillsynsmail.docx", "A 4130-2023")</f>
        <v/>
      </c>
    </row>
    <row r="176" ht="15" customHeight="1">
      <c r="A176" t="inlineStr">
        <is>
          <t>A 12754-2023</t>
        </is>
      </c>
      <c r="B176" s="1" t="n">
        <v>45000</v>
      </c>
      <c r="C176" s="1" t="n">
        <v>45212</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HYPERLINK("https://klasma.github.io/Logging_2282/artfynd/A 12754-2023 artfynd.xlsx", "A 12754-2023")</f>
        <v/>
      </c>
      <c r="T176">
        <f>HYPERLINK("https://klasma.github.io/Logging_2282/karta/A 12754-2023 karta.png", "A 12754-2023")</f>
        <v/>
      </c>
      <c r="V176">
        <f>HYPERLINK("https://klasma.github.io/Logging_2282/klagomål/A 12754-2023 klagomål.docx", "A 12754-2023")</f>
        <v/>
      </c>
      <c r="W176">
        <f>HYPERLINK("https://klasma.github.io/Logging_2282/klagomålsmail/A 12754-2023 klagomålsmail.docx", "A 12754-2023")</f>
        <v/>
      </c>
      <c r="X176">
        <f>HYPERLINK("https://klasma.github.io/Logging_2282/tillsyn/A 12754-2023 tillsyn.docx", "A 12754-2023")</f>
        <v/>
      </c>
      <c r="Y176">
        <f>HYPERLINK("https://klasma.github.io/Logging_2282/tillsynsmail/A 12754-2023 tillsynsmail.docx", "A 12754-2023")</f>
        <v/>
      </c>
    </row>
    <row r="177" ht="15" customHeight="1">
      <c r="A177" t="inlineStr">
        <is>
          <t>A 18764-2023</t>
        </is>
      </c>
      <c r="B177" s="1" t="n">
        <v>45043</v>
      </c>
      <c r="C177" s="1" t="n">
        <v>45212</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HYPERLINK("https://klasma.github.io/Logging_2280/artfynd/A 18764-2023 artfynd.xlsx", "A 18764-2023")</f>
        <v/>
      </c>
      <c r="T177">
        <f>HYPERLINK("https://klasma.github.io/Logging_2280/karta/A 18764-2023 karta.png", "A 18764-2023")</f>
        <v/>
      </c>
      <c r="V177">
        <f>HYPERLINK("https://klasma.github.io/Logging_2280/klagomål/A 18764-2023 klagomål.docx", "A 18764-2023")</f>
        <v/>
      </c>
      <c r="W177">
        <f>HYPERLINK("https://klasma.github.io/Logging_2280/klagomålsmail/A 18764-2023 klagomålsmail.docx", "A 18764-2023")</f>
        <v/>
      </c>
      <c r="X177">
        <f>HYPERLINK("https://klasma.github.io/Logging_2280/tillsyn/A 18764-2023 tillsyn.docx", "A 18764-2023")</f>
        <v/>
      </c>
      <c r="Y177">
        <f>HYPERLINK("https://klasma.github.io/Logging_2280/tillsynsmail/A 18764-2023 tillsynsmail.docx", "A 18764-2023")</f>
        <v/>
      </c>
    </row>
    <row r="178" ht="15" customHeight="1">
      <c r="A178" t="inlineStr">
        <is>
          <t>A 19016-2023</t>
        </is>
      </c>
      <c r="B178" s="1" t="n">
        <v>45045</v>
      </c>
      <c r="C178" s="1" t="n">
        <v>45212</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HYPERLINK("https://klasma.github.io/Logging_2281/artfynd/A 19016-2023 artfynd.xlsx", "A 19016-2023")</f>
        <v/>
      </c>
      <c r="T178">
        <f>HYPERLINK("https://klasma.github.io/Logging_2281/karta/A 19016-2023 karta.png", "A 19016-2023")</f>
        <v/>
      </c>
      <c r="U178">
        <f>HYPERLINK("https://klasma.github.io/Logging_2281/knärot/A 19016-2023 knärot.png", "A 19016-2023")</f>
        <v/>
      </c>
      <c r="V178">
        <f>HYPERLINK("https://klasma.github.io/Logging_2281/klagomål/A 19016-2023 klagomål.docx", "A 19016-2023")</f>
        <v/>
      </c>
      <c r="W178">
        <f>HYPERLINK("https://klasma.github.io/Logging_2281/klagomålsmail/A 19016-2023 klagomålsmail.docx", "A 19016-2023")</f>
        <v/>
      </c>
      <c r="X178">
        <f>HYPERLINK("https://klasma.github.io/Logging_2281/tillsyn/A 19016-2023 tillsyn.docx", "A 19016-2023")</f>
        <v/>
      </c>
      <c r="Y178">
        <f>HYPERLINK("https://klasma.github.io/Logging_2281/tillsynsmail/A 19016-2023 tillsynsmail.docx", "A 19016-2023")</f>
        <v/>
      </c>
    </row>
    <row r="179" ht="15" customHeight="1">
      <c r="A179" t="inlineStr">
        <is>
          <t>A 22228-2023</t>
        </is>
      </c>
      <c r="B179" s="1" t="n">
        <v>45069</v>
      </c>
      <c r="C179" s="1" t="n">
        <v>45212</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HYPERLINK("https://klasma.github.io/Logging_2281/artfynd/A 22228-2023 artfynd.xlsx", "A 22228-2023")</f>
        <v/>
      </c>
      <c r="T179">
        <f>HYPERLINK("https://klasma.github.io/Logging_2281/karta/A 22228-2023 karta.png", "A 22228-2023")</f>
        <v/>
      </c>
      <c r="V179">
        <f>HYPERLINK("https://klasma.github.io/Logging_2281/klagomål/A 22228-2023 klagomål.docx", "A 22228-2023")</f>
        <v/>
      </c>
      <c r="W179">
        <f>HYPERLINK("https://klasma.github.io/Logging_2281/klagomålsmail/A 22228-2023 klagomålsmail.docx", "A 22228-2023")</f>
        <v/>
      </c>
      <c r="X179">
        <f>HYPERLINK("https://klasma.github.io/Logging_2281/tillsyn/A 22228-2023 tillsyn.docx", "A 22228-2023")</f>
        <v/>
      </c>
      <c r="Y179">
        <f>HYPERLINK("https://klasma.github.io/Logging_2281/tillsynsmail/A 22228-2023 tillsynsmail.docx", "A 22228-2023")</f>
        <v/>
      </c>
    </row>
    <row r="180" ht="15" customHeight="1">
      <c r="A180" t="inlineStr">
        <is>
          <t>A 25050-2023</t>
        </is>
      </c>
      <c r="B180" s="1" t="n">
        <v>45085</v>
      </c>
      <c r="C180" s="1" t="n">
        <v>45212</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HYPERLINK("https://klasma.github.io/Logging_2283/artfynd/A 25050-2023 artfynd.xlsx", "A 25050-2023")</f>
        <v/>
      </c>
      <c r="T180">
        <f>HYPERLINK("https://klasma.github.io/Logging_2283/karta/A 25050-2023 karta.png", "A 25050-2023")</f>
        <v/>
      </c>
      <c r="U180">
        <f>HYPERLINK("https://klasma.github.io/Logging_2283/knärot/A 25050-2023 knärot.png", "A 25050-2023")</f>
        <v/>
      </c>
      <c r="V180">
        <f>HYPERLINK("https://klasma.github.io/Logging_2283/klagomål/A 25050-2023 klagomål.docx", "A 25050-2023")</f>
        <v/>
      </c>
      <c r="W180">
        <f>HYPERLINK("https://klasma.github.io/Logging_2283/klagomålsmail/A 25050-2023 klagomålsmail.docx", "A 25050-2023")</f>
        <v/>
      </c>
      <c r="X180">
        <f>HYPERLINK("https://klasma.github.io/Logging_2283/tillsyn/A 25050-2023 tillsyn.docx", "A 25050-2023")</f>
        <v/>
      </c>
      <c r="Y180">
        <f>HYPERLINK("https://klasma.github.io/Logging_2283/tillsynsmail/A 25050-2023 tillsynsmail.docx", "A 25050-2023")</f>
        <v/>
      </c>
    </row>
    <row r="181" ht="15" customHeight="1">
      <c r="A181" t="inlineStr">
        <is>
          <t>A 25692-2023</t>
        </is>
      </c>
      <c r="B181" s="1" t="n">
        <v>45089</v>
      </c>
      <c r="C181" s="1" t="n">
        <v>45212</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HYPERLINK("https://klasma.github.io/Logging_2281/artfynd/A 25692-2023 artfynd.xlsx", "A 25692-2023")</f>
        <v/>
      </c>
      <c r="T181">
        <f>HYPERLINK("https://klasma.github.io/Logging_2281/karta/A 25692-2023 karta.png", "A 25692-2023")</f>
        <v/>
      </c>
      <c r="V181">
        <f>HYPERLINK("https://klasma.github.io/Logging_2281/klagomål/A 25692-2023 klagomål.docx", "A 25692-2023")</f>
        <v/>
      </c>
      <c r="W181">
        <f>HYPERLINK("https://klasma.github.io/Logging_2281/klagomålsmail/A 25692-2023 klagomålsmail.docx", "A 25692-2023")</f>
        <v/>
      </c>
      <c r="X181">
        <f>HYPERLINK("https://klasma.github.io/Logging_2281/tillsyn/A 25692-2023 tillsyn.docx", "A 25692-2023")</f>
        <v/>
      </c>
      <c r="Y181">
        <f>HYPERLINK("https://klasma.github.io/Logging_2281/tillsynsmail/A 25692-2023 tillsynsmail.docx", "A 25692-2023")</f>
        <v/>
      </c>
    </row>
    <row r="182" ht="15" customHeight="1">
      <c r="A182" t="inlineStr">
        <is>
          <t>A 43968-2023</t>
        </is>
      </c>
      <c r="B182" s="1" t="n">
        <v>45187</v>
      </c>
      <c r="C182" s="1" t="n">
        <v>45212</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HYPERLINK("https://klasma.github.io/Logging_2260/artfynd/A 43968-2023 artfynd.xlsx", "A 43968-2023")</f>
        <v/>
      </c>
      <c r="T182">
        <f>HYPERLINK("https://klasma.github.io/Logging_2260/karta/A 43968-2023 karta.png", "A 43968-2023")</f>
        <v/>
      </c>
      <c r="U182">
        <f>HYPERLINK("https://klasma.github.io/Logging_2260/knärot/A 43968-2023 knärot.png", "A 43968-2023")</f>
        <v/>
      </c>
      <c r="V182">
        <f>HYPERLINK("https://klasma.github.io/Logging_2260/klagomål/A 43968-2023 klagomål.docx", "A 43968-2023")</f>
        <v/>
      </c>
      <c r="W182">
        <f>HYPERLINK("https://klasma.github.io/Logging_2260/klagomålsmail/A 43968-2023 klagomålsmail.docx", "A 43968-2023")</f>
        <v/>
      </c>
      <c r="X182">
        <f>HYPERLINK("https://klasma.github.io/Logging_2260/tillsyn/A 43968-2023 tillsyn.docx", "A 43968-2023")</f>
        <v/>
      </c>
      <c r="Y182">
        <f>HYPERLINK("https://klasma.github.io/Logging_2260/tillsynsmail/A 43968-2023 tillsynsmail.docx", "A 43968-2023")</f>
        <v/>
      </c>
    </row>
    <row r="183" ht="15" customHeight="1">
      <c r="A183" t="inlineStr">
        <is>
          <t>A 55640-2018</t>
        </is>
      </c>
      <c r="B183" s="1" t="n">
        <v>43397</v>
      </c>
      <c r="C183" s="1" t="n">
        <v>45212</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HYPERLINK("https://klasma.github.io/Logging_2260/artfynd/A 55640-2018 artfynd.xlsx", "A 55640-2018")</f>
        <v/>
      </c>
      <c r="T183">
        <f>HYPERLINK("https://klasma.github.io/Logging_2260/karta/A 55640-2018 karta.png", "A 55640-2018")</f>
        <v/>
      </c>
      <c r="U183">
        <f>HYPERLINK("https://klasma.github.io/Logging_2260/knärot/A 55640-2018 knärot.png", "A 55640-2018")</f>
        <v/>
      </c>
      <c r="V183">
        <f>HYPERLINK("https://klasma.github.io/Logging_2260/klagomål/A 55640-2018 klagomål.docx", "A 55640-2018")</f>
        <v/>
      </c>
      <c r="W183">
        <f>HYPERLINK("https://klasma.github.io/Logging_2260/klagomålsmail/A 55640-2018 klagomålsmail.docx", "A 55640-2018")</f>
        <v/>
      </c>
      <c r="X183">
        <f>HYPERLINK("https://klasma.github.io/Logging_2260/tillsyn/A 55640-2018 tillsyn.docx", "A 55640-2018")</f>
        <v/>
      </c>
      <c r="Y183">
        <f>HYPERLINK("https://klasma.github.io/Logging_2260/tillsynsmail/A 55640-2018 tillsynsmail.docx", "A 55640-2018")</f>
        <v/>
      </c>
    </row>
    <row r="184" ht="15" customHeight="1">
      <c r="A184" t="inlineStr">
        <is>
          <t>A 62051-2018</t>
        </is>
      </c>
      <c r="B184" s="1" t="n">
        <v>43416</v>
      </c>
      <c r="C184" s="1" t="n">
        <v>45212</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HYPERLINK("https://klasma.github.io/Logging_2283/artfynd/A 62051-2018 artfynd.xlsx", "A 62051-2018")</f>
        <v/>
      </c>
      <c r="T184">
        <f>HYPERLINK("https://klasma.github.io/Logging_2283/karta/A 62051-2018 karta.png", "A 62051-2018")</f>
        <v/>
      </c>
      <c r="V184">
        <f>HYPERLINK("https://klasma.github.io/Logging_2283/klagomål/A 62051-2018 klagomål.docx", "A 62051-2018")</f>
        <v/>
      </c>
      <c r="W184">
        <f>HYPERLINK("https://klasma.github.io/Logging_2283/klagomålsmail/A 62051-2018 klagomålsmail.docx", "A 62051-2018")</f>
        <v/>
      </c>
      <c r="X184">
        <f>HYPERLINK("https://klasma.github.io/Logging_2283/tillsyn/A 62051-2018 tillsyn.docx", "A 62051-2018")</f>
        <v/>
      </c>
      <c r="Y184">
        <f>HYPERLINK("https://klasma.github.io/Logging_2283/tillsynsmail/A 62051-2018 tillsynsmail.docx", "A 62051-2018")</f>
        <v/>
      </c>
    </row>
    <row r="185" ht="15" customHeight="1">
      <c r="A185" t="inlineStr">
        <is>
          <t>A 68033-2018</t>
        </is>
      </c>
      <c r="B185" s="1" t="n">
        <v>43437</v>
      </c>
      <c r="C185" s="1" t="n">
        <v>45212</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HYPERLINK("https://klasma.github.io/Logging_2283/artfynd/A 68033-2018 artfynd.xlsx", "A 68033-2018")</f>
        <v/>
      </c>
      <c r="T185">
        <f>HYPERLINK("https://klasma.github.io/Logging_2283/karta/A 68033-2018 karta.png", "A 68033-2018")</f>
        <v/>
      </c>
      <c r="V185">
        <f>HYPERLINK("https://klasma.github.io/Logging_2283/klagomål/A 68033-2018 klagomål.docx", "A 68033-2018")</f>
        <v/>
      </c>
      <c r="W185">
        <f>HYPERLINK("https://klasma.github.io/Logging_2283/klagomålsmail/A 68033-2018 klagomålsmail.docx", "A 68033-2018")</f>
        <v/>
      </c>
      <c r="X185">
        <f>HYPERLINK("https://klasma.github.io/Logging_2283/tillsyn/A 68033-2018 tillsyn.docx", "A 68033-2018")</f>
        <v/>
      </c>
      <c r="Y185">
        <f>HYPERLINK("https://klasma.github.io/Logging_2283/tillsynsmail/A 68033-2018 tillsynsmail.docx", "A 68033-2018")</f>
        <v/>
      </c>
    </row>
    <row r="186" ht="15" customHeight="1">
      <c r="A186" t="inlineStr">
        <is>
          <t>A 4890-2019</t>
        </is>
      </c>
      <c r="B186" s="1" t="n">
        <v>43479</v>
      </c>
      <c r="C186" s="1" t="n">
        <v>45212</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HYPERLINK("https://klasma.github.io/Logging_2262/artfynd/A 4890-2019 artfynd.xlsx", "A 4890-2019")</f>
        <v/>
      </c>
      <c r="T186">
        <f>HYPERLINK("https://klasma.github.io/Logging_2262/karta/A 4890-2019 karta.png", "A 4890-2019")</f>
        <v/>
      </c>
      <c r="V186">
        <f>HYPERLINK("https://klasma.github.io/Logging_2262/klagomål/A 4890-2019 klagomål.docx", "A 4890-2019")</f>
        <v/>
      </c>
      <c r="W186">
        <f>HYPERLINK("https://klasma.github.io/Logging_2262/klagomålsmail/A 4890-2019 klagomålsmail.docx", "A 4890-2019")</f>
        <v/>
      </c>
      <c r="X186">
        <f>HYPERLINK("https://klasma.github.io/Logging_2262/tillsyn/A 4890-2019 tillsyn.docx", "A 4890-2019")</f>
        <v/>
      </c>
      <c r="Y186">
        <f>HYPERLINK("https://klasma.github.io/Logging_2262/tillsynsmail/A 4890-2019 tillsynsmail.docx", "A 4890-2019")</f>
        <v/>
      </c>
    </row>
    <row r="187" ht="15" customHeight="1">
      <c r="A187" t="inlineStr">
        <is>
          <t>A 16774-2019</t>
        </is>
      </c>
      <c r="B187" s="1" t="n">
        <v>43549</v>
      </c>
      <c r="C187" s="1" t="n">
        <v>45212</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HYPERLINK("https://klasma.github.io/Logging_2284/artfynd/A 16774-2019 artfynd.xlsx", "A 16774-2019")</f>
        <v/>
      </c>
      <c r="T187">
        <f>HYPERLINK("https://klasma.github.io/Logging_2284/karta/A 16774-2019 karta.png", "A 16774-2019")</f>
        <v/>
      </c>
      <c r="V187">
        <f>HYPERLINK("https://klasma.github.io/Logging_2284/klagomål/A 16774-2019 klagomål.docx", "A 16774-2019")</f>
        <v/>
      </c>
      <c r="W187">
        <f>HYPERLINK("https://klasma.github.io/Logging_2284/klagomålsmail/A 16774-2019 klagomålsmail.docx", "A 16774-2019")</f>
        <v/>
      </c>
      <c r="X187">
        <f>HYPERLINK("https://klasma.github.io/Logging_2284/tillsyn/A 16774-2019 tillsyn.docx", "A 16774-2019")</f>
        <v/>
      </c>
      <c r="Y187">
        <f>HYPERLINK("https://klasma.github.io/Logging_2284/tillsynsmail/A 16774-2019 tillsynsmail.docx", "A 16774-2019")</f>
        <v/>
      </c>
    </row>
    <row r="188" ht="15" customHeight="1">
      <c r="A188" t="inlineStr">
        <is>
          <t>A 26633-2019</t>
        </is>
      </c>
      <c r="B188" s="1" t="n">
        <v>43612</v>
      </c>
      <c r="C188" s="1" t="n">
        <v>45212</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HYPERLINK("https://klasma.github.io/Logging_2283/artfynd/A 26633-2019 artfynd.xlsx", "A 26633-2019")</f>
        <v/>
      </c>
      <c r="T188">
        <f>HYPERLINK("https://klasma.github.io/Logging_2283/karta/A 26633-2019 karta.png", "A 26633-2019")</f>
        <v/>
      </c>
      <c r="V188">
        <f>HYPERLINK("https://klasma.github.io/Logging_2283/klagomål/A 26633-2019 klagomål.docx", "A 26633-2019")</f>
        <v/>
      </c>
      <c r="W188">
        <f>HYPERLINK("https://klasma.github.io/Logging_2283/klagomålsmail/A 26633-2019 klagomålsmail.docx", "A 26633-2019")</f>
        <v/>
      </c>
      <c r="X188">
        <f>HYPERLINK("https://klasma.github.io/Logging_2283/tillsyn/A 26633-2019 tillsyn.docx", "A 26633-2019")</f>
        <v/>
      </c>
      <c r="Y188">
        <f>HYPERLINK("https://klasma.github.io/Logging_2283/tillsynsmail/A 26633-2019 tillsynsmail.docx", "A 26633-2019")</f>
        <v/>
      </c>
    </row>
    <row r="189" ht="15" customHeight="1">
      <c r="A189" t="inlineStr">
        <is>
          <t>A 41785-2019</t>
        </is>
      </c>
      <c r="B189" s="1" t="n">
        <v>43699</v>
      </c>
      <c r="C189" s="1" t="n">
        <v>45212</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HYPERLINK("https://klasma.github.io/Logging_2283/artfynd/A 41785-2019 artfynd.xlsx", "A 41785-2019")</f>
        <v/>
      </c>
      <c r="T189">
        <f>HYPERLINK("https://klasma.github.io/Logging_2283/karta/A 41785-2019 karta.png", "A 41785-2019")</f>
        <v/>
      </c>
      <c r="V189">
        <f>HYPERLINK("https://klasma.github.io/Logging_2283/klagomål/A 41785-2019 klagomål.docx", "A 41785-2019")</f>
        <v/>
      </c>
      <c r="W189">
        <f>HYPERLINK("https://klasma.github.io/Logging_2283/klagomålsmail/A 41785-2019 klagomålsmail.docx", "A 41785-2019")</f>
        <v/>
      </c>
      <c r="X189">
        <f>HYPERLINK("https://klasma.github.io/Logging_2283/tillsyn/A 41785-2019 tillsyn.docx", "A 41785-2019")</f>
        <v/>
      </c>
      <c r="Y189">
        <f>HYPERLINK("https://klasma.github.io/Logging_2283/tillsynsmail/A 41785-2019 tillsynsmail.docx", "A 41785-2019")</f>
        <v/>
      </c>
    </row>
    <row r="190" ht="15" customHeight="1">
      <c r="A190" t="inlineStr">
        <is>
          <t>A 49980-2019</t>
        </is>
      </c>
      <c r="B190" s="1" t="n">
        <v>43733</v>
      </c>
      <c r="C190" s="1" t="n">
        <v>45212</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HYPERLINK("https://klasma.github.io/Logging_2281/artfynd/A 49980-2019 artfynd.xlsx", "A 49980-2019")</f>
        <v/>
      </c>
      <c r="T190">
        <f>HYPERLINK("https://klasma.github.io/Logging_2281/karta/A 49980-2019 karta.png", "A 49980-2019")</f>
        <v/>
      </c>
      <c r="U190">
        <f>HYPERLINK("https://klasma.github.io/Logging_2281/knärot/A 49980-2019 knärot.png", "A 49980-2019")</f>
        <v/>
      </c>
      <c r="V190">
        <f>HYPERLINK("https://klasma.github.io/Logging_2281/klagomål/A 49980-2019 klagomål.docx", "A 49980-2019")</f>
        <v/>
      </c>
      <c r="W190">
        <f>HYPERLINK("https://klasma.github.io/Logging_2281/klagomålsmail/A 49980-2019 klagomålsmail.docx", "A 49980-2019")</f>
        <v/>
      </c>
      <c r="X190">
        <f>HYPERLINK("https://klasma.github.io/Logging_2281/tillsyn/A 49980-2019 tillsyn.docx", "A 49980-2019")</f>
        <v/>
      </c>
      <c r="Y190">
        <f>HYPERLINK("https://klasma.github.io/Logging_2281/tillsynsmail/A 49980-2019 tillsynsmail.docx", "A 49980-2019")</f>
        <v/>
      </c>
    </row>
    <row r="191" ht="15" customHeight="1">
      <c r="A191" t="inlineStr">
        <is>
          <t>A 60390-2019</t>
        </is>
      </c>
      <c r="B191" s="1" t="n">
        <v>43780</v>
      </c>
      <c r="C191" s="1" t="n">
        <v>45212</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HYPERLINK("https://klasma.github.io/Logging_2282/artfynd/A 60390-2019 artfynd.xlsx", "A 60390-2019")</f>
        <v/>
      </c>
      <c r="T191">
        <f>HYPERLINK("https://klasma.github.io/Logging_2282/karta/A 60390-2019 karta.png", "A 60390-2019")</f>
        <v/>
      </c>
      <c r="V191">
        <f>HYPERLINK("https://klasma.github.io/Logging_2282/klagomål/A 60390-2019 klagomål.docx", "A 60390-2019")</f>
        <v/>
      </c>
      <c r="W191">
        <f>HYPERLINK("https://klasma.github.io/Logging_2282/klagomålsmail/A 60390-2019 klagomålsmail.docx", "A 60390-2019")</f>
        <v/>
      </c>
      <c r="X191">
        <f>HYPERLINK("https://klasma.github.io/Logging_2282/tillsyn/A 60390-2019 tillsyn.docx", "A 60390-2019")</f>
        <v/>
      </c>
      <c r="Y191">
        <f>HYPERLINK("https://klasma.github.io/Logging_2282/tillsynsmail/A 60390-2019 tillsynsmail.docx", "A 60390-2019")</f>
        <v/>
      </c>
    </row>
    <row r="192" ht="15" customHeight="1">
      <c r="A192" t="inlineStr">
        <is>
          <t>A 11693-2020</t>
        </is>
      </c>
      <c r="B192" s="1" t="n">
        <v>43893</v>
      </c>
      <c r="C192" s="1" t="n">
        <v>45212</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HYPERLINK("https://klasma.github.io/Logging_2280/artfynd/A 11693-2020 artfynd.xlsx", "A 11693-2020")</f>
        <v/>
      </c>
      <c r="T192">
        <f>HYPERLINK("https://klasma.github.io/Logging_2280/karta/A 11693-2020 karta.png", "A 11693-2020")</f>
        <v/>
      </c>
      <c r="V192">
        <f>HYPERLINK("https://klasma.github.io/Logging_2280/klagomål/A 11693-2020 klagomål.docx", "A 11693-2020")</f>
        <v/>
      </c>
      <c r="W192">
        <f>HYPERLINK("https://klasma.github.io/Logging_2280/klagomålsmail/A 11693-2020 klagomålsmail.docx", "A 11693-2020")</f>
        <v/>
      </c>
      <c r="X192">
        <f>HYPERLINK("https://klasma.github.io/Logging_2280/tillsyn/A 11693-2020 tillsyn.docx", "A 11693-2020")</f>
        <v/>
      </c>
      <c r="Y192">
        <f>HYPERLINK("https://klasma.github.io/Logging_2280/tillsynsmail/A 11693-2020 tillsynsmail.docx", "A 11693-2020")</f>
        <v/>
      </c>
    </row>
    <row r="193" ht="15" customHeight="1">
      <c r="A193" t="inlineStr">
        <is>
          <t>A 17788-2020</t>
        </is>
      </c>
      <c r="B193" s="1" t="n">
        <v>43924</v>
      </c>
      <c r="C193" s="1" t="n">
        <v>45212</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HYPERLINK("https://klasma.github.io/Logging_2282/artfynd/A 17788-2020 artfynd.xlsx", "A 17788-2020")</f>
        <v/>
      </c>
      <c r="T193">
        <f>HYPERLINK("https://klasma.github.io/Logging_2282/karta/A 17788-2020 karta.png", "A 17788-2020")</f>
        <v/>
      </c>
      <c r="V193">
        <f>HYPERLINK("https://klasma.github.io/Logging_2282/klagomål/A 17788-2020 klagomål.docx", "A 17788-2020")</f>
        <v/>
      </c>
      <c r="W193">
        <f>HYPERLINK("https://klasma.github.io/Logging_2282/klagomålsmail/A 17788-2020 klagomålsmail.docx", "A 17788-2020")</f>
        <v/>
      </c>
      <c r="X193">
        <f>HYPERLINK("https://klasma.github.io/Logging_2282/tillsyn/A 17788-2020 tillsyn.docx", "A 17788-2020")</f>
        <v/>
      </c>
      <c r="Y193">
        <f>HYPERLINK("https://klasma.github.io/Logging_2282/tillsynsmail/A 17788-2020 tillsynsmail.docx", "A 17788-2020")</f>
        <v/>
      </c>
    </row>
    <row r="194" ht="15" customHeight="1">
      <c r="A194" t="inlineStr">
        <is>
          <t>A 19798-2020</t>
        </is>
      </c>
      <c r="B194" s="1" t="n">
        <v>43937</v>
      </c>
      <c r="C194" s="1" t="n">
        <v>45212</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HYPERLINK("https://klasma.github.io/Logging_2262/artfynd/A 19798-2020 artfynd.xlsx", "A 19798-2020")</f>
        <v/>
      </c>
      <c r="T194">
        <f>HYPERLINK("https://klasma.github.io/Logging_2262/karta/A 19798-2020 karta.png", "A 19798-2020")</f>
        <v/>
      </c>
      <c r="V194">
        <f>HYPERLINK("https://klasma.github.io/Logging_2262/klagomål/A 19798-2020 klagomål.docx", "A 19798-2020")</f>
        <v/>
      </c>
      <c r="W194">
        <f>HYPERLINK("https://klasma.github.io/Logging_2262/klagomålsmail/A 19798-2020 klagomålsmail.docx", "A 19798-2020")</f>
        <v/>
      </c>
      <c r="X194">
        <f>HYPERLINK("https://klasma.github.io/Logging_2262/tillsyn/A 19798-2020 tillsyn.docx", "A 19798-2020")</f>
        <v/>
      </c>
      <c r="Y194">
        <f>HYPERLINK("https://klasma.github.io/Logging_2262/tillsynsmail/A 19798-2020 tillsynsmail.docx", "A 19798-2020")</f>
        <v/>
      </c>
    </row>
    <row r="195" ht="15" customHeight="1">
      <c r="A195" t="inlineStr">
        <is>
          <t>A 36967-2020</t>
        </is>
      </c>
      <c r="B195" s="1" t="n">
        <v>44053</v>
      </c>
      <c r="C195" s="1" t="n">
        <v>45212</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HYPERLINK("https://klasma.github.io/Logging_2281/artfynd/A 36967-2020 artfynd.xlsx", "A 36967-2020")</f>
        <v/>
      </c>
      <c r="T195">
        <f>HYPERLINK("https://klasma.github.io/Logging_2281/karta/A 36967-2020 karta.png", "A 36967-2020")</f>
        <v/>
      </c>
      <c r="U195">
        <f>HYPERLINK("https://klasma.github.io/Logging_2281/knärot/A 36967-2020 knärot.png", "A 36967-2020")</f>
        <v/>
      </c>
      <c r="V195">
        <f>HYPERLINK("https://klasma.github.io/Logging_2281/klagomål/A 36967-2020 klagomål.docx", "A 36967-2020")</f>
        <v/>
      </c>
      <c r="W195">
        <f>HYPERLINK("https://klasma.github.io/Logging_2281/klagomålsmail/A 36967-2020 klagomålsmail.docx", "A 36967-2020")</f>
        <v/>
      </c>
      <c r="X195">
        <f>HYPERLINK("https://klasma.github.io/Logging_2281/tillsyn/A 36967-2020 tillsyn.docx", "A 36967-2020")</f>
        <v/>
      </c>
      <c r="Y195">
        <f>HYPERLINK("https://klasma.github.io/Logging_2281/tillsynsmail/A 36967-2020 tillsynsmail.docx", "A 36967-2020")</f>
        <v/>
      </c>
    </row>
    <row r="196" ht="15" customHeight="1">
      <c r="A196" t="inlineStr">
        <is>
          <t>A 44496-2020</t>
        </is>
      </c>
      <c r="B196" s="1" t="n">
        <v>44084</v>
      </c>
      <c r="C196" s="1" t="n">
        <v>45212</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HYPERLINK("https://klasma.github.io/Logging_2281/artfynd/A 44496-2020 artfynd.xlsx", "A 44496-2020")</f>
        <v/>
      </c>
      <c r="T196">
        <f>HYPERLINK("https://klasma.github.io/Logging_2281/karta/A 44496-2020 karta.png", "A 44496-2020")</f>
        <v/>
      </c>
      <c r="U196">
        <f>HYPERLINK("https://klasma.github.io/Logging_2281/knärot/A 44496-2020 knärot.png", "A 44496-2020")</f>
        <v/>
      </c>
      <c r="V196">
        <f>HYPERLINK("https://klasma.github.io/Logging_2281/klagomål/A 44496-2020 klagomål.docx", "A 44496-2020")</f>
        <v/>
      </c>
      <c r="W196">
        <f>HYPERLINK("https://klasma.github.io/Logging_2281/klagomålsmail/A 44496-2020 klagomålsmail.docx", "A 44496-2020")</f>
        <v/>
      </c>
      <c r="X196">
        <f>HYPERLINK("https://klasma.github.io/Logging_2281/tillsyn/A 44496-2020 tillsyn.docx", "A 44496-2020")</f>
        <v/>
      </c>
      <c r="Y196">
        <f>HYPERLINK("https://klasma.github.io/Logging_2281/tillsynsmail/A 44496-2020 tillsynsmail.docx", "A 44496-2020")</f>
        <v/>
      </c>
    </row>
    <row r="197" ht="15" customHeight="1">
      <c r="A197" t="inlineStr">
        <is>
          <t>A 50152-2020</t>
        </is>
      </c>
      <c r="B197" s="1" t="n">
        <v>44104</v>
      </c>
      <c r="C197" s="1" t="n">
        <v>45212</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HYPERLINK("https://klasma.github.io/Logging_2281/artfynd/A 50152-2020 artfynd.xlsx", "A 50152-2020")</f>
        <v/>
      </c>
      <c r="T197">
        <f>HYPERLINK("https://klasma.github.io/Logging_2281/karta/A 50152-2020 karta.png", "A 50152-2020")</f>
        <v/>
      </c>
      <c r="U197">
        <f>HYPERLINK("https://klasma.github.io/Logging_2281/knärot/A 50152-2020 knärot.png", "A 50152-2020")</f>
        <v/>
      </c>
      <c r="V197">
        <f>HYPERLINK("https://klasma.github.io/Logging_2281/klagomål/A 50152-2020 klagomål.docx", "A 50152-2020")</f>
        <v/>
      </c>
      <c r="W197">
        <f>HYPERLINK("https://klasma.github.io/Logging_2281/klagomålsmail/A 50152-2020 klagomålsmail.docx", "A 50152-2020")</f>
        <v/>
      </c>
      <c r="X197">
        <f>HYPERLINK("https://klasma.github.io/Logging_2281/tillsyn/A 50152-2020 tillsyn.docx", "A 50152-2020")</f>
        <v/>
      </c>
      <c r="Y197">
        <f>HYPERLINK("https://klasma.github.io/Logging_2281/tillsynsmail/A 50152-2020 tillsynsmail.docx", "A 50152-2020")</f>
        <v/>
      </c>
    </row>
    <row r="198" ht="15" customHeight="1">
      <c r="A198" t="inlineStr">
        <is>
          <t>A 50644-2020</t>
        </is>
      </c>
      <c r="B198" s="1" t="n">
        <v>44110</v>
      </c>
      <c r="C198" s="1" t="n">
        <v>45212</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HYPERLINK("https://klasma.github.io/Logging_2280/artfynd/A 50644-2020 artfynd.xlsx", "A 50644-2020")</f>
        <v/>
      </c>
      <c r="T198">
        <f>HYPERLINK("https://klasma.github.io/Logging_2280/karta/A 50644-2020 karta.png", "A 50644-2020")</f>
        <v/>
      </c>
      <c r="U198">
        <f>HYPERLINK("https://klasma.github.io/Logging_2280/knärot/A 50644-2020 knärot.png", "A 50644-2020")</f>
        <v/>
      </c>
      <c r="V198">
        <f>HYPERLINK("https://klasma.github.io/Logging_2280/klagomål/A 50644-2020 klagomål.docx", "A 50644-2020")</f>
        <v/>
      </c>
      <c r="W198">
        <f>HYPERLINK("https://klasma.github.io/Logging_2280/klagomålsmail/A 50644-2020 klagomålsmail.docx", "A 50644-2020")</f>
        <v/>
      </c>
      <c r="X198">
        <f>HYPERLINK("https://klasma.github.io/Logging_2280/tillsyn/A 50644-2020 tillsyn.docx", "A 50644-2020")</f>
        <v/>
      </c>
      <c r="Y198">
        <f>HYPERLINK("https://klasma.github.io/Logging_2280/tillsynsmail/A 50644-2020 tillsynsmail.docx", "A 50644-2020")</f>
        <v/>
      </c>
    </row>
    <row r="199" ht="15" customHeight="1">
      <c r="A199" t="inlineStr">
        <is>
          <t>A 51572-2020</t>
        </is>
      </c>
      <c r="B199" s="1" t="n">
        <v>44113</v>
      </c>
      <c r="C199" s="1" t="n">
        <v>45212</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HYPERLINK("https://klasma.github.io/Logging_2260/artfynd/A 51572-2020 artfynd.xlsx", "A 51572-2020")</f>
        <v/>
      </c>
      <c r="T199">
        <f>HYPERLINK("https://klasma.github.io/Logging_2260/karta/A 51572-2020 karta.png", "A 51572-2020")</f>
        <v/>
      </c>
      <c r="V199">
        <f>HYPERLINK("https://klasma.github.io/Logging_2260/klagomål/A 51572-2020 klagomål.docx", "A 51572-2020")</f>
        <v/>
      </c>
      <c r="W199">
        <f>HYPERLINK("https://klasma.github.io/Logging_2260/klagomålsmail/A 51572-2020 klagomålsmail.docx", "A 51572-2020")</f>
        <v/>
      </c>
      <c r="X199">
        <f>HYPERLINK("https://klasma.github.io/Logging_2260/tillsyn/A 51572-2020 tillsyn.docx", "A 51572-2020")</f>
        <v/>
      </c>
      <c r="Y199">
        <f>HYPERLINK("https://klasma.github.io/Logging_2260/tillsynsmail/A 51572-2020 tillsynsmail.docx", "A 51572-2020")</f>
        <v/>
      </c>
    </row>
    <row r="200" ht="15" customHeight="1">
      <c r="A200" t="inlineStr">
        <is>
          <t>A 57076-2020</t>
        </is>
      </c>
      <c r="B200" s="1" t="n">
        <v>44138</v>
      </c>
      <c r="C200" s="1" t="n">
        <v>45212</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HYPERLINK("https://klasma.github.io/Logging_2283/artfynd/A 57076-2020 artfynd.xlsx", "A 57076-2020")</f>
        <v/>
      </c>
      <c r="T200">
        <f>HYPERLINK("https://klasma.github.io/Logging_2283/karta/A 57076-2020 karta.png", "A 57076-2020")</f>
        <v/>
      </c>
      <c r="V200">
        <f>HYPERLINK("https://klasma.github.io/Logging_2283/klagomål/A 57076-2020 klagomål.docx", "A 57076-2020")</f>
        <v/>
      </c>
      <c r="W200">
        <f>HYPERLINK("https://klasma.github.io/Logging_2283/klagomålsmail/A 57076-2020 klagomålsmail.docx", "A 57076-2020")</f>
        <v/>
      </c>
      <c r="X200">
        <f>HYPERLINK("https://klasma.github.io/Logging_2283/tillsyn/A 57076-2020 tillsyn.docx", "A 57076-2020")</f>
        <v/>
      </c>
      <c r="Y200">
        <f>HYPERLINK("https://klasma.github.io/Logging_2283/tillsynsmail/A 57076-2020 tillsynsmail.docx", "A 57076-2020")</f>
        <v/>
      </c>
    </row>
    <row r="201" ht="15" customHeight="1">
      <c r="A201" t="inlineStr">
        <is>
          <t>A 58590-2020</t>
        </is>
      </c>
      <c r="B201" s="1" t="n">
        <v>44145</v>
      </c>
      <c r="C201" s="1" t="n">
        <v>45212</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HYPERLINK("https://klasma.github.io/Logging_2284/artfynd/A 58590-2020 artfynd.xlsx", "A 58590-2020")</f>
        <v/>
      </c>
      <c r="T201">
        <f>HYPERLINK("https://klasma.github.io/Logging_2284/karta/A 58590-2020 karta.png", "A 58590-2020")</f>
        <v/>
      </c>
      <c r="V201">
        <f>HYPERLINK("https://klasma.github.io/Logging_2284/klagomål/A 58590-2020 klagomål.docx", "A 58590-2020")</f>
        <v/>
      </c>
      <c r="W201">
        <f>HYPERLINK("https://klasma.github.io/Logging_2284/klagomålsmail/A 58590-2020 klagomålsmail.docx", "A 58590-2020")</f>
        <v/>
      </c>
      <c r="X201">
        <f>HYPERLINK("https://klasma.github.io/Logging_2284/tillsyn/A 58590-2020 tillsyn.docx", "A 58590-2020")</f>
        <v/>
      </c>
      <c r="Y201">
        <f>HYPERLINK("https://klasma.github.io/Logging_2284/tillsynsmail/A 58590-2020 tillsynsmail.docx", "A 58590-2020")</f>
        <v/>
      </c>
    </row>
    <row r="202" ht="15" customHeight="1">
      <c r="A202" t="inlineStr">
        <is>
          <t>A 62577-2020</t>
        </is>
      </c>
      <c r="B202" s="1" t="n">
        <v>44160</v>
      </c>
      <c r="C202" s="1" t="n">
        <v>45212</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HYPERLINK("https://klasma.github.io/Logging_2260/artfynd/A 62577-2020 artfynd.xlsx", "A 62577-2020")</f>
        <v/>
      </c>
      <c r="T202">
        <f>HYPERLINK("https://klasma.github.io/Logging_2260/karta/A 62577-2020 karta.png", "A 62577-2020")</f>
        <v/>
      </c>
      <c r="V202">
        <f>HYPERLINK("https://klasma.github.io/Logging_2260/klagomål/A 62577-2020 klagomål.docx", "A 62577-2020")</f>
        <v/>
      </c>
      <c r="W202">
        <f>HYPERLINK("https://klasma.github.io/Logging_2260/klagomålsmail/A 62577-2020 klagomålsmail.docx", "A 62577-2020")</f>
        <v/>
      </c>
      <c r="X202">
        <f>HYPERLINK("https://klasma.github.io/Logging_2260/tillsyn/A 62577-2020 tillsyn.docx", "A 62577-2020")</f>
        <v/>
      </c>
      <c r="Y202">
        <f>HYPERLINK("https://klasma.github.io/Logging_2260/tillsynsmail/A 62577-2020 tillsynsmail.docx", "A 62577-2020")</f>
        <v/>
      </c>
    </row>
    <row r="203" ht="15" customHeight="1">
      <c r="A203" t="inlineStr">
        <is>
          <t>A 66067-2020</t>
        </is>
      </c>
      <c r="B203" s="1" t="n">
        <v>44173</v>
      </c>
      <c r="C203" s="1" t="n">
        <v>45212</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HYPERLINK("https://klasma.github.io/Logging_2282/artfynd/A 66067-2020 artfynd.xlsx", "A 66067-2020")</f>
        <v/>
      </c>
      <c r="T203">
        <f>HYPERLINK("https://klasma.github.io/Logging_2282/karta/A 66067-2020 karta.png", "A 66067-2020")</f>
        <v/>
      </c>
      <c r="V203">
        <f>HYPERLINK("https://klasma.github.io/Logging_2282/klagomål/A 66067-2020 klagomål.docx", "A 66067-2020")</f>
        <v/>
      </c>
      <c r="W203">
        <f>HYPERLINK("https://klasma.github.io/Logging_2282/klagomålsmail/A 66067-2020 klagomålsmail.docx", "A 66067-2020")</f>
        <v/>
      </c>
      <c r="X203">
        <f>HYPERLINK("https://klasma.github.io/Logging_2282/tillsyn/A 66067-2020 tillsyn.docx", "A 66067-2020")</f>
        <v/>
      </c>
      <c r="Y203">
        <f>HYPERLINK("https://klasma.github.io/Logging_2282/tillsynsmail/A 66067-2020 tillsynsmail.docx", "A 66067-2020")</f>
        <v/>
      </c>
    </row>
    <row r="204" ht="15" customHeight="1">
      <c r="A204" t="inlineStr">
        <is>
          <t>A 8056-2021</t>
        </is>
      </c>
      <c r="B204" s="1" t="n">
        <v>44243</v>
      </c>
      <c r="C204" s="1" t="n">
        <v>45212</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HYPERLINK("https://klasma.github.io/Logging_2282/artfynd/A 8056-2021 artfynd.xlsx", "A 8056-2021")</f>
        <v/>
      </c>
      <c r="T204">
        <f>HYPERLINK("https://klasma.github.io/Logging_2282/karta/A 8056-2021 karta.png", "A 8056-2021")</f>
        <v/>
      </c>
      <c r="V204">
        <f>HYPERLINK("https://klasma.github.io/Logging_2282/klagomål/A 8056-2021 klagomål.docx", "A 8056-2021")</f>
        <v/>
      </c>
      <c r="W204">
        <f>HYPERLINK("https://klasma.github.io/Logging_2282/klagomålsmail/A 8056-2021 klagomålsmail.docx", "A 8056-2021")</f>
        <v/>
      </c>
      <c r="X204">
        <f>HYPERLINK("https://klasma.github.io/Logging_2282/tillsyn/A 8056-2021 tillsyn.docx", "A 8056-2021")</f>
        <v/>
      </c>
      <c r="Y204">
        <f>HYPERLINK("https://klasma.github.io/Logging_2282/tillsynsmail/A 8056-2021 tillsynsmail.docx", "A 8056-2021")</f>
        <v/>
      </c>
    </row>
    <row r="205" ht="15" customHeight="1">
      <c r="A205" t="inlineStr">
        <is>
          <t>A 61910-2021</t>
        </is>
      </c>
      <c r="B205" s="1" t="n">
        <v>44502</v>
      </c>
      <c r="C205" s="1" t="n">
        <v>45212</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HYPERLINK("https://klasma.github.io/Logging_2260/artfynd/A 61910-2021 artfynd.xlsx", "A 61910-2021")</f>
        <v/>
      </c>
      <c r="T205">
        <f>HYPERLINK("https://klasma.github.io/Logging_2260/karta/A 61910-2021 karta.png", "A 61910-2021")</f>
        <v/>
      </c>
      <c r="V205">
        <f>HYPERLINK("https://klasma.github.io/Logging_2260/klagomål/A 61910-2021 klagomål.docx", "A 61910-2021")</f>
        <v/>
      </c>
      <c r="W205">
        <f>HYPERLINK("https://klasma.github.io/Logging_2260/klagomålsmail/A 61910-2021 klagomålsmail.docx", "A 61910-2021")</f>
        <v/>
      </c>
      <c r="X205">
        <f>HYPERLINK("https://klasma.github.io/Logging_2260/tillsyn/A 61910-2021 tillsyn.docx", "A 61910-2021")</f>
        <v/>
      </c>
      <c r="Y205">
        <f>HYPERLINK("https://klasma.github.io/Logging_2260/tillsynsmail/A 61910-2021 tillsynsmail.docx", "A 61910-2021")</f>
        <v/>
      </c>
    </row>
    <row r="206" ht="15" customHeight="1">
      <c r="A206" t="inlineStr">
        <is>
          <t>A 69250-2021</t>
        </is>
      </c>
      <c r="B206" s="1" t="n">
        <v>44531</v>
      </c>
      <c r="C206" s="1" t="n">
        <v>45212</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HYPERLINK("https://klasma.github.io/Logging_2284/artfynd/A 69250-2021 artfynd.xlsx", "A 69250-2021")</f>
        <v/>
      </c>
      <c r="T206">
        <f>HYPERLINK("https://klasma.github.io/Logging_2284/karta/A 69250-2021 karta.png", "A 69250-2021")</f>
        <v/>
      </c>
      <c r="V206">
        <f>HYPERLINK("https://klasma.github.io/Logging_2284/klagomål/A 69250-2021 klagomål.docx", "A 69250-2021")</f>
        <v/>
      </c>
      <c r="W206">
        <f>HYPERLINK("https://klasma.github.io/Logging_2284/klagomålsmail/A 69250-2021 klagomålsmail.docx", "A 69250-2021")</f>
        <v/>
      </c>
      <c r="X206">
        <f>HYPERLINK("https://klasma.github.io/Logging_2284/tillsyn/A 69250-2021 tillsyn.docx", "A 69250-2021")</f>
        <v/>
      </c>
      <c r="Y206">
        <f>HYPERLINK("https://klasma.github.io/Logging_2284/tillsynsmail/A 69250-2021 tillsynsmail.docx", "A 69250-2021")</f>
        <v/>
      </c>
    </row>
    <row r="207" ht="15" customHeight="1">
      <c r="A207" t="inlineStr">
        <is>
          <t>A 10400-2022</t>
        </is>
      </c>
      <c r="B207" s="1" t="n">
        <v>44623</v>
      </c>
      <c r="C207" s="1" t="n">
        <v>45212</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HYPERLINK("https://klasma.github.io/Logging_2283/artfynd/A 10400-2022 artfynd.xlsx", "A 10400-2022")</f>
        <v/>
      </c>
      <c r="T207">
        <f>HYPERLINK("https://klasma.github.io/Logging_2283/karta/A 10400-2022 karta.png", "A 10400-2022")</f>
        <v/>
      </c>
      <c r="V207">
        <f>HYPERLINK("https://klasma.github.io/Logging_2283/klagomål/A 10400-2022 klagomål.docx", "A 10400-2022")</f>
        <v/>
      </c>
      <c r="W207">
        <f>HYPERLINK("https://klasma.github.io/Logging_2283/klagomålsmail/A 10400-2022 klagomålsmail.docx", "A 10400-2022")</f>
        <v/>
      </c>
      <c r="X207">
        <f>HYPERLINK("https://klasma.github.io/Logging_2283/tillsyn/A 10400-2022 tillsyn.docx", "A 10400-2022")</f>
        <v/>
      </c>
      <c r="Y207">
        <f>HYPERLINK("https://klasma.github.io/Logging_2283/tillsynsmail/A 10400-2022 tillsynsmail.docx", "A 10400-2022")</f>
        <v/>
      </c>
    </row>
    <row r="208" ht="15" customHeight="1">
      <c r="A208" t="inlineStr">
        <is>
          <t>A 26657-2022</t>
        </is>
      </c>
      <c r="B208" s="1" t="n">
        <v>44739</v>
      </c>
      <c r="C208" s="1" t="n">
        <v>45212</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HYPERLINK("https://klasma.github.io/Logging_2283/artfynd/A 26657-2022 artfynd.xlsx", "A 26657-2022")</f>
        <v/>
      </c>
      <c r="T208">
        <f>HYPERLINK("https://klasma.github.io/Logging_2283/karta/A 26657-2022 karta.png", "A 26657-2022")</f>
        <v/>
      </c>
      <c r="U208">
        <f>HYPERLINK("https://klasma.github.io/Logging_2283/knärot/A 26657-2022 knärot.png", "A 26657-2022")</f>
        <v/>
      </c>
      <c r="V208">
        <f>HYPERLINK("https://klasma.github.io/Logging_2283/klagomål/A 26657-2022 klagomål.docx", "A 26657-2022")</f>
        <v/>
      </c>
      <c r="W208">
        <f>HYPERLINK("https://klasma.github.io/Logging_2283/klagomålsmail/A 26657-2022 klagomålsmail.docx", "A 26657-2022")</f>
        <v/>
      </c>
      <c r="X208">
        <f>HYPERLINK("https://klasma.github.io/Logging_2283/tillsyn/A 26657-2022 tillsyn.docx", "A 26657-2022")</f>
        <v/>
      </c>
      <c r="Y208">
        <f>HYPERLINK("https://klasma.github.io/Logging_2283/tillsynsmail/A 26657-2022 tillsynsmail.docx", "A 26657-2022")</f>
        <v/>
      </c>
    </row>
    <row r="209" ht="15" customHeight="1">
      <c r="A209" t="inlineStr">
        <is>
          <t>A 31364-2022</t>
        </is>
      </c>
      <c r="B209" s="1" t="n">
        <v>44774</v>
      </c>
      <c r="C209" s="1" t="n">
        <v>45212</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HYPERLINK("https://klasma.github.io/Logging_2260/artfynd/A 31364-2022 artfynd.xlsx", "A 31364-2022")</f>
        <v/>
      </c>
      <c r="T209">
        <f>HYPERLINK("https://klasma.github.io/Logging_2260/karta/A 31364-2022 karta.png", "A 31364-2022")</f>
        <v/>
      </c>
      <c r="V209">
        <f>HYPERLINK("https://klasma.github.io/Logging_2260/klagomål/A 31364-2022 klagomål.docx", "A 31364-2022")</f>
        <v/>
      </c>
      <c r="W209">
        <f>HYPERLINK("https://klasma.github.io/Logging_2260/klagomålsmail/A 31364-2022 klagomålsmail.docx", "A 31364-2022")</f>
        <v/>
      </c>
      <c r="X209">
        <f>HYPERLINK("https://klasma.github.io/Logging_2260/tillsyn/A 31364-2022 tillsyn.docx", "A 31364-2022")</f>
        <v/>
      </c>
      <c r="Y209">
        <f>HYPERLINK("https://klasma.github.io/Logging_2260/tillsynsmail/A 31364-2022 tillsynsmail.docx", "A 31364-2022")</f>
        <v/>
      </c>
    </row>
    <row r="210" ht="15" customHeight="1">
      <c r="A210" t="inlineStr">
        <is>
          <t>A 31677-2022</t>
        </is>
      </c>
      <c r="B210" s="1" t="n">
        <v>44776</v>
      </c>
      <c r="C210" s="1" t="n">
        <v>45212</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HYPERLINK("https://klasma.github.io/Logging_2284/artfynd/A 31677-2022 artfynd.xlsx", "A 31677-2022")</f>
        <v/>
      </c>
      <c r="T210">
        <f>HYPERLINK("https://klasma.github.io/Logging_2284/karta/A 31677-2022 karta.png", "A 31677-2022")</f>
        <v/>
      </c>
      <c r="V210">
        <f>HYPERLINK("https://klasma.github.io/Logging_2284/klagomål/A 31677-2022 klagomål.docx", "A 31677-2022")</f>
        <v/>
      </c>
      <c r="W210">
        <f>HYPERLINK("https://klasma.github.io/Logging_2284/klagomålsmail/A 31677-2022 klagomålsmail.docx", "A 31677-2022")</f>
        <v/>
      </c>
      <c r="X210">
        <f>HYPERLINK("https://klasma.github.io/Logging_2284/tillsyn/A 31677-2022 tillsyn.docx", "A 31677-2022")</f>
        <v/>
      </c>
      <c r="Y210">
        <f>HYPERLINK("https://klasma.github.io/Logging_2284/tillsynsmail/A 31677-2022 tillsynsmail.docx", "A 31677-2022")</f>
        <v/>
      </c>
    </row>
    <row r="211" ht="15" customHeight="1">
      <c r="A211" t="inlineStr">
        <is>
          <t>A 41169-2022</t>
        </is>
      </c>
      <c r="B211" s="1" t="n">
        <v>44825</v>
      </c>
      <c r="C211" s="1" t="n">
        <v>45212</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HYPERLINK("https://klasma.github.io/Logging_2283/artfynd/A 41169-2022 artfynd.xlsx", "A 41169-2022")</f>
        <v/>
      </c>
      <c r="T211">
        <f>HYPERLINK("https://klasma.github.io/Logging_2283/karta/A 41169-2022 karta.png", "A 41169-2022")</f>
        <v/>
      </c>
      <c r="V211">
        <f>HYPERLINK("https://klasma.github.io/Logging_2283/klagomål/A 41169-2022 klagomål.docx", "A 41169-2022")</f>
        <v/>
      </c>
      <c r="W211">
        <f>HYPERLINK("https://klasma.github.io/Logging_2283/klagomålsmail/A 41169-2022 klagomålsmail.docx", "A 41169-2022")</f>
        <v/>
      </c>
      <c r="X211">
        <f>HYPERLINK("https://klasma.github.io/Logging_2283/tillsyn/A 41169-2022 tillsyn.docx", "A 41169-2022")</f>
        <v/>
      </c>
      <c r="Y211">
        <f>HYPERLINK("https://klasma.github.io/Logging_2283/tillsynsmail/A 41169-2022 tillsynsmail.docx", "A 41169-2022")</f>
        <v/>
      </c>
    </row>
    <row r="212" ht="15" customHeight="1">
      <c r="A212" t="inlineStr">
        <is>
          <t>A 42887-2022</t>
        </is>
      </c>
      <c r="B212" s="1" t="n">
        <v>44832</v>
      </c>
      <c r="C212" s="1" t="n">
        <v>45212</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HYPERLINK("https://klasma.github.io/Logging_2260/artfynd/A 42887-2022 artfynd.xlsx", "A 42887-2022")</f>
        <v/>
      </c>
      <c r="T212">
        <f>HYPERLINK("https://klasma.github.io/Logging_2260/karta/A 42887-2022 karta.png", "A 42887-2022")</f>
        <v/>
      </c>
      <c r="U212">
        <f>HYPERLINK("https://klasma.github.io/Logging_2260/knärot/A 42887-2022 knärot.png", "A 42887-2022")</f>
        <v/>
      </c>
      <c r="V212">
        <f>HYPERLINK("https://klasma.github.io/Logging_2260/klagomål/A 42887-2022 klagomål.docx", "A 42887-2022")</f>
        <v/>
      </c>
      <c r="W212">
        <f>HYPERLINK("https://klasma.github.io/Logging_2260/klagomålsmail/A 42887-2022 klagomålsmail.docx", "A 42887-2022")</f>
        <v/>
      </c>
      <c r="X212">
        <f>HYPERLINK("https://klasma.github.io/Logging_2260/tillsyn/A 42887-2022 tillsyn.docx", "A 42887-2022")</f>
        <v/>
      </c>
      <c r="Y212">
        <f>HYPERLINK("https://klasma.github.io/Logging_2260/tillsynsmail/A 42887-2022 tillsynsmail.docx", "A 42887-2022")</f>
        <v/>
      </c>
    </row>
    <row r="213" ht="15" customHeight="1">
      <c r="A213" t="inlineStr">
        <is>
          <t>A 49185-2022</t>
        </is>
      </c>
      <c r="B213" s="1" t="n">
        <v>44860</v>
      </c>
      <c r="C213" s="1" t="n">
        <v>45212</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HYPERLINK("https://klasma.github.io/Logging_2260/artfynd/A 49185-2022 artfynd.xlsx", "A 49185-2022")</f>
        <v/>
      </c>
      <c r="T213">
        <f>HYPERLINK("https://klasma.github.io/Logging_2260/karta/A 49185-2022 karta.png", "A 49185-2022")</f>
        <v/>
      </c>
      <c r="U213">
        <f>HYPERLINK("https://klasma.github.io/Logging_2260/knärot/A 49185-2022 knärot.png", "A 49185-2022")</f>
        <v/>
      </c>
      <c r="V213">
        <f>HYPERLINK("https://klasma.github.io/Logging_2260/klagomål/A 49185-2022 klagomål.docx", "A 49185-2022")</f>
        <v/>
      </c>
      <c r="W213">
        <f>HYPERLINK("https://klasma.github.io/Logging_2260/klagomålsmail/A 49185-2022 klagomålsmail.docx", "A 49185-2022")</f>
        <v/>
      </c>
      <c r="X213">
        <f>HYPERLINK("https://klasma.github.io/Logging_2260/tillsyn/A 49185-2022 tillsyn.docx", "A 49185-2022")</f>
        <v/>
      </c>
      <c r="Y213">
        <f>HYPERLINK("https://klasma.github.io/Logging_2260/tillsynsmail/A 49185-2022 tillsynsmail.docx", "A 49185-2022")</f>
        <v/>
      </c>
    </row>
    <row r="214" ht="15" customHeight="1">
      <c r="A214" t="inlineStr">
        <is>
          <t>A 52716-2022</t>
        </is>
      </c>
      <c r="B214" s="1" t="n">
        <v>44874</v>
      </c>
      <c r="C214" s="1" t="n">
        <v>45212</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HYPERLINK("https://klasma.github.io/Logging_2280/artfynd/A 52716-2022 artfynd.xlsx", "A 52716-2022")</f>
        <v/>
      </c>
      <c r="T214">
        <f>HYPERLINK("https://klasma.github.io/Logging_2280/karta/A 52716-2022 karta.png", "A 52716-2022")</f>
        <v/>
      </c>
      <c r="V214">
        <f>HYPERLINK("https://klasma.github.io/Logging_2280/klagomål/A 52716-2022 klagomål.docx", "A 52716-2022")</f>
        <v/>
      </c>
      <c r="W214">
        <f>HYPERLINK("https://klasma.github.io/Logging_2280/klagomålsmail/A 52716-2022 klagomålsmail.docx", "A 52716-2022")</f>
        <v/>
      </c>
      <c r="X214">
        <f>HYPERLINK("https://klasma.github.io/Logging_2280/tillsyn/A 52716-2022 tillsyn.docx", "A 52716-2022")</f>
        <v/>
      </c>
      <c r="Y214">
        <f>HYPERLINK("https://klasma.github.io/Logging_2280/tillsynsmail/A 52716-2022 tillsynsmail.docx", "A 52716-2022")</f>
        <v/>
      </c>
    </row>
    <row r="215" ht="15" customHeight="1">
      <c r="A215" t="inlineStr">
        <is>
          <t>A 58518-2022</t>
        </is>
      </c>
      <c r="B215" s="1" t="n">
        <v>44902</v>
      </c>
      <c r="C215" s="1" t="n">
        <v>45212</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HYPERLINK("https://klasma.github.io/Logging_2281/artfynd/A 58518-2022 artfynd.xlsx", "A 58518-2022")</f>
        <v/>
      </c>
      <c r="T215">
        <f>HYPERLINK("https://klasma.github.io/Logging_2281/karta/A 58518-2022 karta.png", "A 58518-2022")</f>
        <v/>
      </c>
      <c r="V215">
        <f>HYPERLINK("https://klasma.github.io/Logging_2281/klagomål/A 58518-2022 klagomål.docx", "A 58518-2022")</f>
        <v/>
      </c>
      <c r="W215">
        <f>HYPERLINK("https://klasma.github.io/Logging_2281/klagomålsmail/A 58518-2022 klagomålsmail.docx", "A 58518-2022")</f>
        <v/>
      </c>
      <c r="X215">
        <f>HYPERLINK("https://klasma.github.io/Logging_2281/tillsyn/A 58518-2022 tillsyn.docx", "A 58518-2022")</f>
        <v/>
      </c>
      <c r="Y215">
        <f>HYPERLINK("https://klasma.github.io/Logging_2281/tillsynsmail/A 58518-2022 tillsynsmail.docx", "A 58518-2022")</f>
        <v/>
      </c>
    </row>
    <row r="216" ht="15" customHeight="1">
      <c r="A216" t="inlineStr">
        <is>
          <t>A 81-2023</t>
        </is>
      </c>
      <c r="B216" s="1" t="n">
        <v>44920</v>
      </c>
      <c r="C216" s="1" t="n">
        <v>45212</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HYPERLINK("https://klasma.github.io/Logging_2283/artfynd/A 81-2023 artfynd.xlsx", "A 81-2023")</f>
        <v/>
      </c>
      <c r="T216">
        <f>HYPERLINK("https://klasma.github.io/Logging_2283/karta/A 81-2023 karta.png", "A 81-2023")</f>
        <v/>
      </c>
      <c r="U216">
        <f>HYPERLINK("https://klasma.github.io/Logging_2283/knärot/A 81-2023 knärot.png", "A 81-2023")</f>
        <v/>
      </c>
      <c r="V216">
        <f>HYPERLINK("https://klasma.github.io/Logging_2283/klagomål/A 81-2023 klagomål.docx", "A 81-2023")</f>
        <v/>
      </c>
      <c r="W216">
        <f>HYPERLINK("https://klasma.github.io/Logging_2283/klagomålsmail/A 81-2023 klagomålsmail.docx", "A 81-2023")</f>
        <v/>
      </c>
      <c r="X216">
        <f>HYPERLINK("https://klasma.github.io/Logging_2283/tillsyn/A 81-2023 tillsyn.docx", "A 81-2023")</f>
        <v/>
      </c>
      <c r="Y216">
        <f>HYPERLINK("https://klasma.github.io/Logging_2283/tillsynsmail/A 81-2023 tillsynsmail.docx", "A 81-2023")</f>
        <v/>
      </c>
    </row>
    <row r="217" ht="15" customHeight="1">
      <c r="A217" t="inlineStr">
        <is>
          <t>A 13696-2023</t>
        </is>
      </c>
      <c r="B217" s="1" t="n">
        <v>45006</v>
      </c>
      <c r="C217" s="1" t="n">
        <v>45212</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HYPERLINK("https://klasma.github.io/Logging_2260/artfynd/A 13696-2023 artfynd.xlsx", "A 13696-2023")</f>
        <v/>
      </c>
      <c r="T217">
        <f>HYPERLINK("https://klasma.github.io/Logging_2260/karta/A 13696-2023 karta.png", "A 13696-2023")</f>
        <v/>
      </c>
      <c r="U217">
        <f>HYPERLINK("https://klasma.github.io/Logging_2260/knärot/A 13696-2023 knärot.png", "A 13696-2023")</f>
        <v/>
      </c>
      <c r="V217">
        <f>HYPERLINK("https://klasma.github.io/Logging_2260/klagomål/A 13696-2023 klagomål.docx", "A 13696-2023")</f>
        <v/>
      </c>
      <c r="W217">
        <f>HYPERLINK("https://klasma.github.io/Logging_2260/klagomålsmail/A 13696-2023 klagomålsmail.docx", "A 13696-2023")</f>
        <v/>
      </c>
      <c r="X217">
        <f>HYPERLINK("https://klasma.github.io/Logging_2260/tillsyn/A 13696-2023 tillsyn.docx", "A 13696-2023")</f>
        <v/>
      </c>
      <c r="Y217">
        <f>HYPERLINK("https://klasma.github.io/Logging_2260/tillsynsmail/A 13696-2023 tillsynsmail.docx", "A 13696-2023")</f>
        <v/>
      </c>
    </row>
    <row r="218" ht="15" customHeight="1">
      <c r="A218" t="inlineStr">
        <is>
          <t>A 14079-2023</t>
        </is>
      </c>
      <c r="B218" s="1" t="n">
        <v>45009</v>
      </c>
      <c r="C218" s="1" t="n">
        <v>45212</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HYPERLINK("https://klasma.github.io/Logging_2283/artfynd/A 14079-2023 artfynd.xlsx", "A 14079-2023")</f>
        <v/>
      </c>
      <c r="T218">
        <f>HYPERLINK("https://klasma.github.io/Logging_2283/karta/A 14079-2023 karta.png", "A 14079-2023")</f>
        <v/>
      </c>
      <c r="V218">
        <f>HYPERLINK("https://klasma.github.io/Logging_2283/klagomål/A 14079-2023 klagomål.docx", "A 14079-2023")</f>
        <v/>
      </c>
      <c r="W218">
        <f>HYPERLINK("https://klasma.github.io/Logging_2283/klagomålsmail/A 14079-2023 klagomålsmail.docx", "A 14079-2023")</f>
        <v/>
      </c>
      <c r="X218">
        <f>HYPERLINK("https://klasma.github.io/Logging_2283/tillsyn/A 14079-2023 tillsyn.docx", "A 14079-2023")</f>
        <v/>
      </c>
      <c r="Y218">
        <f>HYPERLINK("https://klasma.github.io/Logging_2283/tillsynsmail/A 14079-2023 tillsynsmail.docx", "A 14079-2023")</f>
        <v/>
      </c>
    </row>
    <row r="219" ht="15" customHeight="1">
      <c r="A219" t="inlineStr">
        <is>
          <t>A 18163-2023</t>
        </is>
      </c>
      <c r="B219" s="1" t="n">
        <v>45040</v>
      </c>
      <c r="C219" s="1" t="n">
        <v>45212</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HYPERLINK("https://klasma.github.io/Logging_2283/artfynd/A 18163-2023 artfynd.xlsx", "A 18163-2023")</f>
        <v/>
      </c>
      <c r="T219">
        <f>HYPERLINK("https://klasma.github.io/Logging_2283/karta/A 18163-2023 karta.png", "A 18163-2023")</f>
        <v/>
      </c>
      <c r="V219">
        <f>HYPERLINK("https://klasma.github.io/Logging_2283/klagomål/A 18163-2023 klagomål.docx", "A 18163-2023")</f>
        <v/>
      </c>
      <c r="W219">
        <f>HYPERLINK("https://klasma.github.io/Logging_2283/klagomålsmail/A 18163-2023 klagomålsmail.docx", "A 18163-2023")</f>
        <v/>
      </c>
      <c r="X219">
        <f>HYPERLINK("https://klasma.github.io/Logging_2283/tillsyn/A 18163-2023 tillsyn.docx", "A 18163-2023")</f>
        <v/>
      </c>
      <c r="Y219">
        <f>HYPERLINK("https://klasma.github.io/Logging_2283/tillsynsmail/A 18163-2023 tillsynsmail.docx", "A 18163-2023")</f>
        <v/>
      </c>
    </row>
    <row r="220" ht="15" customHeight="1">
      <c r="A220" t="inlineStr">
        <is>
          <t>A 22578-2023</t>
        </is>
      </c>
      <c r="B220" s="1" t="n">
        <v>45071</v>
      </c>
      <c r="C220" s="1" t="n">
        <v>45212</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HYPERLINK("https://klasma.github.io/Logging_2281/artfynd/A 22578-2023 artfynd.xlsx", "A 22578-2023")</f>
        <v/>
      </c>
      <c r="T220">
        <f>HYPERLINK("https://klasma.github.io/Logging_2281/karta/A 22578-2023 karta.png", "A 22578-2023")</f>
        <v/>
      </c>
      <c r="V220">
        <f>HYPERLINK("https://klasma.github.io/Logging_2281/klagomål/A 22578-2023 klagomål.docx", "A 22578-2023")</f>
        <v/>
      </c>
      <c r="W220">
        <f>HYPERLINK("https://klasma.github.io/Logging_2281/klagomålsmail/A 22578-2023 klagomålsmail.docx", "A 22578-2023")</f>
        <v/>
      </c>
      <c r="X220">
        <f>HYPERLINK("https://klasma.github.io/Logging_2281/tillsyn/A 22578-2023 tillsyn.docx", "A 22578-2023")</f>
        <v/>
      </c>
      <c r="Y220">
        <f>HYPERLINK("https://klasma.github.io/Logging_2281/tillsynsmail/A 22578-2023 tillsynsmail.docx", "A 22578-2023")</f>
        <v/>
      </c>
    </row>
    <row r="221" ht="15" customHeight="1">
      <c r="A221" t="inlineStr">
        <is>
          <t>A 27675-2023</t>
        </is>
      </c>
      <c r="B221" s="1" t="n">
        <v>45097</v>
      </c>
      <c r="C221" s="1" t="n">
        <v>45212</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HYPERLINK("https://klasma.github.io/Logging_2283/artfynd/A 27675-2023 artfynd.xlsx", "A 27675-2023")</f>
        <v/>
      </c>
      <c r="T221">
        <f>HYPERLINK("https://klasma.github.io/Logging_2283/karta/A 27675-2023 karta.png", "A 27675-2023")</f>
        <v/>
      </c>
      <c r="U221">
        <f>HYPERLINK("https://klasma.github.io/Logging_2283/knärot/A 27675-2023 knärot.png", "A 27675-2023")</f>
        <v/>
      </c>
      <c r="V221">
        <f>HYPERLINK("https://klasma.github.io/Logging_2283/klagomål/A 27675-2023 klagomål.docx", "A 27675-2023")</f>
        <v/>
      </c>
      <c r="W221">
        <f>HYPERLINK("https://klasma.github.io/Logging_2283/klagomålsmail/A 27675-2023 klagomålsmail.docx", "A 27675-2023")</f>
        <v/>
      </c>
      <c r="X221">
        <f>HYPERLINK("https://klasma.github.io/Logging_2283/tillsyn/A 27675-2023 tillsyn.docx", "A 27675-2023")</f>
        <v/>
      </c>
      <c r="Y221">
        <f>HYPERLINK("https://klasma.github.io/Logging_2283/tillsynsmail/A 27675-2023 tillsynsmail.docx", "A 27675-2023")</f>
        <v/>
      </c>
    </row>
    <row r="222" ht="15" customHeight="1">
      <c r="A222" t="inlineStr">
        <is>
          <t>A 30840-2023</t>
        </is>
      </c>
      <c r="B222" s="1" t="n">
        <v>45112</v>
      </c>
      <c r="C222" s="1" t="n">
        <v>45212</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HYPERLINK("https://klasma.github.io/Logging_2260/artfynd/A 30840-2023 artfynd.xlsx", "A 30840-2023")</f>
        <v/>
      </c>
      <c r="T222">
        <f>HYPERLINK("https://klasma.github.io/Logging_2260/karta/A 30840-2023 karta.png", "A 30840-2023")</f>
        <v/>
      </c>
      <c r="U222">
        <f>HYPERLINK("https://klasma.github.io/Logging_2260/knärot/A 30840-2023 knärot.png", "A 30840-2023")</f>
        <v/>
      </c>
      <c r="V222">
        <f>HYPERLINK("https://klasma.github.io/Logging_2260/klagomål/A 30840-2023 klagomål.docx", "A 30840-2023")</f>
        <v/>
      </c>
      <c r="W222">
        <f>HYPERLINK("https://klasma.github.io/Logging_2260/klagomålsmail/A 30840-2023 klagomålsmail.docx", "A 30840-2023")</f>
        <v/>
      </c>
      <c r="X222">
        <f>HYPERLINK("https://klasma.github.io/Logging_2260/tillsyn/A 30840-2023 tillsyn.docx", "A 30840-2023")</f>
        <v/>
      </c>
      <c r="Y222">
        <f>HYPERLINK("https://klasma.github.io/Logging_2260/tillsynsmail/A 30840-2023 tillsynsmail.docx", "A 30840-2023")</f>
        <v/>
      </c>
    </row>
    <row r="223" ht="15" customHeight="1">
      <c r="A223" t="inlineStr">
        <is>
          <t>A 30845-2023</t>
        </is>
      </c>
      <c r="B223" s="1" t="n">
        <v>45112</v>
      </c>
      <c r="C223" s="1" t="n">
        <v>45212</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HYPERLINK("https://klasma.github.io/Logging_2260/artfynd/A 30845-2023 artfynd.xlsx", "A 30845-2023")</f>
        <v/>
      </c>
      <c r="T223">
        <f>HYPERLINK("https://klasma.github.io/Logging_2260/karta/A 30845-2023 karta.png", "A 30845-2023")</f>
        <v/>
      </c>
      <c r="U223">
        <f>HYPERLINK("https://klasma.github.io/Logging_2260/knärot/A 30845-2023 knärot.png", "A 30845-2023")</f>
        <v/>
      </c>
      <c r="V223">
        <f>HYPERLINK("https://klasma.github.io/Logging_2260/klagomål/A 30845-2023 klagomål.docx", "A 30845-2023")</f>
        <v/>
      </c>
      <c r="W223">
        <f>HYPERLINK("https://klasma.github.io/Logging_2260/klagomålsmail/A 30845-2023 klagomålsmail.docx", "A 30845-2023")</f>
        <v/>
      </c>
      <c r="X223">
        <f>HYPERLINK("https://klasma.github.io/Logging_2260/tillsyn/A 30845-2023 tillsyn.docx", "A 30845-2023")</f>
        <v/>
      </c>
      <c r="Y223">
        <f>HYPERLINK("https://klasma.github.io/Logging_2260/tillsynsmail/A 30845-2023 tillsynsmail.docx", "A 30845-2023")</f>
        <v/>
      </c>
    </row>
    <row r="224" ht="15" customHeight="1">
      <c r="A224" t="inlineStr">
        <is>
          <t>A 30841-2023</t>
        </is>
      </c>
      <c r="B224" s="1" t="n">
        <v>45112</v>
      </c>
      <c r="C224" s="1" t="n">
        <v>45212</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HYPERLINK("https://klasma.github.io/Logging_2260/artfynd/A 30841-2023 artfynd.xlsx", "A 30841-2023")</f>
        <v/>
      </c>
      <c r="T224">
        <f>HYPERLINK("https://klasma.github.io/Logging_2260/karta/A 30841-2023 karta.png", "A 30841-2023")</f>
        <v/>
      </c>
      <c r="U224">
        <f>HYPERLINK("https://klasma.github.io/Logging_2260/knärot/A 30841-2023 knärot.png", "A 30841-2023")</f>
        <v/>
      </c>
      <c r="V224">
        <f>HYPERLINK("https://klasma.github.io/Logging_2260/klagomål/A 30841-2023 klagomål.docx", "A 30841-2023")</f>
        <v/>
      </c>
      <c r="W224">
        <f>HYPERLINK("https://klasma.github.io/Logging_2260/klagomålsmail/A 30841-2023 klagomålsmail.docx", "A 30841-2023")</f>
        <v/>
      </c>
      <c r="X224">
        <f>HYPERLINK("https://klasma.github.io/Logging_2260/tillsyn/A 30841-2023 tillsyn.docx", "A 30841-2023")</f>
        <v/>
      </c>
      <c r="Y224">
        <f>HYPERLINK("https://klasma.github.io/Logging_2260/tillsynsmail/A 30841-2023 tillsynsmail.docx", "A 30841-2023")</f>
        <v/>
      </c>
    </row>
    <row r="225" ht="15" customHeight="1">
      <c r="A225" t="inlineStr">
        <is>
          <t>A 57657-2018</t>
        </is>
      </c>
      <c r="B225" s="1" t="n">
        <v>43404</v>
      </c>
      <c r="C225" s="1" t="n">
        <v>45212</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HYPERLINK("https://klasma.github.io/Logging_2280/karta/A 57657-2018 karta.png", "A 57657-2018")</f>
        <v/>
      </c>
      <c r="V225">
        <f>HYPERLINK("https://klasma.github.io/Logging_2280/klagomål/A 57657-2018 klagomål.docx", "A 57657-2018")</f>
        <v/>
      </c>
      <c r="W225">
        <f>HYPERLINK("https://klasma.github.io/Logging_2280/klagomålsmail/A 57657-2018 klagomålsmail.docx", "A 57657-2018")</f>
        <v/>
      </c>
      <c r="X225">
        <f>HYPERLINK("https://klasma.github.io/Logging_2280/tillsyn/A 57657-2018 tillsyn.docx", "A 57657-2018")</f>
        <v/>
      </c>
      <c r="Y225">
        <f>HYPERLINK("https://klasma.github.io/Logging_2280/tillsynsmail/A 57657-2018 tillsynsmail.docx", "A 57657-2018")</f>
        <v/>
      </c>
    </row>
    <row r="226" ht="15" customHeight="1">
      <c r="A226" t="inlineStr">
        <is>
          <t>A 69754-2018</t>
        </is>
      </c>
      <c r="B226" s="1" t="n">
        <v>43444</v>
      </c>
      <c r="C226" s="1" t="n">
        <v>45212</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HYPERLINK("https://klasma.github.io/Logging_2260/karta/A 69754-2018 karta.png", "A 69754-2018")</f>
        <v/>
      </c>
      <c r="V226">
        <f>HYPERLINK("https://klasma.github.io/Logging_2260/klagomål/A 69754-2018 klagomål.docx", "A 69754-2018")</f>
        <v/>
      </c>
      <c r="W226">
        <f>HYPERLINK("https://klasma.github.io/Logging_2260/klagomålsmail/A 69754-2018 klagomålsmail.docx", "A 69754-2018")</f>
        <v/>
      </c>
      <c r="X226">
        <f>HYPERLINK("https://klasma.github.io/Logging_2260/tillsyn/A 69754-2018 tillsyn.docx", "A 69754-2018")</f>
        <v/>
      </c>
      <c r="Y226">
        <f>HYPERLINK("https://klasma.github.io/Logging_2260/tillsynsmail/A 69754-2018 tillsynsmail.docx", "A 69754-2018")</f>
        <v/>
      </c>
    </row>
    <row r="227" ht="15" customHeight="1">
      <c r="A227" t="inlineStr">
        <is>
          <t>A 2142-2019</t>
        </is>
      </c>
      <c r="B227" s="1" t="n">
        <v>43467</v>
      </c>
      <c r="C227" s="1" t="n">
        <v>45212</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HYPERLINK("https://klasma.github.io/Logging_2284/karta/A 2142-2019 karta.png", "A 2142-2019")</f>
        <v/>
      </c>
      <c r="V227">
        <f>HYPERLINK("https://klasma.github.io/Logging_2284/klagomål/A 2142-2019 klagomål.docx", "A 2142-2019")</f>
        <v/>
      </c>
      <c r="W227">
        <f>HYPERLINK("https://klasma.github.io/Logging_2284/klagomålsmail/A 2142-2019 klagomålsmail.docx", "A 2142-2019")</f>
        <v/>
      </c>
      <c r="X227">
        <f>HYPERLINK("https://klasma.github.io/Logging_2284/tillsyn/A 2142-2019 tillsyn.docx", "A 2142-2019")</f>
        <v/>
      </c>
      <c r="Y227">
        <f>HYPERLINK("https://klasma.github.io/Logging_2284/tillsynsmail/A 2142-2019 tillsynsmail.docx", "A 2142-2019")</f>
        <v/>
      </c>
    </row>
    <row r="228" ht="15" customHeight="1">
      <c r="A228" t="inlineStr">
        <is>
          <t>A 4937-2019</t>
        </is>
      </c>
      <c r="B228" s="1" t="n">
        <v>43479</v>
      </c>
      <c r="C228" s="1" t="n">
        <v>45212</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HYPERLINK("https://klasma.github.io/Logging_2281/karta/A 4937-2019 karta.png", "A 4937-2019")</f>
        <v/>
      </c>
      <c r="V228">
        <f>HYPERLINK("https://klasma.github.io/Logging_2281/klagomål/A 4937-2019 klagomål.docx", "A 4937-2019")</f>
        <v/>
      </c>
      <c r="W228">
        <f>HYPERLINK("https://klasma.github.io/Logging_2281/klagomålsmail/A 4937-2019 klagomålsmail.docx", "A 4937-2019")</f>
        <v/>
      </c>
      <c r="X228">
        <f>HYPERLINK("https://klasma.github.io/Logging_2281/tillsyn/A 4937-2019 tillsyn.docx", "A 4937-2019")</f>
        <v/>
      </c>
      <c r="Y228">
        <f>HYPERLINK("https://klasma.github.io/Logging_2281/tillsynsmail/A 4937-2019 tillsynsmail.docx", "A 4937-2019")</f>
        <v/>
      </c>
    </row>
    <row r="229" ht="15" customHeight="1">
      <c r="A229" t="inlineStr">
        <is>
          <t>A 8475-2019</t>
        </is>
      </c>
      <c r="B229" s="1" t="n">
        <v>43497</v>
      </c>
      <c r="C229" s="1" t="n">
        <v>45212</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HYPERLINK("https://klasma.github.io/Logging_2283/karta/A 8475-2019 karta.png", "A 8475-2019")</f>
        <v/>
      </c>
      <c r="V229">
        <f>HYPERLINK("https://klasma.github.io/Logging_2283/klagomål/A 8475-2019 klagomål.docx", "A 8475-2019")</f>
        <v/>
      </c>
      <c r="W229">
        <f>HYPERLINK("https://klasma.github.io/Logging_2283/klagomålsmail/A 8475-2019 klagomålsmail.docx", "A 8475-2019")</f>
        <v/>
      </c>
      <c r="X229">
        <f>HYPERLINK("https://klasma.github.io/Logging_2283/tillsyn/A 8475-2019 tillsyn.docx", "A 8475-2019")</f>
        <v/>
      </c>
      <c r="Y229">
        <f>HYPERLINK("https://klasma.github.io/Logging_2283/tillsynsmail/A 8475-2019 tillsynsmail.docx", "A 8475-2019")</f>
        <v/>
      </c>
    </row>
    <row r="230" ht="15" customHeight="1">
      <c r="A230" t="inlineStr">
        <is>
          <t>A 16545-2019</t>
        </is>
      </c>
      <c r="B230" s="1" t="n">
        <v>43546</v>
      </c>
      <c r="C230" s="1" t="n">
        <v>45212</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HYPERLINK("https://klasma.github.io/Logging_2280/karta/A 16545-2019 karta.png", "A 16545-2019")</f>
        <v/>
      </c>
      <c r="V230">
        <f>HYPERLINK("https://klasma.github.io/Logging_2280/klagomål/A 16545-2019 klagomål.docx", "A 16545-2019")</f>
        <v/>
      </c>
      <c r="W230">
        <f>HYPERLINK("https://klasma.github.io/Logging_2280/klagomålsmail/A 16545-2019 klagomålsmail.docx", "A 16545-2019")</f>
        <v/>
      </c>
      <c r="X230">
        <f>HYPERLINK("https://klasma.github.io/Logging_2280/tillsyn/A 16545-2019 tillsyn.docx", "A 16545-2019")</f>
        <v/>
      </c>
      <c r="Y230">
        <f>HYPERLINK("https://klasma.github.io/Logging_2280/tillsynsmail/A 16545-2019 tillsynsmail.docx", "A 16545-2019")</f>
        <v/>
      </c>
    </row>
    <row r="231" ht="15" customHeight="1">
      <c r="A231" t="inlineStr">
        <is>
          <t>A 26240-2019</t>
        </is>
      </c>
      <c r="B231" s="1" t="n">
        <v>43609</v>
      </c>
      <c r="C231" s="1" t="n">
        <v>45212</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HYPERLINK("https://klasma.github.io/Logging_2260/karta/A 26240-2019 karta.png", "A 26240-2019")</f>
        <v/>
      </c>
      <c r="V231">
        <f>HYPERLINK("https://klasma.github.io/Logging_2260/klagomål/A 26240-2019 klagomål.docx", "A 26240-2019")</f>
        <v/>
      </c>
      <c r="W231">
        <f>HYPERLINK("https://klasma.github.io/Logging_2260/klagomålsmail/A 26240-2019 klagomålsmail.docx", "A 26240-2019")</f>
        <v/>
      </c>
      <c r="X231">
        <f>HYPERLINK("https://klasma.github.io/Logging_2260/tillsyn/A 26240-2019 tillsyn.docx", "A 26240-2019")</f>
        <v/>
      </c>
      <c r="Y231">
        <f>HYPERLINK("https://klasma.github.io/Logging_2260/tillsynsmail/A 26240-2019 tillsynsmail.docx", "A 26240-2019")</f>
        <v/>
      </c>
    </row>
    <row r="232" ht="15" customHeight="1">
      <c r="A232" t="inlineStr">
        <is>
          <t>A 34686-2019</t>
        </is>
      </c>
      <c r="B232" s="1" t="n">
        <v>43657</v>
      </c>
      <c r="C232" s="1" t="n">
        <v>45212</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HYPERLINK("https://klasma.github.io/Logging_2281/karta/A 34686-2019 karta.png", "A 34686-2019")</f>
        <v/>
      </c>
      <c r="V232">
        <f>HYPERLINK("https://klasma.github.io/Logging_2281/klagomål/A 34686-2019 klagomål.docx", "A 34686-2019")</f>
        <v/>
      </c>
      <c r="W232">
        <f>HYPERLINK("https://klasma.github.io/Logging_2281/klagomålsmail/A 34686-2019 klagomålsmail.docx", "A 34686-2019")</f>
        <v/>
      </c>
      <c r="X232">
        <f>HYPERLINK("https://klasma.github.io/Logging_2281/tillsyn/A 34686-2019 tillsyn.docx", "A 34686-2019")</f>
        <v/>
      </c>
      <c r="Y232">
        <f>HYPERLINK("https://klasma.github.io/Logging_2281/tillsynsmail/A 34686-2019 tillsynsmail.docx", "A 34686-2019")</f>
        <v/>
      </c>
    </row>
    <row r="233" ht="15" customHeight="1">
      <c r="A233" t="inlineStr">
        <is>
          <t>A 5449-2020</t>
        </is>
      </c>
      <c r="B233" s="1" t="n">
        <v>43861</v>
      </c>
      <c r="C233" s="1" t="n">
        <v>45212</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HYPERLINK("https://klasma.github.io/Logging_2260/karta/A 5449-2020 karta.png", "A 5449-2020")</f>
        <v/>
      </c>
      <c r="V233">
        <f>HYPERLINK("https://klasma.github.io/Logging_2260/klagomål/A 5449-2020 klagomål.docx", "A 5449-2020")</f>
        <v/>
      </c>
      <c r="W233">
        <f>HYPERLINK("https://klasma.github.io/Logging_2260/klagomålsmail/A 5449-2020 klagomålsmail.docx", "A 5449-2020")</f>
        <v/>
      </c>
      <c r="X233">
        <f>HYPERLINK("https://klasma.github.io/Logging_2260/tillsyn/A 5449-2020 tillsyn.docx", "A 5449-2020")</f>
        <v/>
      </c>
      <c r="Y233">
        <f>HYPERLINK("https://klasma.github.io/Logging_2260/tillsynsmail/A 5449-2020 tillsynsmail.docx", "A 5449-2020")</f>
        <v/>
      </c>
    </row>
    <row r="234" ht="15" customHeight="1">
      <c r="A234" t="inlineStr">
        <is>
          <t>A 14462-2020</t>
        </is>
      </c>
      <c r="B234" s="1" t="n">
        <v>43901</v>
      </c>
      <c r="C234" s="1" t="n">
        <v>45212</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HYPERLINK("https://klasma.github.io/Logging_2282/karta/A 14462-2020 karta.png", "A 14462-2020")</f>
        <v/>
      </c>
      <c r="V234">
        <f>HYPERLINK("https://klasma.github.io/Logging_2282/klagomål/A 14462-2020 klagomål.docx", "A 14462-2020")</f>
        <v/>
      </c>
      <c r="W234">
        <f>HYPERLINK("https://klasma.github.io/Logging_2282/klagomålsmail/A 14462-2020 klagomålsmail.docx", "A 14462-2020")</f>
        <v/>
      </c>
      <c r="X234">
        <f>HYPERLINK("https://klasma.github.io/Logging_2282/tillsyn/A 14462-2020 tillsyn.docx", "A 14462-2020")</f>
        <v/>
      </c>
      <c r="Y234">
        <f>HYPERLINK("https://klasma.github.io/Logging_2282/tillsynsmail/A 14462-2020 tillsynsmail.docx", "A 14462-2020")</f>
        <v/>
      </c>
    </row>
    <row r="235" ht="15" customHeight="1">
      <c r="A235" t="inlineStr">
        <is>
          <t>A 19805-2020</t>
        </is>
      </c>
      <c r="B235" s="1" t="n">
        <v>43937</v>
      </c>
      <c r="C235" s="1" t="n">
        <v>45212</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HYPERLINK("https://klasma.github.io/Logging_2262/karta/A 19805-2020 karta.png", "A 19805-2020")</f>
        <v/>
      </c>
      <c r="V235">
        <f>HYPERLINK("https://klasma.github.io/Logging_2262/klagomål/A 19805-2020 klagomål.docx", "A 19805-2020")</f>
        <v/>
      </c>
      <c r="W235">
        <f>HYPERLINK("https://klasma.github.io/Logging_2262/klagomålsmail/A 19805-2020 klagomålsmail.docx", "A 19805-2020")</f>
        <v/>
      </c>
      <c r="X235">
        <f>HYPERLINK("https://klasma.github.io/Logging_2262/tillsyn/A 19805-2020 tillsyn.docx", "A 19805-2020")</f>
        <v/>
      </c>
      <c r="Y235">
        <f>HYPERLINK("https://klasma.github.io/Logging_2262/tillsynsmail/A 19805-2020 tillsynsmail.docx", "A 19805-2020")</f>
        <v/>
      </c>
    </row>
    <row r="236" ht="15" customHeight="1">
      <c r="A236" t="inlineStr">
        <is>
          <t>A 22480-2020</t>
        </is>
      </c>
      <c r="B236" s="1" t="n">
        <v>43963</v>
      </c>
      <c r="C236" s="1" t="n">
        <v>45212</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HYPERLINK("https://klasma.github.io/Logging_2281/karta/A 22480-2020 karta.png", "A 22480-2020")</f>
        <v/>
      </c>
      <c r="V236">
        <f>HYPERLINK("https://klasma.github.io/Logging_2281/klagomål/A 22480-2020 klagomål.docx", "A 22480-2020")</f>
        <v/>
      </c>
      <c r="W236">
        <f>HYPERLINK("https://klasma.github.io/Logging_2281/klagomålsmail/A 22480-2020 klagomålsmail.docx", "A 22480-2020")</f>
        <v/>
      </c>
      <c r="X236">
        <f>HYPERLINK("https://klasma.github.io/Logging_2281/tillsyn/A 22480-2020 tillsyn.docx", "A 22480-2020")</f>
        <v/>
      </c>
      <c r="Y236">
        <f>HYPERLINK("https://klasma.github.io/Logging_2281/tillsynsmail/A 22480-2020 tillsynsmail.docx", "A 22480-2020")</f>
        <v/>
      </c>
    </row>
    <row r="237" ht="15" customHeight="1">
      <c r="A237" t="inlineStr">
        <is>
          <t>A 23860-2020</t>
        </is>
      </c>
      <c r="B237" s="1" t="n">
        <v>43971</v>
      </c>
      <c r="C237" s="1" t="n">
        <v>45212</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HYPERLINK("https://klasma.github.io/Logging_2283/karta/A 23860-2020 karta.png", "A 23860-2020")</f>
        <v/>
      </c>
      <c r="U237">
        <f>HYPERLINK("https://klasma.github.io/Logging_2283/knärot/A 23860-2020 knärot.png", "A 23860-2020")</f>
        <v/>
      </c>
      <c r="V237">
        <f>HYPERLINK("https://klasma.github.io/Logging_2283/klagomål/A 23860-2020 klagomål.docx", "A 23860-2020")</f>
        <v/>
      </c>
      <c r="W237">
        <f>HYPERLINK("https://klasma.github.io/Logging_2283/klagomålsmail/A 23860-2020 klagomålsmail.docx", "A 23860-2020")</f>
        <v/>
      </c>
      <c r="X237">
        <f>HYPERLINK("https://klasma.github.io/Logging_2283/tillsyn/A 23860-2020 tillsyn.docx", "A 23860-2020")</f>
        <v/>
      </c>
      <c r="Y237">
        <f>HYPERLINK("https://klasma.github.io/Logging_2283/tillsynsmail/A 23860-2020 tillsynsmail.docx", "A 23860-2020")</f>
        <v/>
      </c>
    </row>
    <row r="238" ht="15" customHeight="1">
      <c r="A238" t="inlineStr">
        <is>
          <t>A 36969-2020</t>
        </is>
      </c>
      <c r="B238" s="1" t="n">
        <v>44053</v>
      </c>
      <c r="C238" s="1" t="n">
        <v>45212</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HYPERLINK("https://klasma.github.io/Logging_2281/karta/A 36969-2020 karta.png", "A 36969-2020")</f>
        <v/>
      </c>
      <c r="U238">
        <f>HYPERLINK("https://klasma.github.io/Logging_2281/knärot/A 36969-2020 knärot.png", "A 36969-2020")</f>
        <v/>
      </c>
      <c r="V238">
        <f>HYPERLINK("https://klasma.github.io/Logging_2281/klagomål/A 36969-2020 klagomål.docx", "A 36969-2020")</f>
        <v/>
      </c>
      <c r="W238">
        <f>HYPERLINK("https://klasma.github.io/Logging_2281/klagomålsmail/A 36969-2020 klagomålsmail.docx", "A 36969-2020")</f>
        <v/>
      </c>
      <c r="X238">
        <f>HYPERLINK("https://klasma.github.io/Logging_2281/tillsyn/A 36969-2020 tillsyn.docx", "A 36969-2020")</f>
        <v/>
      </c>
      <c r="Y238">
        <f>HYPERLINK("https://klasma.github.io/Logging_2281/tillsynsmail/A 36969-2020 tillsynsmail.docx", "A 36969-2020")</f>
        <v/>
      </c>
    </row>
    <row r="239" ht="15" customHeight="1">
      <c r="A239" t="inlineStr">
        <is>
          <t>A 36968-2020</t>
        </is>
      </c>
      <c r="B239" s="1" t="n">
        <v>44053</v>
      </c>
      <c r="C239" s="1" t="n">
        <v>45212</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HYPERLINK("https://klasma.github.io/Logging_2281/karta/A 36968-2020 karta.png", "A 36968-2020")</f>
        <v/>
      </c>
      <c r="U239">
        <f>HYPERLINK("https://klasma.github.io/Logging_2281/knärot/A 36968-2020 knärot.png", "A 36968-2020")</f>
        <v/>
      </c>
      <c r="V239">
        <f>HYPERLINK("https://klasma.github.io/Logging_2281/klagomål/A 36968-2020 klagomål.docx", "A 36968-2020")</f>
        <v/>
      </c>
      <c r="W239">
        <f>HYPERLINK("https://klasma.github.io/Logging_2281/klagomålsmail/A 36968-2020 klagomålsmail.docx", "A 36968-2020")</f>
        <v/>
      </c>
      <c r="X239">
        <f>HYPERLINK("https://klasma.github.io/Logging_2281/tillsyn/A 36968-2020 tillsyn.docx", "A 36968-2020")</f>
        <v/>
      </c>
      <c r="Y239">
        <f>HYPERLINK("https://klasma.github.io/Logging_2281/tillsynsmail/A 36968-2020 tillsynsmail.docx", "A 36968-2020")</f>
        <v/>
      </c>
    </row>
    <row r="240" ht="15" customHeight="1">
      <c r="A240" t="inlineStr">
        <is>
          <t>A 44513-2020</t>
        </is>
      </c>
      <c r="B240" s="1" t="n">
        <v>44084</v>
      </c>
      <c r="C240" s="1" t="n">
        <v>45212</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HYPERLINK("https://klasma.github.io/Logging_2280/karta/A 44513-2020 karta.png", "A 44513-2020")</f>
        <v/>
      </c>
      <c r="U240">
        <f>HYPERLINK("https://klasma.github.io/Logging_2280/knärot/A 44513-2020 knärot.png", "A 44513-2020")</f>
        <v/>
      </c>
      <c r="V240">
        <f>HYPERLINK("https://klasma.github.io/Logging_2280/klagomål/A 44513-2020 klagomål.docx", "A 44513-2020")</f>
        <v/>
      </c>
      <c r="W240">
        <f>HYPERLINK("https://klasma.github.io/Logging_2280/klagomålsmail/A 44513-2020 klagomålsmail.docx", "A 44513-2020")</f>
        <v/>
      </c>
      <c r="X240">
        <f>HYPERLINK("https://klasma.github.io/Logging_2280/tillsyn/A 44513-2020 tillsyn.docx", "A 44513-2020")</f>
        <v/>
      </c>
      <c r="Y240">
        <f>HYPERLINK("https://klasma.github.io/Logging_2280/tillsynsmail/A 44513-2020 tillsynsmail.docx", "A 44513-2020")</f>
        <v/>
      </c>
    </row>
    <row r="241" ht="15" customHeight="1">
      <c r="A241" t="inlineStr">
        <is>
          <t>A 44497-2020</t>
        </is>
      </c>
      <c r="B241" s="1" t="n">
        <v>44084</v>
      </c>
      <c r="C241" s="1" t="n">
        <v>45212</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HYPERLINK("https://klasma.github.io/Logging_2281/karta/A 44497-2020 karta.png", "A 44497-2020")</f>
        <v/>
      </c>
      <c r="U241">
        <f>HYPERLINK("https://klasma.github.io/Logging_2281/knärot/A 44497-2020 knärot.png", "A 44497-2020")</f>
        <v/>
      </c>
      <c r="V241">
        <f>HYPERLINK("https://klasma.github.io/Logging_2281/klagomål/A 44497-2020 klagomål.docx", "A 44497-2020")</f>
        <v/>
      </c>
      <c r="W241">
        <f>HYPERLINK("https://klasma.github.io/Logging_2281/klagomålsmail/A 44497-2020 klagomålsmail.docx", "A 44497-2020")</f>
        <v/>
      </c>
      <c r="X241">
        <f>HYPERLINK("https://klasma.github.io/Logging_2281/tillsyn/A 44497-2020 tillsyn.docx", "A 44497-2020")</f>
        <v/>
      </c>
      <c r="Y241">
        <f>HYPERLINK("https://klasma.github.io/Logging_2281/tillsynsmail/A 44497-2020 tillsynsmail.docx", "A 44497-2020")</f>
        <v/>
      </c>
    </row>
    <row r="242" ht="15" customHeight="1">
      <c r="A242" t="inlineStr">
        <is>
          <t>A 53169-2020</t>
        </is>
      </c>
      <c r="B242" s="1" t="n">
        <v>44120</v>
      </c>
      <c r="C242" s="1" t="n">
        <v>45212</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HYPERLINK("https://klasma.github.io/Logging_2260/karta/A 53169-2020 karta.png", "A 53169-2020")</f>
        <v/>
      </c>
      <c r="V242">
        <f>HYPERLINK("https://klasma.github.io/Logging_2260/klagomål/A 53169-2020 klagomål.docx", "A 53169-2020")</f>
        <v/>
      </c>
      <c r="W242">
        <f>HYPERLINK("https://klasma.github.io/Logging_2260/klagomålsmail/A 53169-2020 klagomålsmail.docx", "A 53169-2020")</f>
        <v/>
      </c>
      <c r="X242">
        <f>HYPERLINK("https://klasma.github.io/Logging_2260/tillsyn/A 53169-2020 tillsyn.docx", "A 53169-2020")</f>
        <v/>
      </c>
      <c r="Y242">
        <f>HYPERLINK("https://klasma.github.io/Logging_2260/tillsynsmail/A 53169-2020 tillsynsmail.docx", "A 53169-2020")</f>
        <v/>
      </c>
    </row>
    <row r="243" ht="15" customHeight="1">
      <c r="A243" t="inlineStr">
        <is>
          <t>A 54192-2020</t>
        </is>
      </c>
      <c r="B243" s="1" t="n">
        <v>44125</v>
      </c>
      <c r="C243" s="1" t="n">
        <v>45212</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HYPERLINK("https://klasma.github.io/Logging_2280/karta/A 54192-2020 karta.png", "A 54192-2020")</f>
        <v/>
      </c>
      <c r="V243">
        <f>HYPERLINK("https://klasma.github.io/Logging_2280/klagomål/A 54192-2020 klagomål.docx", "A 54192-2020")</f>
        <v/>
      </c>
      <c r="W243">
        <f>HYPERLINK("https://klasma.github.io/Logging_2280/klagomålsmail/A 54192-2020 klagomålsmail.docx", "A 54192-2020")</f>
        <v/>
      </c>
      <c r="X243">
        <f>HYPERLINK("https://klasma.github.io/Logging_2280/tillsyn/A 54192-2020 tillsyn.docx", "A 54192-2020")</f>
        <v/>
      </c>
      <c r="Y243">
        <f>HYPERLINK("https://klasma.github.io/Logging_2280/tillsynsmail/A 54192-2020 tillsynsmail.docx", "A 54192-2020")</f>
        <v/>
      </c>
    </row>
    <row r="244" ht="15" customHeight="1">
      <c r="A244" t="inlineStr">
        <is>
          <t>A 3094-2021</t>
        </is>
      </c>
      <c r="B244" s="1" t="n">
        <v>44216</v>
      </c>
      <c r="C244" s="1" t="n">
        <v>45212</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HYPERLINK("https://klasma.github.io/Logging_2281/karta/A 3094-2021 karta.png", "A 3094-2021")</f>
        <v/>
      </c>
      <c r="V244">
        <f>HYPERLINK("https://klasma.github.io/Logging_2281/klagomål/A 3094-2021 klagomål.docx", "A 3094-2021")</f>
        <v/>
      </c>
      <c r="W244">
        <f>HYPERLINK("https://klasma.github.io/Logging_2281/klagomålsmail/A 3094-2021 klagomålsmail.docx", "A 3094-2021")</f>
        <v/>
      </c>
      <c r="X244">
        <f>HYPERLINK("https://klasma.github.io/Logging_2281/tillsyn/A 3094-2021 tillsyn.docx", "A 3094-2021")</f>
        <v/>
      </c>
      <c r="Y244">
        <f>HYPERLINK("https://klasma.github.io/Logging_2281/tillsynsmail/A 3094-2021 tillsynsmail.docx", "A 3094-2021")</f>
        <v/>
      </c>
    </row>
    <row r="245" ht="15" customHeight="1">
      <c r="A245" t="inlineStr">
        <is>
          <t>A 33331-2021</t>
        </is>
      </c>
      <c r="B245" s="1" t="n">
        <v>44377</v>
      </c>
      <c r="C245" s="1" t="n">
        <v>45212</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HYPERLINK("https://klasma.github.io/Logging_2284/karta/A 33331-2021 karta.png", "A 33331-2021")</f>
        <v/>
      </c>
      <c r="V245">
        <f>HYPERLINK("https://klasma.github.io/Logging_2284/klagomål/A 33331-2021 klagomål.docx", "A 33331-2021")</f>
        <v/>
      </c>
      <c r="W245">
        <f>HYPERLINK("https://klasma.github.io/Logging_2284/klagomålsmail/A 33331-2021 klagomålsmail.docx", "A 33331-2021")</f>
        <v/>
      </c>
      <c r="X245">
        <f>HYPERLINK("https://klasma.github.io/Logging_2284/tillsyn/A 33331-2021 tillsyn.docx", "A 33331-2021")</f>
        <v/>
      </c>
      <c r="Y245">
        <f>HYPERLINK("https://klasma.github.io/Logging_2284/tillsynsmail/A 33331-2021 tillsynsmail.docx", "A 33331-2021")</f>
        <v/>
      </c>
    </row>
    <row r="246" ht="15" customHeight="1">
      <c r="A246" t="inlineStr">
        <is>
          <t>A 45096-2021</t>
        </is>
      </c>
      <c r="B246" s="1" t="n">
        <v>44439</v>
      </c>
      <c r="C246" s="1" t="n">
        <v>45212</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HYPERLINK("https://klasma.github.io/Logging_2284/karta/A 45096-2021 karta.png", "A 45096-2021")</f>
        <v/>
      </c>
      <c r="V246">
        <f>HYPERLINK("https://klasma.github.io/Logging_2284/klagomål/A 45096-2021 klagomål.docx", "A 45096-2021")</f>
        <v/>
      </c>
      <c r="W246">
        <f>HYPERLINK("https://klasma.github.io/Logging_2284/klagomålsmail/A 45096-2021 klagomålsmail.docx", "A 45096-2021")</f>
        <v/>
      </c>
      <c r="X246">
        <f>HYPERLINK("https://klasma.github.io/Logging_2284/tillsyn/A 45096-2021 tillsyn.docx", "A 45096-2021")</f>
        <v/>
      </c>
      <c r="Y246">
        <f>HYPERLINK("https://klasma.github.io/Logging_2284/tillsynsmail/A 45096-2021 tillsynsmail.docx", "A 45096-2021")</f>
        <v/>
      </c>
    </row>
    <row r="247" ht="15" customHeight="1">
      <c r="A247" t="inlineStr">
        <is>
          <t>A 49997-2021</t>
        </is>
      </c>
      <c r="B247" s="1" t="n">
        <v>44456</v>
      </c>
      <c r="C247" s="1" t="n">
        <v>45212</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HYPERLINK("https://klasma.github.io/Logging_2281/karta/A 49997-2021 karta.png", "A 49997-2021")</f>
        <v/>
      </c>
      <c r="V247">
        <f>HYPERLINK("https://klasma.github.io/Logging_2281/klagomål/A 49997-2021 klagomål.docx", "A 49997-2021")</f>
        <v/>
      </c>
      <c r="W247">
        <f>HYPERLINK("https://klasma.github.io/Logging_2281/klagomålsmail/A 49997-2021 klagomålsmail.docx", "A 49997-2021")</f>
        <v/>
      </c>
      <c r="X247">
        <f>HYPERLINK("https://klasma.github.io/Logging_2281/tillsyn/A 49997-2021 tillsyn.docx", "A 49997-2021")</f>
        <v/>
      </c>
      <c r="Y247">
        <f>HYPERLINK("https://klasma.github.io/Logging_2281/tillsynsmail/A 49997-2021 tillsynsmail.docx", "A 49997-2021")</f>
        <v/>
      </c>
    </row>
    <row r="248" ht="15" customHeight="1">
      <c r="A248" t="inlineStr">
        <is>
          <t>A 58121-2021</t>
        </is>
      </c>
      <c r="B248" s="1" t="n">
        <v>44487</v>
      </c>
      <c r="C248" s="1" t="n">
        <v>45212</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HYPERLINK("https://klasma.github.io/Logging_2284/karta/A 58121-2021 karta.png", "A 58121-2021")</f>
        <v/>
      </c>
      <c r="V248">
        <f>HYPERLINK("https://klasma.github.io/Logging_2284/klagomål/A 58121-2021 klagomål.docx", "A 58121-2021")</f>
        <v/>
      </c>
      <c r="W248">
        <f>HYPERLINK("https://klasma.github.io/Logging_2284/klagomålsmail/A 58121-2021 klagomålsmail.docx", "A 58121-2021")</f>
        <v/>
      </c>
      <c r="X248">
        <f>HYPERLINK("https://klasma.github.io/Logging_2284/tillsyn/A 58121-2021 tillsyn.docx", "A 58121-2021")</f>
        <v/>
      </c>
      <c r="Y248">
        <f>HYPERLINK("https://klasma.github.io/Logging_2284/tillsynsmail/A 58121-2021 tillsynsmail.docx", "A 58121-2021")</f>
        <v/>
      </c>
    </row>
    <row r="249" ht="15" customHeight="1">
      <c r="A249" t="inlineStr">
        <is>
          <t>A 64943-2021</t>
        </is>
      </c>
      <c r="B249" s="1" t="n">
        <v>44512</v>
      </c>
      <c r="C249" s="1" t="n">
        <v>45212</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HYPERLINK("https://klasma.github.io/Logging_2283/karta/A 64943-2021 karta.png", "A 64943-2021")</f>
        <v/>
      </c>
      <c r="V249">
        <f>HYPERLINK("https://klasma.github.io/Logging_2283/klagomål/A 64943-2021 klagomål.docx", "A 64943-2021")</f>
        <v/>
      </c>
      <c r="W249">
        <f>HYPERLINK("https://klasma.github.io/Logging_2283/klagomålsmail/A 64943-2021 klagomålsmail.docx", "A 64943-2021")</f>
        <v/>
      </c>
      <c r="X249">
        <f>HYPERLINK("https://klasma.github.io/Logging_2283/tillsyn/A 64943-2021 tillsyn.docx", "A 64943-2021")</f>
        <v/>
      </c>
      <c r="Y249">
        <f>HYPERLINK("https://klasma.github.io/Logging_2283/tillsynsmail/A 64943-2021 tillsynsmail.docx", "A 64943-2021")</f>
        <v/>
      </c>
    </row>
    <row r="250" ht="15" customHeight="1">
      <c r="A250" t="inlineStr">
        <is>
          <t>A 18025-2022</t>
        </is>
      </c>
      <c r="B250" s="1" t="n">
        <v>44683</v>
      </c>
      <c r="C250" s="1" t="n">
        <v>45212</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HYPERLINK("https://klasma.github.io/Logging_2283/karta/A 18025-2022 karta.png", "A 18025-2022")</f>
        <v/>
      </c>
      <c r="V250">
        <f>HYPERLINK("https://klasma.github.io/Logging_2283/klagomål/A 18025-2022 klagomål.docx", "A 18025-2022")</f>
        <v/>
      </c>
      <c r="W250">
        <f>HYPERLINK("https://klasma.github.io/Logging_2283/klagomålsmail/A 18025-2022 klagomålsmail.docx", "A 18025-2022")</f>
        <v/>
      </c>
      <c r="X250">
        <f>HYPERLINK("https://klasma.github.io/Logging_2283/tillsyn/A 18025-2022 tillsyn.docx", "A 18025-2022")</f>
        <v/>
      </c>
      <c r="Y250">
        <f>HYPERLINK("https://klasma.github.io/Logging_2283/tillsynsmail/A 18025-2022 tillsynsmail.docx", "A 18025-2022")</f>
        <v/>
      </c>
    </row>
    <row r="251" ht="15" customHeight="1">
      <c r="A251" t="inlineStr">
        <is>
          <t>A 18009-2022</t>
        </is>
      </c>
      <c r="B251" s="1" t="n">
        <v>44683</v>
      </c>
      <c r="C251" s="1" t="n">
        <v>45212</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HYPERLINK("https://klasma.github.io/Logging_2283/karta/A 18009-2022 karta.png", "A 18009-2022")</f>
        <v/>
      </c>
      <c r="U251">
        <f>HYPERLINK("https://klasma.github.io/Logging_2283/knärot/A 18009-2022 knärot.png", "A 18009-2022")</f>
        <v/>
      </c>
      <c r="V251">
        <f>HYPERLINK("https://klasma.github.io/Logging_2283/klagomål/A 18009-2022 klagomål.docx", "A 18009-2022")</f>
        <v/>
      </c>
      <c r="W251">
        <f>HYPERLINK("https://klasma.github.io/Logging_2283/klagomålsmail/A 18009-2022 klagomålsmail.docx", "A 18009-2022")</f>
        <v/>
      </c>
      <c r="X251">
        <f>HYPERLINK("https://klasma.github.io/Logging_2283/tillsyn/A 18009-2022 tillsyn.docx", "A 18009-2022")</f>
        <v/>
      </c>
      <c r="Y251">
        <f>HYPERLINK("https://klasma.github.io/Logging_2283/tillsynsmail/A 18009-2022 tillsynsmail.docx", "A 18009-2022")</f>
        <v/>
      </c>
    </row>
    <row r="252" ht="15" customHeight="1">
      <c r="A252" t="inlineStr">
        <is>
          <t>A 21878-2022</t>
        </is>
      </c>
      <c r="B252" s="1" t="n">
        <v>44711</v>
      </c>
      <c r="C252" s="1" t="n">
        <v>45212</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HYPERLINK("https://klasma.github.io/Logging_2260/karta/A 21878-2022 karta.png", "A 21878-2022")</f>
        <v/>
      </c>
      <c r="V252">
        <f>HYPERLINK("https://klasma.github.io/Logging_2260/klagomål/A 21878-2022 klagomål.docx", "A 21878-2022")</f>
        <v/>
      </c>
      <c r="W252">
        <f>HYPERLINK("https://klasma.github.io/Logging_2260/klagomålsmail/A 21878-2022 klagomålsmail.docx", "A 21878-2022")</f>
        <v/>
      </c>
      <c r="X252">
        <f>HYPERLINK("https://klasma.github.io/Logging_2260/tillsyn/A 21878-2022 tillsyn.docx", "A 21878-2022")</f>
        <v/>
      </c>
      <c r="Y252">
        <f>HYPERLINK("https://klasma.github.io/Logging_2260/tillsynsmail/A 21878-2022 tillsynsmail.docx", "A 21878-2022")</f>
        <v/>
      </c>
    </row>
    <row r="253" ht="15" customHeight="1">
      <c r="A253" t="inlineStr">
        <is>
          <t>A 26112-2022</t>
        </is>
      </c>
      <c r="B253" s="1" t="n">
        <v>44734</v>
      </c>
      <c r="C253" s="1" t="n">
        <v>45212</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HYPERLINK("https://klasma.github.io/Logging_2260/karta/A 26112-2022 karta.png", "A 26112-2022")</f>
        <v/>
      </c>
      <c r="V253">
        <f>HYPERLINK("https://klasma.github.io/Logging_2260/klagomål/A 26112-2022 klagomål.docx", "A 26112-2022")</f>
        <v/>
      </c>
      <c r="W253">
        <f>HYPERLINK("https://klasma.github.io/Logging_2260/klagomålsmail/A 26112-2022 klagomålsmail.docx", "A 26112-2022")</f>
        <v/>
      </c>
      <c r="X253">
        <f>HYPERLINK("https://klasma.github.io/Logging_2260/tillsyn/A 26112-2022 tillsyn.docx", "A 26112-2022")</f>
        <v/>
      </c>
      <c r="Y253">
        <f>HYPERLINK("https://klasma.github.io/Logging_2260/tillsynsmail/A 26112-2022 tillsynsmail.docx", "A 26112-2022")</f>
        <v/>
      </c>
    </row>
    <row r="254" ht="15" customHeight="1">
      <c r="A254" t="inlineStr">
        <is>
          <t>A 27071-2022</t>
        </is>
      </c>
      <c r="B254" s="1" t="n">
        <v>44741</v>
      </c>
      <c r="C254" s="1" t="n">
        <v>45212</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HYPERLINK("https://klasma.github.io/Logging_2283/karta/A 27071-2022 karta.png", "A 27071-2022")</f>
        <v/>
      </c>
      <c r="V254">
        <f>HYPERLINK("https://klasma.github.io/Logging_2283/klagomål/A 27071-2022 klagomål.docx", "A 27071-2022")</f>
        <v/>
      </c>
      <c r="W254">
        <f>HYPERLINK("https://klasma.github.io/Logging_2283/klagomålsmail/A 27071-2022 klagomålsmail.docx", "A 27071-2022")</f>
        <v/>
      </c>
      <c r="X254">
        <f>HYPERLINK("https://klasma.github.io/Logging_2283/tillsyn/A 27071-2022 tillsyn.docx", "A 27071-2022")</f>
        <v/>
      </c>
      <c r="Y254">
        <f>HYPERLINK("https://klasma.github.io/Logging_2283/tillsynsmail/A 27071-2022 tillsynsmail.docx", "A 27071-2022")</f>
        <v/>
      </c>
    </row>
    <row r="255" ht="15" customHeight="1">
      <c r="A255" t="inlineStr">
        <is>
          <t>A 38214-2022</t>
        </is>
      </c>
      <c r="B255" s="1" t="n">
        <v>44812</v>
      </c>
      <c r="C255" s="1" t="n">
        <v>45212</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HYPERLINK("https://klasma.github.io/Logging_2284/karta/A 38214-2022 karta.png", "A 38214-2022")</f>
        <v/>
      </c>
      <c r="V255">
        <f>HYPERLINK("https://klasma.github.io/Logging_2284/klagomål/A 38214-2022 klagomål.docx", "A 38214-2022")</f>
        <v/>
      </c>
      <c r="W255">
        <f>HYPERLINK("https://klasma.github.io/Logging_2284/klagomålsmail/A 38214-2022 klagomålsmail.docx", "A 38214-2022")</f>
        <v/>
      </c>
      <c r="X255">
        <f>HYPERLINK("https://klasma.github.io/Logging_2284/tillsyn/A 38214-2022 tillsyn.docx", "A 38214-2022")</f>
        <v/>
      </c>
      <c r="Y255">
        <f>HYPERLINK("https://klasma.github.io/Logging_2284/tillsynsmail/A 38214-2022 tillsynsmail.docx", "A 38214-2022")</f>
        <v/>
      </c>
    </row>
    <row r="256" ht="15" customHeight="1">
      <c r="A256" t="inlineStr">
        <is>
          <t>A 40508-2022</t>
        </is>
      </c>
      <c r="B256" s="1" t="n">
        <v>44819</v>
      </c>
      <c r="C256" s="1" t="n">
        <v>45212</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HYPERLINK("https://klasma.github.io/Logging_2282/karta/A 40508-2022 karta.png", "A 40508-2022")</f>
        <v/>
      </c>
      <c r="V256">
        <f>HYPERLINK("https://klasma.github.io/Logging_2282/klagomål/A 40508-2022 klagomål.docx", "A 40508-2022")</f>
        <v/>
      </c>
      <c r="W256">
        <f>HYPERLINK("https://klasma.github.io/Logging_2282/klagomålsmail/A 40508-2022 klagomålsmail.docx", "A 40508-2022")</f>
        <v/>
      </c>
      <c r="X256">
        <f>HYPERLINK("https://klasma.github.io/Logging_2282/tillsyn/A 40508-2022 tillsyn.docx", "A 40508-2022")</f>
        <v/>
      </c>
      <c r="Y256">
        <f>HYPERLINK("https://klasma.github.io/Logging_2282/tillsynsmail/A 40508-2022 tillsynsmail.docx", "A 40508-2022")</f>
        <v/>
      </c>
    </row>
    <row r="257" ht="15" customHeight="1">
      <c r="A257" t="inlineStr">
        <is>
          <t>A 48576-2022</t>
        </is>
      </c>
      <c r="B257" s="1" t="n">
        <v>44859</v>
      </c>
      <c r="C257" s="1" t="n">
        <v>45212</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HYPERLINK("https://klasma.github.io/Logging_2281/karta/A 48576-2022 karta.png", "A 48576-2022")</f>
        <v/>
      </c>
      <c r="V257">
        <f>HYPERLINK("https://klasma.github.io/Logging_2281/klagomål/A 48576-2022 klagomål.docx", "A 48576-2022")</f>
        <v/>
      </c>
      <c r="W257">
        <f>HYPERLINK("https://klasma.github.io/Logging_2281/klagomålsmail/A 48576-2022 klagomålsmail.docx", "A 48576-2022")</f>
        <v/>
      </c>
      <c r="X257">
        <f>HYPERLINK("https://klasma.github.io/Logging_2281/tillsyn/A 48576-2022 tillsyn.docx", "A 48576-2022")</f>
        <v/>
      </c>
      <c r="Y257">
        <f>HYPERLINK("https://klasma.github.io/Logging_2281/tillsynsmail/A 48576-2022 tillsynsmail.docx", "A 48576-2022")</f>
        <v/>
      </c>
    </row>
    <row r="258" ht="15" customHeight="1">
      <c r="A258" t="inlineStr">
        <is>
          <t>A 51566-2022</t>
        </is>
      </c>
      <c r="B258" s="1" t="n">
        <v>44869</v>
      </c>
      <c r="C258" s="1" t="n">
        <v>45212</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HYPERLINK("https://klasma.github.io/Logging_2280/karta/A 51566-2022 karta.png", "A 51566-2022")</f>
        <v/>
      </c>
      <c r="V258">
        <f>HYPERLINK("https://klasma.github.io/Logging_2280/klagomål/A 51566-2022 klagomål.docx", "A 51566-2022")</f>
        <v/>
      </c>
      <c r="W258">
        <f>HYPERLINK("https://klasma.github.io/Logging_2280/klagomålsmail/A 51566-2022 klagomålsmail.docx", "A 51566-2022")</f>
        <v/>
      </c>
      <c r="X258">
        <f>HYPERLINK("https://klasma.github.io/Logging_2280/tillsyn/A 51566-2022 tillsyn.docx", "A 51566-2022")</f>
        <v/>
      </c>
      <c r="Y258">
        <f>HYPERLINK("https://klasma.github.io/Logging_2280/tillsynsmail/A 51566-2022 tillsynsmail.docx", "A 51566-2022")</f>
        <v/>
      </c>
    </row>
    <row r="259" ht="15" customHeight="1">
      <c r="A259" t="inlineStr">
        <is>
          <t>A 52726-2022</t>
        </is>
      </c>
      <c r="B259" s="1" t="n">
        <v>44874</v>
      </c>
      <c r="C259" s="1" t="n">
        <v>45212</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HYPERLINK("https://klasma.github.io/Logging_2280/karta/A 52726-2022 karta.png", "A 52726-2022")</f>
        <v/>
      </c>
      <c r="V259">
        <f>HYPERLINK("https://klasma.github.io/Logging_2280/klagomål/A 52726-2022 klagomål.docx", "A 52726-2022")</f>
        <v/>
      </c>
      <c r="W259">
        <f>HYPERLINK("https://klasma.github.io/Logging_2280/klagomålsmail/A 52726-2022 klagomålsmail.docx", "A 52726-2022")</f>
        <v/>
      </c>
      <c r="X259">
        <f>HYPERLINK("https://klasma.github.io/Logging_2280/tillsyn/A 52726-2022 tillsyn.docx", "A 52726-2022")</f>
        <v/>
      </c>
      <c r="Y259">
        <f>HYPERLINK("https://klasma.github.io/Logging_2280/tillsynsmail/A 52726-2022 tillsynsmail.docx", "A 52726-2022")</f>
        <v/>
      </c>
    </row>
    <row r="260" ht="15" customHeight="1">
      <c r="A260" t="inlineStr">
        <is>
          <t>A 53940-2022</t>
        </is>
      </c>
      <c r="B260" s="1" t="n">
        <v>44880</v>
      </c>
      <c r="C260" s="1" t="n">
        <v>45212</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HYPERLINK("https://klasma.github.io/Logging_2281/karta/A 53940-2022 karta.png", "A 53940-2022")</f>
        <v/>
      </c>
      <c r="V260">
        <f>HYPERLINK("https://klasma.github.io/Logging_2281/klagomål/A 53940-2022 klagomål.docx", "A 53940-2022")</f>
        <v/>
      </c>
      <c r="W260">
        <f>HYPERLINK("https://klasma.github.io/Logging_2281/klagomålsmail/A 53940-2022 klagomålsmail.docx", "A 53940-2022")</f>
        <v/>
      </c>
      <c r="X260">
        <f>HYPERLINK("https://klasma.github.io/Logging_2281/tillsyn/A 53940-2022 tillsyn.docx", "A 53940-2022")</f>
        <v/>
      </c>
      <c r="Y260">
        <f>HYPERLINK("https://klasma.github.io/Logging_2281/tillsynsmail/A 53940-2022 tillsynsmail.docx", "A 53940-2022")</f>
        <v/>
      </c>
    </row>
    <row r="261" ht="15" customHeight="1">
      <c r="A261" t="inlineStr">
        <is>
          <t>A 57001-2022</t>
        </is>
      </c>
      <c r="B261" s="1" t="n">
        <v>44894</v>
      </c>
      <c r="C261" s="1" t="n">
        <v>45212</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HYPERLINK("https://klasma.github.io/Logging_2283/karta/A 57001-2022 karta.png", "A 57001-2022")</f>
        <v/>
      </c>
      <c r="U261">
        <f>HYPERLINK("https://klasma.github.io/Logging_2283/knärot/A 57001-2022 knärot.png", "A 57001-2022")</f>
        <v/>
      </c>
      <c r="V261">
        <f>HYPERLINK("https://klasma.github.io/Logging_2283/klagomål/A 57001-2022 klagomål.docx", "A 57001-2022")</f>
        <v/>
      </c>
      <c r="W261">
        <f>HYPERLINK("https://klasma.github.io/Logging_2283/klagomålsmail/A 57001-2022 klagomålsmail.docx", "A 57001-2022")</f>
        <v/>
      </c>
      <c r="X261">
        <f>HYPERLINK("https://klasma.github.io/Logging_2283/tillsyn/A 57001-2022 tillsyn.docx", "A 57001-2022")</f>
        <v/>
      </c>
      <c r="Y261">
        <f>HYPERLINK("https://klasma.github.io/Logging_2283/tillsynsmail/A 57001-2022 tillsynsmail.docx", "A 57001-2022")</f>
        <v/>
      </c>
    </row>
    <row r="262" ht="15" customHeight="1">
      <c r="A262" t="inlineStr">
        <is>
          <t>A 57931-2022</t>
        </is>
      </c>
      <c r="B262" s="1" t="n">
        <v>44900</v>
      </c>
      <c r="C262" s="1" t="n">
        <v>45212</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HYPERLINK("https://klasma.github.io/Logging_2284/karta/A 57931-2022 karta.png", "A 57931-2022")</f>
        <v/>
      </c>
      <c r="V262">
        <f>HYPERLINK("https://klasma.github.io/Logging_2284/klagomål/A 57931-2022 klagomål.docx", "A 57931-2022")</f>
        <v/>
      </c>
      <c r="W262">
        <f>HYPERLINK("https://klasma.github.io/Logging_2284/klagomålsmail/A 57931-2022 klagomålsmail.docx", "A 57931-2022")</f>
        <v/>
      </c>
      <c r="X262">
        <f>HYPERLINK("https://klasma.github.io/Logging_2284/tillsyn/A 57931-2022 tillsyn.docx", "A 57931-2022")</f>
        <v/>
      </c>
      <c r="Y262">
        <f>HYPERLINK("https://klasma.github.io/Logging_2284/tillsynsmail/A 57931-2022 tillsynsmail.docx", "A 57931-2022")</f>
        <v/>
      </c>
    </row>
    <row r="263" ht="15" customHeight="1">
      <c r="A263" t="inlineStr">
        <is>
          <t>A 62638-2022</t>
        </is>
      </c>
      <c r="B263" s="1" t="n">
        <v>44925</v>
      </c>
      <c r="C263" s="1" t="n">
        <v>45212</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HYPERLINK("https://klasma.github.io/Logging_2283/karta/A 62638-2022 karta.png", "A 62638-2022")</f>
        <v/>
      </c>
      <c r="U263">
        <f>HYPERLINK("https://klasma.github.io/Logging_2283/knärot/A 62638-2022 knärot.png", "A 62638-2022")</f>
        <v/>
      </c>
      <c r="V263">
        <f>HYPERLINK("https://klasma.github.io/Logging_2283/klagomål/A 62638-2022 klagomål.docx", "A 62638-2022")</f>
        <v/>
      </c>
      <c r="W263">
        <f>HYPERLINK("https://klasma.github.io/Logging_2283/klagomålsmail/A 62638-2022 klagomålsmail.docx", "A 62638-2022")</f>
        <v/>
      </c>
      <c r="X263">
        <f>HYPERLINK("https://klasma.github.io/Logging_2283/tillsyn/A 62638-2022 tillsyn.docx", "A 62638-2022")</f>
        <v/>
      </c>
      <c r="Y263">
        <f>HYPERLINK("https://klasma.github.io/Logging_2283/tillsynsmail/A 62638-2022 tillsynsmail.docx", "A 62638-2022")</f>
        <v/>
      </c>
    </row>
    <row r="264" ht="15" customHeight="1">
      <c r="A264" t="inlineStr">
        <is>
          <t>A 62632-2022</t>
        </is>
      </c>
      <c r="B264" s="1" t="n">
        <v>44925</v>
      </c>
      <c r="C264" s="1" t="n">
        <v>45212</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HYPERLINK("https://klasma.github.io/Logging_2283/karta/A 62632-2022 karta.png", "A 62632-2022")</f>
        <v/>
      </c>
      <c r="V264">
        <f>HYPERLINK("https://klasma.github.io/Logging_2283/klagomål/A 62632-2022 klagomål.docx", "A 62632-2022")</f>
        <v/>
      </c>
      <c r="W264">
        <f>HYPERLINK("https://klasma.github.io/Logging_2283/klagomålsmail/A 62632-2022 klagomålsmail.docx", "A 62632-2022")</f>
        <v/>
      </c>
      <c r="X264">
        <f>HYPERLINK("https://klasma.github.io/Logging_2283/tillsyn/A 62632-2022 tillsyn.docx", "A 62632-2022")</f>
        <v/>
      </c>
      <c r="Y264">
        <f>HYPERLINK("https://klasma.github.io/Logging_2283/tillsynsmail/A 62632-2022 tillsynsmail.docx", "A 62632-2022")</f>
        <v/>
      </c>
    </row>
    <row r="265" ht="15" customHeight="1">
      <c r="A265" t="inlineStr">
        <is>
          <t>A 2409-2023</t>
        </is>
      </c>
      <c r="B265" s="1" t="n">
        <v>44942</v>
      </c>
      <c r="C265" s="1" t="n">
        <v>45212</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HYPERLINK("https://klasma.github.io/Logging_2283/karta/A 2409-2023 karta.png", "A 2409-2023")</f>
        <v/>
      </c>
      <c r="V265">
        <f>HYPERLINK("https://klasma.github.io/Logging_2283/klagomål/A 2409-2023 klagomål.docx", "A 2409-2023")</f>
        <v/>
      </c>
      <c r="W265">
        <f>HYPERLINK("https://klasma.github.io/Logging_2283/klagomålsmail/A 2409-2023 klagomålsmail.docx", "A 2409-2023")</f>
        <v/>
      </c>
      <c r="X265">
        <f>HYPERLINK("https://klasma.github.io/Logging_2283/tillsyn/A 2409-2023 tillsyn.docx", "A 2409-2023")</f>
        <v/>
      </c>
      <c r="Y265">
        <f>HYPERLINK("https://klasma.github.io/Logging_2283/tillsynsmail/A 2409-2023 tillsynsmail.docx", "A 2409-2023")</f>
        <v/>
      </c>
    </row>
    <row r="266" ht="15" customHeight="1">
      <c r="A266" t="inlineStr">
        <is>
          <t>A 14959-2023</t>
        </is>
      </c>
      <c r="B266" s="1" t="n">
        <v>45015</v>
      </c>
      <c r="C266" s="1" t="n">
        <v>45212</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HYPERLINK("https://klasma.github.io/Logging_2284/karta/A 14959-2023 karta.png", "A 14959-2023")</f>
        <v/>
      </c>
      <c r="V266">
        <f>HYPERLINK("https://klasma.github.io/Logging_2284/klagomål/A 14959-2023 klagomål.docx", "A 14959-2023")</f>
        <v/>
      </c>
      <c r="W266">
        <f>HYPERLINK("https://klasma.github.io/Logging_2284/klagomålsmail/A 14959-2023 klagomålsmail.docx", "A 14959-2023")</f>
        <v/>
      </c>
      <c r="X266">
        <f>HYPERLINK("https://klasma.github.io/Logging_2284/tillsyn/A 14959-2023 tillsyn.docx", "A 14959-2023")</f>
        <v/>
      </c>
      <c r="Y266">
        <f>HYPERLINK("https://klasma.github.io/Logging_2284/tillsynsmail/A 14959-2023 tillsynsmail.docx", "A 14959-2023")</f>
        <v/>
      </c>
    </row>
    <row r="267" ht="15" customHeight="1">
      <c r="A267" t="inlineStr">
        <is>
          <t>A 15985-2023</t>
        </is>
      </c>
      <c r="B267" s="1" t="n">
        <v>45022</v>
      </c>
      <c r="C267" s="1" t="n">
        <v>45212</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HYPERLINK("https://klasma.github.io/Logging_2281/karta/A 15985-2023 karta.png", "A 15985-2023")</f>
        <v/>
      </c>
      <c r="V267">
        <f>HYPERLINK("https://klasma.github.io/Logging_2281/klagomål/A 15985-2023 klagomål.docx", "A 15985-2023")</f>
        <v/>
      </c>
      <c r="W267">
        <f>HYPERLINK("https://klasma.github.io/Logging_2281/klagomålsmail/A 15985-2023 klagomålsmail.docx", "A 15985-2023")</f>
        <v/>
      </c>
      <c r="X267">
        <f>HYPERLINK("https://klasma.github.io/Logging_2281/tillsyn/A 15985-2023 tillsyn.docx", "A 15985-2023")</f>
        <v/>
      </c>
      <c r="Y267">
        <f>HYPERLINK("https://klasma.github.io/Logging_2281/tillsynsmail/A 15985-2023 tillsynsmail.docx", "A 15985-2023")</f>
        <v/>
      </c>
    </row>
    <row r="268" ht="15" customHeight="1">
      <c r="A268" t="inlineStr">
        <is>
          <t>A 16767-2023</t>
        </is>
      </c>
      <c r="B268" s="1" t="n">
        <v>45030</v>
      </c>
      <c r="C268" s="1" t="n">
        <v>45212</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HYPERLINK("https://klasma.github.io/Logging_2281/karta/A 16767-2023 karta.png", "A 16767-2023")</f>
        <v/>
      </c>
      <c r="V268">
        <f>HYPERLINK("https://klasma.github.io/Logging_2281/klagomål/A 16767-2023 klagomål.docx", "A 16767-2023")</f>
        <v/>
      </c>
      <c r="W268">
        <f>HYPERLINK("https://klasma.github.io/Logging_2281/klagomålsmail/A 16767-2023 klagomålsmail.docx", "A 16767-2023")</f>
        <v/>
      </c>
      <c r="X268">
        <f>HYPERLINK("https://klasma.github.io/Logging_2281/tillsyn/A 16767-2023 tillsyn.docx", "A 16767-2023")</f>
        <v/>
      </c>
      <c r="Y268">
        <f>HYPERLINK("https://klasma.github.io/Logging_2281/tillsynsmail/A 16767-2023 tillsynsmail.docx", "A 16767-2023")</f>
        <v/>
      </c>
    </row>
    <row r="269" ht="15" customHeight="1">
      <c r="A269" t="inlineStr">
        <is>
          <t>A 18066-2023</t>
        </is>
      </c>
      <c r="B269" s="1" t="n">
        <v>45040</v>
      </c>
      <c r="C269" s="1" t="n">
        <v>45212</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HYPERLINK("https://klasma.github.io/Logging_2283/karta/A 18066-2023 karta.png", "A 18066-2023")</f>
        <v/>
      </c>
      <c r="U269">
        <f>HYPERLINK("https://klasma.github.io/Logging_2283/knärot/A 18066-2023 knärot.png", "A 18066-2023")</f>
        <v/>
      </c>
      <c r="V269">
        <f>HYPERLINK("https://klasma.github.io/Logging_2283/klagomål/A 18066-2023 klagomål.docx", "A 18066-2023")</f>
        <v/>
      </c>
      <c r="W269">
        <f>HYPERLINK("https://klasma.github.io/Logging_2283/klagomålsmail/A 18066-2023 klagomålsmail.docx", "A 18066-2023")</f>
        <v/>
      </c>
      <c r="X269">
        <f>HYPERLINK("https://klasma.github.io/Logging_2283/tillsyn/A 18066-2023 tillsyn.docx", "A 18066-2023")</f>
        <v/>
      </c>
      <c r="Y269">
        <f>HYPERLINK("https://klasma.github.io/Logging_2283/tillsynsmail/A 18066-2023 tillsynsmail.docx", "A 18066-2023")</f>
        <v/>
      </c>
    </row>
    <row r="270" ht="15" customHeight="1">
      <c r="A270" t="inlineStr">
        <is>
          <t>A 18375-2023</t>
        </is>
      </c>
      <c r="B270" s="1" t="n">
        <v>45041</v>
      </c>
      <c r="C270" s="1" t="n">
        <v>45212</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HYPERLINK("https://klasma.github.io/Logging_2281/karta/A 18375-2023 karta.png", "A 18375-2023")</f>
        <v/>
      </c>
      <c r="V270">
        <f>HYPERLINK("https://klasma.github.io/Logging_2281/klagomål/A 18375-2023 klagomål.docx", "A 18375-2023")</f>
        <v/>
      </c>
      <c r="W270">
        <f>HYPERLINK("https://klasma.github.io/Logging_2281/klagomålsmail/A 18375-2023 klagomålsmail.docx", "A 18375-2023")</f>
        <v/>
      </c>
      <c r="X270">
        <f>HYPERLINK("https://klasma.github.io/Logging_2281/tillsyn/A 18375-2023 tillsyn.docx", "A 18375-2023")</f>
        <v/>
      </c>
      <c r="Y270">
        <f>HYPERLINK("https://klasma.github.io/Logging_2281/tillsynsmail/A 18375-2023 tillsynsmail.docx", "A 18375-2023")</f>
        <v/>
      </c>
    </row>
    <row r="271" ht="15" customHeight="1">
      <c r="A271" t="inlineStr">
        <is>
          <t>A 24540-2023</t>
        </is>
      </c>
      <c r="B271" s="1" t="n">
        <v>45082</v>
      </c>
      <c r="C271" s="1" t="n">
        <v>45212</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HYPERLINK("https://klasma.github.io/Logging_2280/karta/A 24540-2023 karta.png", "A 24540-2023")</f>
        <v/>
      </c>
      <c r="V271">
        <f>HYPERLINK("https://klasma.github.io/Logging_2280/klagomål/A 24540-2023 klagomål.docx", "A 24540-2023")</f>
        <v/>
      </c>
      <c r="W271">
        <f>HYPERLINK("https://klasma.github.io/Logging_2280/klagomålsmail/A 24540-2023 klagomålsmail.docx", "A 24540-2023")</f>
        <v/>
      </c>
      <c r="X271">
        <f>HYPERLINK("https://klasma.github.io/Logging_2280/tillsyn/A 24540-2023 tillsyn.docx", "A 24540-2023")</f>
        <v/>
      </c>
      <c r="Y271">
        <f>HYPERLINK("https://klasma.github.io/Logging_2280/tillsynsmail/A 24540-2023 tillsynsmail.docx", "A 24540-2023")</f>
        <v/>
      </c>
    </row>
    <row r="272" ht="15" customHeight="1">
      <c r="A272" t="inlineStr">
        <is>
          <t>A 30907-2023</t>
        </is>
      </c>
      <c r="B272" s="1" t="n">
        <v>45113</v>
      </c>
      <c r="C272" s="1" t="n">
        <v>45212</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HYPERLINK("https://klasma.github.io/Logging_2284/karta/A 30907-2023 karta.png", "A 30907-2023")</f>
        <v/>
      </c>
      <c r="V272">
        <f>HYPERLINK("https://klasma.github.io/Logging_2284/klagomål/A 30907-2023 klagomål.docx", "A 30907-2023")</f>
        <v/>
      </c>
      <c r="W272">
        <f>HYPERLINK("https://klasma.github.io/Logging_2284/klagomålsmail/A 30907-2023 klagomålsmail.docx", "A 30907-2023")</f>
        <v/>
      </c>
      <c r="X272">
        <f>HYPERLINK("https://klasma.github.io/Logging_2284/tillsyn/A 30907-2023 tillsyn.docx", "A 30907-2023")</f>
        <v/>
      </c>
      <c r="Y272">
        <f>HYPERLINK("https://klasma.github.io/Logging_2284/tillsynsmail/A 30907-2023 tillsynsmail.docx", "A 30907-2023")</f>
        <v/>
      </c>
    </row>
    <row r="273" ht="15" customHeight="1">
      <c r="A273" t="inlineStr">
        <is>
          <t>A 38935-2023</t>
        </is>
      </c>
      <c r="B273" s="1" t="n">
        <v>45161</v>
      </c>
      <c r="C273" s="1" t="n">
        <v>45212</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HYPERLINK("https://klasma.github.io/Logging_2282/karta/A 38935-2023 karta.png", "A 38935-2023")</f>
        <v/>
      </c>
      <c r="V273">
        <f>HYPERLINK("https://klasma.github.io/Logging_2282/klagomål/A 38935-2023 klagomål.docx", "A 38935-2023")</f>
        <v/>
      </c>
      <c r="W273">
        <f>HYPERLINK("https://klasma.github.io/Logging_2282/klagomålsmail/A 38935-2023 klagomålsmail.docx", "A 38935-2023")</f>
        <v/>
      </c>
      <c r="X273">
        <f>HYPERLINK("https://klasma.github.io/Logging_2282/tillsyn/A 38935-2023 tillsyn.docx", "A 38935-2023")</f>
        <v/>
      </c>
      <c r="Y273">
        <f>HYPERLINK("https://klasma.github.io/Logging_2282/tillsynsmail/A 38935-2023 tillsynsmail.docx", "A 38935-2023")</f>
        <v/>
      </c>
    </row>
    <row r="274" ht="15" customHeight="1">
      <c r="A274" t="inlineStr">
        <is>
          <t>A 36745-2018</t>
        </is>
      </c>
      <c r="B274" s="1" t="n">
        <v>43329</v>
      </c>
      <c r="C274" s="1" t="n">
        <v>45212</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HYPERLINK("https://klasma.github.io/Logging_2282/karta/A 36745-2018 karta.png", "A 36745-2018")</f>
        <v/>
      </c>
      <c r="V274">
        <f>HYPERLINK("https://klasma.github.io/Logging_2282/klagomål/A 36745-2018 klagomål.docx", "A 36745-2018")</f>
        <v/>
      </c>
      <c r="W274">
        <f>HYPERLINK("https://klasma.github.io/Logging_2282/klagomålsmail/A 36745-2018 klagomålsmail.docx", "A 36745-2018")</f>
        <v/>
      </c>
      <c r="X274">
        <f>HYPERLINK("https://klasma.github.io/Logging_2282/tillsyn/A 36745-2018 tillsyn.docx", "A 36745-2018")</f>
        <v/>
      </c>
      <c r="Y274">
        <f>HYPERLINK("https://klasma.github.io/Logging_2282/tillsynsmail/A 36745-2018 tillsynsmail.docx", "A 36745-2018")</f>
        <v/>
      </c>
    </row>
    <row r="275" ht="15" customHeight="1">
      <c r="A275" t="inlineStr">
        <is>
          <t>A 44334-2018</t>
        </is>
      </c>
      <c r="B275" s="1" t="n">
        <v>43360</v>
      </c>
      <c r="C275" s="1" t="n">
        <v>45212</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HYPERLINK("https://klasma.github.io/Logging_2283/karta/A 44334-2018 karta.png", "A 44334-2018")</f>
        <v/>
      </c>
      <c r="V275">
        <f>HYPERLINK("https://klasma.github.io/Logging_2283/klagomål/A 44334-2018 klagomål.docx", "A 44334-2018")</f>
        <v/>
      </c>
      <c r="W275">
        <f>HYPERLINK("https://klasma.github.io/Logging_2283/klagomålsmail/A 44334-2018 klagomålsmail.docx", "A 44334-2018")</f>
        <v/>
      </c>
      <c r="X275">
        <f>HYPERLINK("https://klasma.github.io/Logging_2283/tillsyn/A 44334-2018 tillsyn.docx", "A 44334-2018")</f>
        <v/>
      </c>
      <c r="Y275">
        <f>HYPERLINK("https://klasma.github.io/Logging_2283/tillsynsmail/A 44334-2018 tillsynsmail.docx", "A 44334-2018")</f>
        <v/>
      </c>
    </row>
    <row r="276" ht="15" customHeight="1">
      <c r="A276" t="inlineStr">
        <is>
          <t>A 57649-2018</t>
        </is>
      </c>
      <c r="B276" s="1" t="n">
        <v>43404</v>
      </c>
      <c r="C276" s="1" t="n">
        <v>45212</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HYPERLINK("https://klasma.github.io/Logging_2283/karta/A 57649-2018 karta.png", "A 57649-2018")</f>
        <v/>
      </c>
      <c r="V276">
        <f>HYPERLINK("https://klasma.github.io/Logging_2283/klagomål/A 57649-2018 klagomål.docx", "A 57649-2018")</f>
        <v/>
      </c>
      <c r="W276">
        <f>HYPERLINK("https://klasma.github.io/Logging_2283/klagomålsmail/A 57649-2018 klagomålsmail.docx", "A 57649-2018")</f>
        <v/>
      </c>
      <c r="X276">
        <f>HYPERLINK("https://klasma.github.io/Logging_2283/tillsyn/A 57649-2018 tillsyn.docx", "A 57649-2018")</f>
        <v/>
      </c>
      <c r="Y276">
        <f>HYPERLINK("https://klasma.github.io/Logging_2283/tillsynsmail/A 57649-2018 tillsynsmail.docx", "A 57649-2018")</f>
        <v/>
      </c>
    </row>
    <row r="277" ht="15" customHeight="1">
      <c r="A277" t="inlineStr">
        <is>
          <t>A 71518-2018</t>
        </is>
      </c>
      <c r="B277" s="1" t="n">
        <v>43454</v>
      </c>
      <c r="C277" s="1" t="n">
        <v>45212</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HYPERLINK("https://klasma.github.io/Logging_2283/karta/A 71518-2018 karta.png", "A 71518-2018")</f>
        <v/>
      </c>
      <c r="V277">
        <f>HYPERLINK("https://klasma.github.io/Logging_2283/klagomål/A 71518-2018 klagomål.docx", "A 71518-2018")</f>
        <v/>
      </c>
      <c r="W277">
        <f>HYPERLINK("https://klasma.github.io/Logging_2283/klagomålsmail/A 71518-2018 klagomålsmail.docx", "A 71518-2018")</f>
        <v/>
      </c>
      <c r="X277">
        <f>HYPERLINK("https://klasma.github.io/Logging_2283/tillsyn/A 71518-2018 tillsyn.docx", "A 71518-2018")</f>
        <v/>
      </c>
      <c r="Y277">
        <f>HYPERLINK("https://klasma.github.io/Logging_2283/tillsynsmail/A 71518-2018 tillsynsmail.docx", "A 71518-2018")</f>
        <v/>
      </c>
    </row>
    <row r="278" ht="15" customHeight="1">
      <c r="A278" t="inlineStr">
        <is>
          <t>A 4931-2019</t>
        </is>
      </c>
      <c r="B278" s="1" t="n">
        <v>43479</v>
      </c>
      <c r="C278" s="1" t="n">
        <v>45212</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HYPERLINK("https://klasma.github.io/Logging_2281/karta/A 4931-2019 karta.png", "A 4931-2019")</f>
        <v/>
      </c>
      <c r="V278">
        <f>HYPERLINK("https://klasma.github.io/Logging_2281/klagomål/A 4931-2019 klagomål.docx", "A 4931-2019")</f>
        <v/>
      </c>
      <c r="W278">
        <f>HYPERLINK("https://klasma.github.io/Logging_2281/klagomålsmail/A 4931-2019 klagomålsmail.docx", "A 4931-2019")</f>
        <v/>
      </c>
      <c r="X278">
        <f>HYPERLINK("https://klasma.github.io/Logging_2281/tillsyn/A 4931-2019 tillsyn.docx", "A 4931-2019")</f>
        <v/>
      </c>
      <c r="Y278">
        <f>HYPERLINK("https://klasma.github.io/Logging_2281/tillsynsmail/A 4931-2019 tillsynsmail.docx", "A 4931-2019")</f>
        <v/>
      </c>
    </row>
    <row r="279" ht="15" customHeight="1">
      <c r="A279" t="inlineStr">
        <is>
          <t>A 5787-2019</t>
        </is>
      </c>
      <c r="B279" s="1" t="n">
        <v>43482</v>
      </c>
      <c r="C279" s="1" t="n">
        <v>45212</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HYPERLINK("https://klasma.github.io/Logging_2282/karta/A 5787-2019 karta.png", "A 5787-2019")</f>
        <v/>
      </c>
      <c r="V279">
        <f>HYPERLINK("https://klasma.github.io/Logging_2282/klagomål/A 5787-2019 klagomål.docx", "A 5787-2019")</f>
        <v/>
      </c>
      <c r="W279">
        <f>HYPERLINK("https://klasma.github.io/Logging_2282/klagomålsmail/A 5787-2019 klagomålsmail.docx", "A 5787-2019")</f>
        <v/>
      </c>
      <c r="X279">
        <f>HYPERLINK("https://klasma.github.io/Logging_2282/tillsyn/A 5787-2019 tillsyn.docx", "A 5787-2019")</f>
        <v/>
      </c>
      <c r="Y279">
        <f>HYPERLINK("https://klasma.github.io/Logging_2282/tillsynsmail/A 5787-2019 tillsynsmail.docx", "A 5787-2019")</f>
        <v/>
      </c>
    </row>
    <row r="280" ht="15" customHeight="1">
      <c r="A280" t="inlineStr">
        <is>
          <t>A 14725-2019</t>
        </is>
      </c>
      <c r="B280" s="1" t="n">
        <v>43535</v>
      </c>
      <c r="C280" s="1" t="n">
        <v>45212</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HYPERLINK("https://klasma.github.io/Logging_2281/karta/A 14725-2019 karta.png", "A 14725-2019")</f>
        <v/>
      </c>
      <c r="V280">
        <f>HYPERLINK("https://klasma.github.io/Logging_2281/klagomål/A 14725-2019 klagomål.docx", "A 14725-2019")</f>
        <v/>
      </c>
      <c r="W280">
        <f>HYPERLINK("https://klasma.github.io/Logging_2281/klagomålsmail/A 14725-2019 klagomålsmail.docx", "A 14725-2019")</f>
        <v/>
      </c>
      <c r="X280">
        <f>HYPERLINK("https://klasma.github.io/Logging_2281/tillsyn/A 14725-2019 tillsyn.docx", "A 14725-2019")</f>
        <v/>
      </c>
      <c r="Y280">
        <f>HYPERLINK("https://klasma.github.io/Logging_2281/tillsynsmail/A 14725-2019 tillsynsmail.docx", "A 14725-2019")</f>
        <v/>
      </c>
    </row>
    <row r="281" ht="15" customHeight="1">
      <c r="A281" t="inlineStr">
        <is>
          <t>A 16853-2019</t>
        </is>
      </c>
      <c r="B281" s="1" t="n">
        <v>43549</v>
      </c>
      <c r="C281" s="1" t="n">
        <v>45212</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HYPERLINK("https://klasma.github.io/Logging_2262/karta/A 16853-2019 karta.png", "A 16853-2019")</f>
        <v/>
      </c>
      <c r="V281">
        <f>HYPERLINK("https://klasma.github.io/Logging_2262/klagomål/A 16853-2019 klagomål.docx", "A 16853-2019")</f>
        <v/>
      </c>
      <c r="W281">
        <f>HYPERLINK("https://klasma.github.io/Logging_2262/klagomålsmail/A 16853-2019 klagomålsmail.docx", "A 16853-2019")</f>
        <v/>
      </c>
      <c r="X281">
        <f>HYPERLINK("https://klasma.github.io/Logging_2262/tillsyn/A 16853-2019 tillsyn.docx", "A 16853-2019")</f>
        <v/>
      </c>
      <c r="Y281">
        <f>HYPERLINK("https://klasma.github.io/Logging_2262/tillsynsmail/A 16853-2019 tillsynsmail.docx", "A 16853-2019")</f>
        <v/>
      </c>
    </row>
    <row r="282" ht="15" customHeight="1">
      <c r="A282" t="inlineStr">
        <is>
          <t>A 46768-2019</t>
        </is>
      </c>
      <c r="B282" s="1" t="n">
        <v>43718</v>
      </c>
      <c r="C282" s="1" t="n">
        <v>45212</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HYPERLINK("https://klasma.github.io/Logging_2280/karta/A 46768-2019 karta.png", "A 46768-2019")</f>
        <v/>
      </c>
      <c r="V282">
        <f>HYPERLINK("https://klasma.github.io/Logging_2280/klagomål/A 46768-2019 klagomål.docx", "A 46768-2019")</f>
        <v/>
      </c>
      <c r="W282">
        <f>HYPERLINK("https://klasma.github.io/Logging_2280/klagomålsmail/A 46768-2019 klagomålsmail.docx", "A 46768-2019")</f>
        <v/>
      </c>
      <c r="X282">
        <f>HYPERLINK("https://klasma.github.io/Logging_2280/tillsyn/A 46768-2019 tillsyn.docx", "A 46768-2019")</f>
        <v/>
      </c>
      <c r="Y282">
        <f>HYPERLINK("https://klasma.github.io/Logging_2280/tillsynsmail/A 46768-2019 tillsynsmail.docx", "A 46768-2019")</f>
        <v/>
      </c>
    </row>
    <row r="283" ht="15" customHeight="1">
      <c r="A283" t="inlineStr">
        <is>
          <t>A 50545-2019</t>
        </is>
      </c>
      <c r="B283" s="1" t="n">
        <v>43735</v>
      </c>
      <c r="C283" s="1" t="n">
        <v>45212</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HYPERLINK("https://klasma.github.io/Logging_2284/karta/A 50545-2019 karta.png", "A 50545-2019")</f>
        <v/>
      </c>
      <c r="V283">
        <f>HYPERLINK("https://klasma.github.io/Logging_2284/klagomål/A 50545-2019 klagomål.docx", "A 50545-2019")</f>
        <v/>
      </c>
      <c r="W283">
        <f>HYPERLINK("https://klasma.github.io/Logging_2284/klagomålsmail/A 50545-2019 klagomålsmail.docx", "A 50545-2019")</f>
        <v/>
      </c>
      <c r="X283">
        <f>HYPERLINK("https://klasma.github.io/Logging_2284/tillsyn/A 50545-2019 tillsyn.docx", "A 50545-2019")</f>
        <v/>
      </c>
      <c r="Y283">
        <f>HYPERLINK("https://klasma.github.io/Logging_2284/tillsynsmail/A 50545-2019 tillsynsmail.docx", "A 50545-2019")</f>
        <v/>
      </c>
    </row>
    <row r="284" ht="15" customHeight="1">
      <c r="A284" t="inlineStr">
        <is>
          <t>A 55683-2019</t>
        </is>
      </c>
      <c r="B284" s="1" t="n">
        <v>43760</v>
      </c>
      <c r="C284" s="1" t="n">
        <v>45212</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HYPERLINK("https://klasma.github.io/Logging_2283/karta/A 55683-2019 karta.png", "A 55683-2019")</f>
        <v/>
      </c>
      <c r="V284">
        <f>HYPERLINK("https://klasma.github.io/Logging_2283/klagomål/A 55683-2019 klagomål.docx", "A 55683-2019")</f>
        <v/>
      </c>
      <c r="W284">
        <f>HYPERLINK("https://klasma.github.io/Logging_2283/klagomålsmail/A 55683-2019 klagomålsmail.docx", "A 55683-2019")</f>
        <v/>
      </c>
      <c r="X284">
        <f>HYPERLINK("https://klasma.github.io/Logging_2283/tillsyn/A 55683-2019 tillsyn.docx", "A 55683-2019")</f>
        <v/>
      </c>
      <c r="Y284">
        <f>HYPERLINK("https://klasma.github.io/Logging_2283/tillsynsmail/A 55683-2019 tillsynsmail.docx", "A 55683-2019")</f>
        <v/>
      </c>
    </row>
    <row r="285" ht="15" customHeight="1">
      <c r="A285" t="inlineStr">
        <is>
          <t>A 65041-2019</t>
        </is>
      </c>
      <c r="B285" s="1" t="n">
        <v>43801</v>
      </c>
      <c r="C285" s="1" t="n">
        <v>45212</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HYPERLINK("https://klasma.github.io/Logging_2281/karta/A 65041-2019 karta.png", "A 65041-2019")</f>
        <v/>
      </c>
      <c r="V285">
        <f>HYPERLINK("https://klasma.github.io/Logging_2281/klagomål/A 65041-2019 klagomål.docx", "A 65041-2019")</f>
        <v/>
      </c>
      <c r="W285">
        <f>HYPERLINK("https://klasma.github.io/Logging_2281/klagomålsmail/A 65041-2019 klagomålsmail.docx", "A 65041-2019")</f>
        <v/>
      </c>
      <c r="X285">
        <f>HYPERLINK("https://klasma.github.io/Logging_2281/tillsyn/A 65041-2019 tillsyn.docx", "A 65041-2019")</f>
        <v/>
      </c>
      <c r="Y285">
        <f>HYPERLINK("https://klasma.github.io/Logging_2281/tillsynsmail/A 65041-2019 tillsynsmail.docx", "A 65041-2019")</f>
        <v/>
      </c>
    </row>
    <row r="286" ht="15" customHeight="1">
      <c r="A286" t="inlineStr">
        <is>
          <t>A 3611-2020</t>
        </is>
      </c>
      <c r="B286" s="1" t="n">
        <v>43853</v>
      </c>
      <c r="C286" s="1" t="n">
        <v>45212</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HYPERLINK("https://klasma.github.io/Logging_2282/karta/A 3611-2020 karta.png", "A 3611-2020")</f>
        <v/>
      </c>
      <c r="V286">
        <f>HYPERLINK("https://klasma.github.io/Logging_2282/klagomål/A 3611-2020 klagomål.docx", "A 3611-2020")</f>
        <v/>
      </c>
      <c r="W286">
        <f>HYPERLINK("https://klasma.github.io/Logging_2282/klagomålsmail/A 3611-2020 klagomålsmail.docx", "A 3611-2020")</f>
        <v/>
      </c>
      <c r="X286">
        <f>HYPERLINK("https://klasma.github.io/Logging_2282/tillsyn/A 3611-2020 tillsyn.docx", "A 3611-2020")</f>
        <v/>
      </c>
      <c r="Y286">
        <f>HYPERLINK("https://klasma.github.io/Logging_2282/tillsynsmail/A 3611-2020 tillsynsmail.docx", "A 3611-2020")</f>
        <v/>
      </c>
    </row>
    <row r="287" ht="15" customHeight="1">
      <c r="A287" t="inlineStr">
        <is>
          <t>A 12608-2020</t>
        </is>
      </c>
      <c r="B287" s="1" t="n">
        <v>43899</v>
      </c>
      <c r="C287" s="1" t="n">
        <v>45212</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 artfynd.xlsx", "A 12608-2020")</f>
        <v/>
      </c>
      <c r="T287">
        <f>HYPERLINK("https://klasma.github.io/Logging_2260/karta/A 12608-2020 karta.png", "A 12608-2020")</f>
        <v/>
      </c>
      <c r="V287">
        <f>HYPERLINK("https://klasma.github.io/Logging_2260/klagomål/A 12608-2020 klagomål.docx", "A 12608-2020")</f>
        <v/>
      </c>
      <c r="W287">
        <f>HYPERLINK("https://klasma.github.io/Logging_2260/klagomålsmail/A 12608-2020 klagomålsmail.docx", "A 12608-2020")</f>
        <v/>
      </c>
      <c r="X287">
        <f>HYPERLINK("https://klasma.github.io/Logging_2260/tillsyn/A 12608-2020 tillsyn.docx", "A 12608-2020")</f>
        <v/>
      </c>
      <c r="Y287">
        <f>HYPERLINK("https://klasma.github.io/Logging_2260/tillsynsmail/A 12608-2020 tillsynsmail.docx", "A 12608-2020")</f>
        <v/>
      </c>
    </row>
    <row r="288" ht="15" customHeight="1">
      <c r="A288" t="inlineStr">
        <is>
          <t>A 17141-2020</t>
        </is>
      </c>
      <c r="B288" s="1" t="n">
        <v>43922</v>
      </c>
      <c r="C288" s="1" t="n">
        <v>45212</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 artfynd.xlsx", "A 17141-2020")</f>
        <v/>
      </c>
      <c r="T288">
        <f>HYPERLINK("https://klasma.github.io/Logging_2282/karta/A 17141-2020 karta.png", "A 17141-2020")</f>
        <v/>
      </c>
      <c r="V288">
        <f>HYPERLINK("https://klasma.github.io/Logging_2282/klagomål/A 17141-2020 klagomål.docx", "A 17141-2020")</f>
        <v/>
      </c>
      <c r="W288">
        <f>HYPERLINK("https://klasma.github.io/Logging_2282/klagomålsmail/A 17141-2020 klagomålsmail.docx", "A 17141-2020")</f>
        <v/>
      </c>
      <c r="X288">
        <f>HYPERLINK("https://klasma.github.io/Logging_2282/tillsyn/A 17141-2020 tillsyn.docx", "A 17141-2020")</f>
        <v/>
      </c>
      <c r="Y288">
        <f>HYPERLINK("https://klasma.github.io/Logging_2282/tillsynsmail/A 17141-2020 tillsynsmail.docx", "A 17141-2020")</f>
        <v/>
      </c>
    </row>
    <row r="289" ht="15" customHeight="1">
      <c r="A289" t="inlineStr">
        <is>
          <t>A 22407-2020</t>
        </is>
      </c>
      <c r="B289" s="1" t="n">
        <v>43962</v>
      </c>
      <c r="C289" s="1" t="n">
        <v>45212</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 artfynd.xlsx", "A 22407-2020")</f>
        <v/>
      </c>
      <c r="T289">
        <f>HYPERLINK("https://klasma.github.io/Logging_2281/karta/A 22407-2020 karta.png", "A 22407-2020")</f>
        <v/>
      </c>
      <c r="U289">
        <f>HYPERLINK("https://klasma.github.io/Logging_2281/knärot/A 22407-2020 knärot.png", "A 22407-2020")</f>
        <v/>
      </c>
      <c r="V289">
        <f>HYPERLINK("https://klasma.github.io/Logging_2281/klagomål/A 22407-2020 klagomål.docx", "A 22407-2020")</f>
        <v/>
      </c>
      <c r="W289">
        <f>HYPERLINK("https://klasma.github.io/Logging_2281/klagomålsmail/A 22407-2020 klagomålsmail.docx", "A 22407-2020")</f>
        <v/>
      </c>
      <c r="X289">
        <f>HYPERLINK("https://klasma.github.io/Logging_2281/tillsyn/A 22407-2020 tillsyn.docx", "A 22407-2020")</f>
        <v/>
      </c>
      <c r="Y289">
        <f>HYPERLINK("https://klasma.github.io/Logging_2281/tillsynsmail/A 22407-2020 tillsynsmail.docx", "A 22407-2020")</f>
        <v/>
      </c>
    </row>
    <row r="290" ht="15" customHeight="1">
      <c r="A290" t="inlineStr">
        <is>
          <t>A 24219-2020</t>
        </is>
      </c>
      <c r="B290" s="1" t="n">
        <v>43973</v>
      </c>
      <c r="C290" s="1" t="n">
        <v>45212</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 artfynd.xlsx", "A 24219-2020")</f>
        <v/>
      </c>
      <c r="T290">
        <f>HYPERLINK("https://klasma.github.io/Logging_2283/karta/A 24219-2020 karta.png", "A 24219-2020")</f>
        <v/>
      </c>
      <c r="V290">
        <f>HYPERLINK("https://klasma.github.io/Logging_2283/klagomål/A 24219-2020 klagomål.docx", "A 24219-2020")</f>
        <v/>
      </c>
      <c r="W290">
        <f>HYPERLINK("https://klasma.github.io/Logging_2283/klagomålsmail/A 24219-2020 klagomålsmail.docx", "A 24219-2020")</f>
        <v/>
      </c>
      <c r="X290">
        <f>HYPERLINK("https://klasma.github.io/Logging_2283/tillsyn/A 24219-2020 tillsyn.docx", "A 24219-2020")</f>
        <v/>
      </c>
      <c r="Y290">
        <f>HYPERLINK("https://klasma.github.io/Logging_2283/tillsynsmail/A 24219-2020 tillsynsmail.docx", "A 24219-2020")</f>
        <v/>
      </c>
    </row>
    <row r="291" ht="15" customHeight="1">
      <c r="A291" t="inlineStr">
        <is>
          <t>A 31640-2020</t>
        </is>
      </c>
      <c r="B291" s="1" t="n">
        <v>44013</v>
      </c>
      <c r="C291" s="1" t="n">
        <v>45212</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 artfynd.xlsx", "A 31640-2020")</f>
        <v/>
      </c>
      <c r="T291">
        <f>HYPERLINK("https://klasma.github.io/Logging_2283/karta/A 31640-2020 karta.png", "A 31640-2020")</f>
        <v/>
      </c>
      <c r="V291">
        <f>HYPERLINK("https://klasma.github.io/Logging_2283/klagomål/A 31640-2020 klagomål.docx", "A 31640-2020")</f>
        <v/>
      </c>
      <c r="W291">
        <f>HYPERLINK("https://klasma.github.io/Logging_2283/klagomålsmail/A 31640-2020 klagomålsmail.docx", "A 31640-2020")</f>
        <v/>
      </c>
      <c r="X291">
        <f>HYPERLINK("https://klasma.github.io/Logging_2283/tillsyn/A 31640-2020 tillsyn.docx", "A 31640-2020")</f>
        <v/>
      </c>
      <c r="Y291">
        <f>HYPERLINK("https://klasma.github.io/Logging_2283/tillsynsmail/A 31640-2020 tillsynsmail.docx", "A 31640-2020")</f>
        <v/>
      </c>
    </row>
    <row r="292" ht="15" customHeight="1">
      <c r="A292" t="inlineStr">
        <is>
          <t>A 43946-2020</t>
        </is>
      </c>
      <c r="B292" s="1" t="n">
        <v>44083</v>
      </c>
      <c r="C292" s="1" t="n">
        <v>45212</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 artfynd.xlsx", "A 43946-2020")</f>
        <v/>
      </c>
      <c r="T292">
        <f>HYPERLINK("https://klasma.github.io/Logging_2284/karta/A 43946-2020 karta.png", "A 43946-2020")</f>
        <v/>
      </c>
      <c r="V292">
        <f>HYPERLINK("https://klasma.github.io/Logging_2284/klagomål/A 43946-2020 klagomål.docx", "A 43946-2020")</f>
        <v/>
      </c>
      <c r="W292">
        <f>HYPERLINK("https://klasma.github.io/Logging_2284/klagomålsmail/A 43946-2020 klagomålsmail.docx", "A 43946-2020")</f>
        <v/>
      </c>
      <c r="X292">
        <f>HYPERLINK("https://klasma.github.io/Logging_2284/tillsyn/A 43946-2020 tillsyn.docx", "A 43946-2020")</f>
        <v/>
      </c>
      <c r="Y292">
        <f>HYPERLINK("https://klasma.github.io/Logging_2284/tillsynsmail/A 43946-2020 tillsynsmail.docx", "A 43946-2020")</f>
        <v/>
      </c>
    </row>
    <row r="293" ht="15" customHeight="1">
      <c r="A293" t="inlineStr">
        <is>
          <t>A 53172-2020</t>
        </is>
      </c>
      <c r="B293" s="1" t="n">
        <v>44120</v>
      </c>
      <c r="C293" s="1" t="n">
        <v>45212</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 artfynd.xlsx", "A 53172-2020")</f>
        <v/>
      </c>
      <c r="T293">
        <f>HYPERLINK("https://klasma.github.io/Logging_2260/karta/A 53172-2020 karta.png", "A 53172-2020")</f>
        <v/>
      </c>
      <c r="V293">
        <f>HYPERLINK("https://klasma.github.io/Logging_2260/klagomål/A 53172-2020 klagomål.docx", "A 53172-2020")</f>
        <v/>
      </c>
      <c r="W293">
        <f>HYPERLINK("https://klasma.github.io/Logging_2260/klagomålsmail/A 53172-2020 klagomålsmail.docx", "A 53172-2020")</f>
        <v/>
      </c>
      <c r="X293">
        <f>HYPERLINK("https://klasma.github.io/Logging_2260/tillsyn/A 53172-2020 tillsyn.docx", "A 53172-2020")</f>
        <v/>
      </c>
      <c r="Y293">
        <f>HYPERLINK("https://klasma.github.io/Logging_2260/tillsynsmail/A 53172-2020 tillsynsmail.docx", "A 53172-2020")</f>
        <v/>
      </c>
    </row>
    <row r="294" ht="15" customHeight="1">
      <c r="A294" t="inlineStr">
        <is>
          <t>A 58925-2020</t>
        </is>
      </c>
      <c r="B294" s="1" t="n">
        <v>44146</v>
      </c>
      <c r="C294" s="1" t="n">
        <v>45212</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 artfynd.xlsx", "A 58925-2020")</f>
        <v/>
      </c>
      <c r="T294">
        <f>HYPERLINK("https://klasma.github.io/Logging_2284/karta/A 58925-2020 karta.png", "A 58925-2020")</f>
        <v/>
      </c>
      <c r="V294">
        <f>HYPERLINK("https://klasma.github.io/Logging_2284/klagomål/A 58925-2020 klagomål.docx", "A 58925-2020")</f>
        <v/>
      </c>
      <c r="W294">
        <f>HYPERLINK("https://klasma.github.io/Logging_2284/klagomålsmail/A 58925-2020 klagomålsmail.docx", "A 58925-2020")</f>
        <v/>
      </c>
      <c r="X294">
        <f>HYPERLINK("https://klasma.github.io/Logging_2284/tillsyn/A 58925-2020 tillsyn.docx", "A 58925-2020")</f>
        <v/>
      </c>
      <c r="Y294">
        <f>HYPERLINK("https://klasma.github.io/Logging_2284/tillsynsmail/A 58925-2020 tillsynsmail.docx", "A 58925-2020")</f>
        <v/>
      </c>
    </row>
    <row r="295" ht="15" customHeight="1">
      <c r="A295" t="inlineStr">
        <is>
          <t>A 63106-2020</t>
        </is>
      </c>
      <c r="B295" s="1" t="n">
        <v>44162</v>
      </c>
      <c r="C295" s="1" t="n">
        <v>45212</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 artfynd.xlsx", "A 63106-2020")</f>
        <v/>
      </c>
      <c r="T295">
        <f>HYPERLINK("https://klasma.github.io/Logging_2284/karta/A 63106-2020 karta.png", "A 63106-2020")</f>
        <v/>
      </c>
      <c r="V295">
        <f>HYPERLINK("https://klasma.github.io/Logging_2284/klagomål/A 63106-2020 klagomål.docx", "A 63106-2020")</f>
        <v/>
      </c>
      <c r="W295">
        <f>HYPERLINK("https://klasma.github.io/Logging_2284/klagomålsmail/A 63106-2020 klagomålsmail.docx", "A 63106-2020")</f>
        <v/>
      </c>
      <c r="X295">
        <f>HYPERLINK("https://klasma.github.io/Logging_2284/tillsyn/A 63106-2020 tillsyn.docx", "A 63106-2020")</f>
        <v/>
      </c>
      <c r="Y295">
        <f>HYPERLINK("https://klasma.github.io/Logging_2284/tillsynsmail/A 63106-2020 tillsynsmail.docx", "A 63106-2020")</f>
        <v/>
      </c>
    </row>
    <row r="296" ht="15" customHeight="1">
      <c r="A296" t="inlineStr">
        <is>
          <t>A 64990-2020</t>
        </is>
      </c>
      <c r="B296" s="1" t="n">
        <v>44172</v>
      </c>
      <c r="C296" s="1" t="n">
        <v>45212</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 artfynd.xlsx", "A 64990-2020")</f>
        <v/>
      </c>
      <c r="T296">
        <f>HYPERLINK("https://klasma.github.io/Logging_2284/karta/A 64990-2020 karta.png", "A 64990-2020")</f>
        <v/>
      </c>
      <c r="V296">
        <f>HYPERLINK("https://klasma.github.io/Logging_2284/klagomål/A 64990-2020 klagomål.docx", "A 64990-2020")</f>
        <v/>
      </c>
      <c r="W296">
        <f>HYPERLINK("https://klasma.github.io/Logging_2284/klagomålsmail/A 64990-2020 klagomålsmail.docx", "A 64990-2020")</f>
        <v/>
      </c>
      <c r="X296">
        <f>HYPERLINK("https://klasma.github.io/Logging_2284/tillsyn/A 64990-2020 tillsyn.docx", "A 64990-2020")</f>
        <v/>
      </c>
      <c r="Y296">
        <f>HYPERLINK("https://klasma.github.io/Logging_2284/tillsynsmail/A 64990-2020 tillsynsmail.docx", "A 64990-2020")</f>
        <v/>
      </c>
    </row>
    <row r="297" ht="15" customHeight="1">
      <c r="A297" t="inlineStr">
        <is>
          <t>A 1680-2021</t>
        </is>
      </c>
      <c r="B297" s="1" t="n">
        <v>44209</v>
      </c>
      <c r="C297" s="1" t="n">
        <v>45212</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 artfynd.xlsx", "A 1680-2021")</f>
        <v/>
      </c>
      <c r="T297">
        <f>HYPERLINK("https://klasma.github.io/Logging_2284/karta/A 1680-2021 karta.png", "A 1680-2021")</f>
        <v/>
      </c>
      <c r="V297">
        <f>HYPERLINK("https://klasma.github.io/Logging_2284/klagomål/A 1680-2021 klagomål.docx", "A 1680-2021")</f>
        <v/>
      </c>
      <c r="W297">
        <f>HYPERLINK("https://klasma.github.io/Logging_2284/klagomålsmail/A 1680-2021 klagomålsmail.docx", "A 1680-2021")</f>
        <v/>
      </c>
      <c r="X297">
        <f>HYPERLINK("https://klasma.github.io/Logging_2284/tillsyn/A 1680-2021 tillsyn.docx", "A 1680-2021")</f>
        <v/>
      </c>
      <c r="Y297">
        <f>HYPERLINK("https://klasma.github.io/Logging_2284/tillsynsmail/A 1680-2021 tillsynsmail.docx", "A 1680-2021")</f>
        <v/>
      </c>
    </row>
    <row r="298" ht="15" customHeight="1">
      <c r="A298" t="inlineStr">
        <is>
          <t>A 2806-2021</t>
        </is>
      </c>
      <c r="B298" s="1" t="n">
        <v>44215</v>
      </c>
      <c r="C298" s="1" t="n">
        <v>45212</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 artfynd.xlsx", "A 2806-2021")</f>
        <v/>
      </c>
      <c r="T298">
        <f>HYPERLINK("https://klasma.github.io/Logging_2282/karta/A 2806-2021 karta.png", "A 2806-2021")</f>
        <v/>
      </c>
      <c r="V298">
        <f>HYPERLINK("https://klasma.github.io/Logging_2282/klagomål/A 2806-2021 klagomål.docx", "A 2806-2021")</f>
        <v/>
      </c>
      <c r="W298">
        <f>HYPERLINK("https://klasma.github.io/Logging_2282/klagomålsmail/A 2806-2021 klagomålsmail.docx", "A 2806-2021")</f>
        <v/>
      </c>
      <c r="X298">
        <f>HYPERLINK("https://klasma.github.io/Logging_2282/tillsyn/A 2806-2021 tillsyn.docx", "A 2806-2021")</f>
        <v/>
      </c>
      <c r="Y298">
        <f>HYPERLINK("https://klasma.github.io/Logging_2282/tillsynsmail/A 2806-2021 tillsynsmail.docx", "A 2806-2021")</f>
        <v/>
      </c>
    </row>
    <row r="299" ht="15" customHeight="1">
      <c r="A299" t="inlineStr">
        <is>
          <t>A 8629-2021</t>
        </is>
      </c>
      <c r="B299" s="1" t="n">
        <v>44245</v>
      </c>
      <c r="C299" s="1" t="n">
        <v>45212</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 artfynd.xlsx", "A 8629-2021")</f>
        <v/>
      </c>
      <c r="T299">
        <f>HYPERLINK("https://klasma.github.io/Logging_2280/karta/A 8629-2021 karta.png", "A 8629-2021")</f>
        <v/>
      </c>
      <c r="V299">
        <f>HYPERLINK("https://klasma.github.io/Logging_2280/klagomål/A 8629-2021 klagomål.docx", "A 8629-2021")</f>
        <v/>
      </c>
      <c r="W299">
        <f>HYPERLINK("https://klasma.github.io/Logging_2280/klagomålsmail/A 8629-2021 klagomålsmail.docx", "A 8629-2021")</f>
        <v/>
      </c>
      <c r="X299">
        <f>HYPERLINK("https://klasma.github.io/Logging_2280/tillsyn/A 8629-2021 tillsyn.docx", "A 8629-2021")</f>
        <v/>
      </c>
      <c r="Y299">
        <f>HYPERLINK("https://klasma.github.io/Logging_2280/tillsynsmail/A 8629-2021 tillsynsmail.docx", "A 8629-2021")</f>
        <v/>
      </c>
    </row>
    <row r="300" ht="15" customHeight="1">
      <c r="A300" t="inlineStr">
        <is>
          <t>A 15666-2021</t>
        </is>
      </c>
      <c r="B300" s="1" t="n">
        <v>44285</v>
      </c>
      <c r="C300" s="1" t="n">
        <v>45212</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 artfynd.xlsx", "A 15666-2021")</f>
        <v/>
      </c>
      <c r="T300">
        <f>HYPERLINK("https://klasma.github.io/Logging_2260/karta/A 15666-2021 karta.png", "A 15666-2021")</f>
        <v/>
      </c>
      <c r="V300">
        <f>HYPERLINK("https://klasma.github.io/Logging_2260/klagomål/A 15666-2021 klagomål.docx", "A 15666-2021")</f>
        <v/>
      </c>
      <c r="W300">
        <f>HYPERLINK("https://klasma.github.io/Logging_2260/klagomålsmail/A 15666-2021 klagomålsmail.docx", "A 15666-2021")</f>
        <v/>
      </c>
      <c r="X300">
        <f>HYPERLINK("https://klasma.github.io/Logging_2260/tillsyn/A 15666-2021 tillsyn.docx", "A 15666-2021")</f>
        <v/>
      </c>
      <c r="Y300">
        <f>HYPERLINK("https://klasma.github.io/Logging_2260/tillsynsmail/A 15666-2021 tillsynsmail.docx", "A 15666-2021")</f>
        <v/>
      </c>
    </row>
    <row r="301" ht="15" customHeight="1">
      <c r="A301" t="inlineStr">
        <is>
          <t>A 23497-2021</t>
        </is>
      </c>
      <c r="B301" s="1" t="n">
        <v>44333</v>
      </c>
      <c r="C301" s="1" t="n">
        <v>45212</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 artfynd.xlsx", "A 23497-2021")</f>
        <v/>
      </c>
      <c r="T301">
        <f>HYPERLINK("https://klasma.github.io/Logging_2280/karta/A 23497-2021 karta.png", "A 23497-2021")</f>
        <v/>
      </c>
      <c r="V301">
        <f>HYPERLINK("https://klasma.github.io/Logging_2280/klagomål/A 23497-2021 klagomål.docx", "A 23497-2021")</f>
        <v/>
      </c>
      <c r="W301">
        <f>HYPERLINK("https://klasma.github.io/Logging_2280/klagomålsmail/A 23497-2021 klagomålsmail.docx", "A 23497-2021")</f>
        <v/>
      </c>
      <c r="X301">
        <f>HYPERLINK("https://klasma.github.io/Logging_2280/tillsyn/A 23497-2021 tillsyn.docx", "A 23497-2021")</f>
        <v/>
      </c>
      <c r="Y301">
        <f>HYPERLINK("https://klasma.github.io/Logging_2280/tillsynsmail/A 23497-2021 tillsynsmail.docx", "A 23497-2021")</f>
        <v/>
      </c>
    </row>
    <row r="302" ht="15" customHeight="1">
      <c r="A302" t="inlineStr">
        <is>
          <t>A 24268-2021</t>
        </is>
      </c>
      <c r="B302" s="1" t="n">
        <v>44336</v>
      </c>
      <c r="C302" s="1" t="n">
        <v>45212</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 artfynd.xlsx", "A 24268-2021")</f>
        <v/>
      </c>
      <c r="T302">
        <f>HYPERLINK("https://klasma.github.io/Logging_2281/karta/A 24268-2021 karta.png", "A 24268-2021")</f>
        <v/>
      </c>
      <c r="V302">
        <f>HYPERLINK("https://klasma.github.io/Logging_2281/klagomål/A 24268-2021 klagomål.docx", "A 24268-2021")</f>
        <v/>
      </c>
      <c r="W302">
        <f>HYPERLINK("https://klasma.github.io/Logging_2281/klagomålsmail/A 24268-2021 klagomålsmail.docx", "A 24268-2021")</f>
        <v/>
      </c>
      <c r="X302">
        <f>HYPERLINK("https://klasma.github.io/Logging_2281/tillsyn/A 24268-2021 tillsyn.docx", "A 24268-2021")</f>
        <v/>
      </c>
      <c r="Y302">
        <f>HYPERLINK("https://klasma.github.io/Logging_2281/tillsynsmail/A 24268-2021 tillsynsmail.docx", "A 24268-2021")</f>
        <v/>
      </c>
    </row>
    <row r="303" ht="15" customHeight="1">
      <c r="A303" t="inlineStr">
        <is>
          <t>A 26694-2021</t>
        </is>
      </c>
      <c r="B303" s="1" t="n">
        <v>44349</v>
      </c>
      <c r="C303" s="1" t="n">
        <v>45212</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 artfynd.xlsx", "A 26694-2021")</f>
        <v/>
      </c>
      <c r="T303">
        <f>HYPERLINK("https://klasma.github.io/Logging_2284/karta/A 26694-2021 karta.png", "A 26694-2021")</f>
        <v/>
      </c>
      <c r="V303">
        <f>HYPERLINK("https://klasma.github.io/Logging_2284/klagomål/A 26694-2021 klagomål.docx", "A 26694-2021")</f>
        <v/>
      </c>
      <c r="W303">
        <f>HYPERLINK("https://klasma.github.io/Logging_2284/klagomålsmail/A 26694-2021 klagomålsmail.docx", "A 26694-2021")</f>
        <v/>
      </c>
      <c r="X303">
        <f>HYPERLINK("https://klasma.github.io/Logging_2284/tillsyn/A 26694-2021 tillsyn.docx", "A 26694-2021")</f>
        <v/>
      </c>
      <c r="Y303">
        <f>HYPERLINK("https://klasma.github.io/Logging_2284/tillsynsmail/A 26694-2021 tillsynsmail.docx", "A 26694-2021")</f>
        <v/>
      </c>
    </row>
    <row r="304" ht="15" customHeight="1">
      <c r="A304" t="inlineStr">
        <is>
          <t>A 27956-2021</t>
        </is>
      </c>
      <c r="B304" s="1" t="n">
        <v>44354</v>
      </c>
      <c r="C304" s="1" t="n">
        <v>45212</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 artfynd.xlsx", "A 27956-2021")</f>
        <v/>
      </c>
      <c r="T304">
        <f>HYPERLINK("https://klasma.github.io/Logging_2260/karta/A 27956-2021 karta.png", "A 27956-2021")</f>
        <v/>
      </c>
      <c r="V304">
        <f>HYPERLINK("https://klasma.github.io/Logging_2260/klagomål/A 27956-2021 klagomål.docx", "A 27956-2021")</f>
        <v/>
      </c>
      <c r="W304">
        <f>HYPERLINK("https://klasma.github.io/Logging_2260/klagomålsmail/A 27956-2021 klagomålsmail.docx", "A 27956-2021")</f>
        <v/>
      </c>
      <c r="X304">
        <f>HYPERLINK("https://klasma.github.io/Logging_2260/tillsyn/A 27956-2021 tillsyn.docx", "A 27956-2021")</f>
        <v/>
      </c>
      <c r="Y304">
        <f>HYPERLINK("https://klasma.github.io/Logging_2260/tillsynsmail/A 27956-2021 tillsynsmail.docx", "A 27956-2021")</f>
        <v/>
      </c>
    </row>
    <row r="305" ht="15" customHeight="1">
      <c r="A305" t="inlineStr">
        <is>
          <t>A 33614-2021</t>
        </is>
      </c>
      <c r="B305" s="1" t="n">
        <v>44377</v>
      </c>
      <c r="C305" s="1" t="n">
        <v>45212</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 artfynd.xlsx", "A 33614-2021")</f>
        <v/>
      </c>
      <c r="T305">
        <f>HYPERLINK("https://klasma.github.io/Logging_2282/karta/A 33614-2021 karta.png", "A 33614-2021")</f>
        <v/>
      </c>
      <c r="V305">
        <f>HYPERLINK("https://klasma.github.io/Logging_2282/klagomål/A 33614-2021 klagomål.docx", "A 33614-2021")</f>
        <v/>
      </c>
      <c r="W305">
        <f>HYPERLINK("https://klasma.github.io/Logging_2282/klagomålsmail/A 33614-2021 klagomålsmail.docx", "A 33614-2021")</f>
        <v/>
      </c>
      <c r="X305">
        <f>HYPERLINK("https://klasma.github.io/Logging_2282/tillsyn/A 33614-2021 tillsyn.docx", "A 33614-2021")</f>
        <v/>
      </c>
      <c r="Y305">
        <f>HYPERLINK("https://klasma.github.io/Logging_2282/tillsynsmail/A 33614-2021 tillsynsmail.docx", "A 33614-2021")</f>
        <v/>
      </c>
    </row>
    <row r="306" ht="15" customHeight="1">
      <c r="A306" t="inlineStr">
        <is>
          <t>A 45122-2021</t>
        </is>
      </c>
      <c r="B306" s="1" t="n">
        <v>44439</v>
      </c>
      <c r="C306" s="1" t="n">
        <v>45212</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 artfynd.xlsx", "A 45122-2021")</f>
        <v/>
      </c>
      <c r="T306">
        <f>HYPERLINK("https://klasma.github.io/Logging_2260/karta/A 45122-2021 karta.png", "A 45122-2021")</f>
        <v/>
      </c>
      <c r="V306">
        <f>HYPERLINK("https://klasma.github.io/Logging_2260/klagomål/A 45122-2021 klagomål.docx", "A 45122-2021")</f>
        <v/>
      </c>
      <c r="W306">
        <f>HYPERLINK("https://klasma.github.io/Logging_2260/klagomålsmail/A 45122-2021 klagomålsmail.docx", "A 45122-2021")</f>
        <v/>
      </c>
      <c r="X306">
        <f>HYPERLINK("https://klasma.github.io/Logging_2260/tillsyn/A 45122-2021 tillsyn.docx", "A 45122-2021")</f>
        <v/>
      </c>
      <c r="Y306">
        <f>HYPERLINK("https://klasma.github.io/Logging_2260/tillsynsmail/A 45122-2021 tillsynsmail.docx", "A 45122-2021")</f>
        <v/>
      </c>
    </row>
    <row r="307" ht="15" customHeight="1">
      <c r="A307" t="inlineStr">
        <is>
          <t>A 51999-2021</t>
        </is>
      </c>
      <c r="B307" s="1" t="n">
        <v>44463</v>
      </c>
      <c r="C307" s="1" t="n">
        <v>45212</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 artfynd.xlsx", "A 51999-2021")</f>
        <v/>
      </c>
      <c r="T307">
        <f>HYPERLINK("https://klasma.github.io/Logging_2283/karta/A 51999-2021 karta.png", "A 51999-2021")</f>
        <v/>
      </c>
      <c r="V307">
        <f>HYPERLINK("https://klasma.github.io/Logging_2283/klagomål/A 51999-2021 klagomål.docx", "A 51999-2021")</f>
        <v/>
      </c>
      <c r="W307">
        <f>HYPERLINK("https://klasma.github.io/Logging_2283/klagomålsmail/A 51999-2021 klagomålsmail.docx", "A 51999-2021")</f>
        <v/>
      </c>
      <c r="X307">
        <f>HYPERLINK("https://klasma.github.io/Logging_2283/tillsyn/A 51999-2021 tillsyn.docx", "A 51999-2021")</f>
        <v/>
      </c>
      <c r="Y307">
        <f>HYPERLINK("https://klasma.github.io/Logging_2283/tillsynsmail/A 51999-2021 tillsynsmail.docx", "A 51999-2021")</f>
        <v/>
      </c>
    </row>
    <row r="308" ht="15" customHeight="1">
      <c r="A308" t="inlineStr">
        <is>
          <t>A 54534-2021</t>
        </is>
      </c>
      <c r="B308" s="1" t="n">
        <v>44473</v>
      </c>
      <c r="C308" s="1" t="n">
        <v>45212</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 artfynd.xlsx", "A 54534-2021")</f>
        <v/>
      </c>
      <c r="T308">
        <f>HYPERLINK("https://klasma.github.io/Logging_2284/karta/A 54534-2021 karta.png", "A 54534-2021")</f>
        <v/>
      </c>
      <c r="V308">
        <f>HYPERLINK("https://klasma.github.io/Logging_2284/klagomål/A 54534-2021 klagomål.docx", "A 54534-2021")</f>
        <v/>
      </c>
      <c r="W308">
        <f>HYPERLINK("https://klasma.github.io/Logging_2284/klagomålsmail/A 54534-2021 klagomålsmail.docx", "A 54534-2021")</f>
        <v/>
      </c>
      <c r="X308">
        <f>HYPERLINK("https://klasma.github.io/Logging_2284/tillsyn/A 54534-2021 tillsyn.docx", "A 54534-2021")</f>
        <v/>
      </c>
      <c r="Y308">
        <f>HYPERLINK("https://klasma.github.io/Logging_2284/tillsynsmail/A 54534-2021 tillsynsmail.docx", "A 54534-2021")</f>
        <v/>
      </c>
    </row>
    <row r="309" ht="15" customHeight="1">
      <c r="A309" t="inlineStr">
        <is>
          <t>A 60386-2021</t>
        </is>
      </c>
      <c r="B309" s="1" t="n">
        <v>44496</v>
      </c>
      <c r="C309" s="1" t="n">
        <v>45212</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 artfynd.xlsx", "A 60386-2021")</f>
        <v/>
      </c>
      <c r="T309">
        <f>HYPERLINK("https://klasma.github.io/Logging_2284/karta/A 60386-2021 karta.png", "A 60386-2021")</f>
        <v/>
      </c>
      <c r="V309">
        <f>HYPERLINK("https://klasma.github.io/Logging_2284/klagomål/A 60386-2021 klagomål.docx", "A 60386-2021")</f>
        <v/>
      </c>
      <c r="W309">
        <f>HYPERLINK("https://klasma.github.io/Logging_2284/klagomålsmail/A 60386-2021 klagomålsmail.docx", "A 60386-2021")</f>
        <v/>
      </c>
      <c r="X309">
        <f>HYPERLINK("https://klasma.github.io/Logging_2284/tillsyn/A 60386-2021 tillsyn.docx", "A 60386-2021")</f>
        <v/>
      </c>
      <c r="Y309">
        <f>HYPERLINK("https://klasma.github.io/Logging_2284/tillsynsmail/A 60386-2021 tillsynsmail.docx", "A 60386-2021")</f>
        <v/>
      </c>
    </row>
    <row r="310" ht="15" customHeight="1">
      <c r="A310" t="inlineStr">
        <is>
          <t>A 61481-2021</t>
        </is>
      </c>
      <c r="B310" s="1" t="n">
        <v>44500</v>
      </c>
      <c r="C310" s="1" t="n">
        <v>45212</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 artfynd.xlsx", "A 61481-2021")</f>
        <v/>
      </c>
      <c r="T310">
        <f>HYPERLINK("https://klasma.github.io/Logging_2283/karta/A 61481-2021 karta.png", "A 61481-2021")</f>
        <v/>
      </c>
      <c r="V310">
        <f>HYPERLINK("https://klasma.github.io/Logging_2283/klagomål/A 61481-2021 klagomål.docx", "A 61481-2021")</f>
        <v/>
      </c>
      <c r="W310">
        <f>HYPERLINK("https://klasma.github.io/Logging_2283/klagomålsmail/A 61481-2021 klagomålsmail.docx", "A 61481-2021")</f>
        <v/>
      </c>
      <c r="X310">
        <f>HYPERLINK("https://klasma.github.io/Logging_2283/tillsyn/A 61481-2021 tillsyn.docx", "A 61481-2021")</f>
        <v/>
      </c>
      <c r="Y310">
        <f>HYPERLINK("https://klasma.github.io/Logging_2283/tillsynsmail/A 61481-2021 tillsynsmail.docx", "A 61481-2021")</f>
        <v/>
      </c>
    </row>
    <row r="311" ht="15" customHeight="1">
      <c r="A311" t="inlineStr">
        <is>
          <t>A 67478-2021</t>
        </is>
      </c>
      <c r="B311" s="1" t="n">
        <v>44524</v>
      </c>
      <c r="C311" s="1" t="n">
        <v>45212</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 artfynd.xlsx", "A 67478-2021")</f>
        <v/>
      </c>
      <c r="T311">
        <f>HYPERLINK("https://klasma.github.io/Logging_2282/karta/A 67478-2021 karta.png", "A 67478-2021")</f>
        <v/>
      </c>
      <c r="V311">
        <f>HYPERLINK("https://klasma.github.io/Logging_2282/klagomål/A 67478-2021 klagomål.docx", "A 67478-2021")</f>
        <v/>
      </c>
      <c r="W311">
        <f>HYPERLINK("https://klasma.github.io/Logging_2282/klagomålsmail/A 67478-2021 klagomålsmail.docx", "A 67478-2021")</f>
        <v/>
      </c>
      <c r="X311">
        <f>HYPERLINK("https://klasma.github.io/Logging_2282/tillsyn/A 67478-2021 tillsyn.docx", "A 67478-2021")</f>
        <v/>
      </c>
      <c r="Y311">
        <f>HYPERLINK("https://klasma.github.io/Logging_2282/tillsynsmail/A 67478-2021 tillsynsmail.docx", "A 67478-2021")</f>
        <v/>
      </c>
    </row>
    <row r="312" ht="15" customHeight="1">
      <c r="A312" t="inlineStr">
        <is>
          <t>A 8236-2022</t>
        </is>
      </c>
      <c r="B312" s="1" t="n">
        <v>44609</v>
      </c>
      <c r="C312" s="1" t="n">
        <v>45212</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 artfynd.xlsx", "A 8236-2022")</f>
        <v/>
      </c>
      <c r="T312">
        <f>HYPERLINK("https://klasma.github.io/Logging_2260/karta/A 8236-2022 karta.png", "A 8236-2022")</f>
        <v/>
      </c>
      <c r="V312">
        <f>HYPERLINK("https://klasma.github.io/Logging_2260/klagomål/A 8236-2022 klagomål.docx", "A 8236-2022")</f>
        <v/>
      </c>
      <c r="W312">
        <f>HYPERLINK("https://klasma.github.io/Logging_2260/klagomålsmail/A 8236-2022 klagomålsmail.docx", "A 8236-2022")</f>
        <v/>
      </c>
      <c r="X312">
        <f>HYPERLINK("https://klasma.github.io/Logging_2260/tillsyn/A 8236-2022 tillsyn.docx", "A 8236-2022")</f>
        <v/>
      </c>
      <c r="Y312">
        <f>HYPERLINK("https://klasma.github.io/Logging_2260/tillsynsmail/A 8236-2022 tillsynsmail.docx", "A 8236-2022")</f>
        <v/>
      </c>
    </row>
    <row r="313" ht="15" customHeight="1">
      <c r="A313" t="inlineStr">
        <is>
          <t>A 10317-2022</t>
        </is>
      </c>
      <c r="B313" s="1" t="n">
        <v>44622</v>
      </c>
      <c r="C313" s="1" t="n">
        <v>45212</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 artfynd.xlsx", "A 10317-2022")</f>
        <v/>
      </c>
      <c r="T313">
        <f>HYPERLINK("https://klasma.github.io/Logging_2260/karta/A 10317-2022 karta.png", "A 10317-2022")</f>
        <v/>
      </c>
      <c r="U313">
        <f>HYPERLINK("https://klasma.github.io/Logging_2260/knärot/A 10317-2022 knärot.png", "A 10317-2022")</f>
        <v/>
      </c>
      <c r="V313">
        <f>HYPERLINK("https://klasma.github.io/Logging_2260/klagomål/A 10317-2022 klagomål.docx", "A 10317-2022")</f>
        <v/>
      </c>
      <c r="W313">
        <f>HYPERLINK("https://klasma.github.io/Logging_2260/klagomålsmail/A 10317-2022 klagomålsmail.docx", "A 10317-2022")</f>
        <v/>
      </c>
      <c r="X313">
        <f>HYPERLINK("https://klasma.github.io/Logging_2260/tillsyn/A 10317-2022 tillsyn.docx", "A 10317-2022")</f>
        <v/>
      </c>
      <c r="Y313">
        <f>HYPERLINK("https://klasma.github.io/Logging_2260/tillsynsmail/A 10317-2022 tillsynsmail.docx", "A 10317-2022")</f>
        <v/>
      </c>
    </row>
    <row r="314" ht="15" customHeight="1">
      <c r="A314" t="inlineStr">
        <is>
          <t>A 11351-2022</t>
        </is>
      </c>
      <c r="B314" s="1" t="n">
        <v>44630</v>
      </c>
      <c r="C314" s="1" t="n">
        <v>45212</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 artfynd.xlsx", "A 11351-2022")</f>
        <v/>
      </c>
      <c r="T314">
        <f>HYPERLINK("https://klasma.github.io/Logging_2281/karta/A 11351-2022 karta.png", "A 11351-2022")</f>
        <v/>
      </c>
      <c r="U314">
        <f>HYPERLINK("https://klasma.github.io/Logging_2281/knärot/A 11351-2022 knärot.png", "A 11351-2022")</f>
        <v/>
      </c>
      <c r="V314">
        <f>HYPERLINK("https://klasma.github.io/Logging_2281/klagomål/A 11351-2022 klagomål.docx", "A 11351-2022")</f>
        <v/>
      </c>
      <c r="W314">
        <f>HYPERLINK("https://klasma.github.io/Logging_2281/klagomålsmail/A 11351-2022 klagomålsmail.docx", "A 11351-2022")</f>
        <v/>
      </c>
      <c r="X314">
        <f>HYPERLINK("https://klasma.github.io/Logging_2281/tillsyn/A 11351-2022 tillsyn.docx", "A 11351-2022")</f>
        <v/>
      </c>
      <c r="Y314">
        <f>HYPERLINK("https://klasma.github.io/Logging_2281/tillsynsmail/A 11351-2022 tillsynsmail.docx", "A 11351-2022")</f>
        <v/>
      </c>
    </row>
    <row r="315" ht="15" customHeight="1">
      <c r="A315" t="inlineStr">
        <is>
          <t>A 14677-2022</t>
        </is>
      </c>
      <c r="B315" s="1" t="n">
        <v>44655</v>
      </c>
      <c r="C315" s="1" t="n">
        <v>45212</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 artfynd.xlsx", "A 14677-2022")</f>
        <v/>
      </c>
      <c r="T315">
        <f>HYPERLINK("https://klasma.github.io/Logging_2281/karta/A 14677-2022 karta.png", "A 14677-2022")</f>
        <v/>
      </c>
      <c r="U315">
        <f>HYPERLINK("https://klasma.github.io/Logging_2281/knärot/A 14677-2022 knärot.png", "A 14677-2022")</f>
        <v/>
      </c>
      <c r="V315">
        <f>HYPERLINK("https://klasma.github.io/Logging_2281/klagomål/A 14677-2022 klagomål.docx", "A 14677-2022")</f>
        <v/>
      </c>
      <c r="W315">
        <f>HYPERLINK("https://klasma.github.io/Logging_2281/klagomålsmail/A 14677-2022 klagomålsmail.docx", "A 14677-2022")</f>
        <v/>
      </c>
      <c r="X315">
        <f>HYPERLINK("https://klasma.github.io/Logging_2281/tillsyn/A 14677-2022 tillsyn.docx", "A 14677-2022")</f>
        <v/>
      </c>
      <c r="Y315">
        <f>HYPERLINK("https://klasma.github.io/Logging_2281/tillsynsmail/A 14677-2022 tillsynsmail.docx", "A 14677-2022")</f>
        <v/>
      </c>
    </row>
    <row r="316" ht="15" customHeight="1">
      <c r="A316" t="inlineStr">
        <is>
          <t>A 18012-2022</t>
        </is>
      </c>
      <c r="B316" s="1" t="n">
        <v>44683</v>
      </c>
      <c r="C316" s="1" t="n">
        <v>45212</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 artfynd.xlsx", "A 18012-2022")</f>
        <v/>
      </c>
      <c r="T316">
        <f>HYPERLINK("https://klasma.github.io/Logging_2283/karta/A 18012-2022 karta.png", "A 18012-2022")</f>
        <v/>
      </c>
      <c r="U316">
        <f>HYPERLINK("https://klasma.github.io/Logging_2283/knärot/A 18012-2022 knärot.png", "A 18012-2022")</f>
        <v/>
      </c>
      <c r="V316">
        <f>HYPERLINK("https://klasma.github.io/Logging_2283/klagomål/A 18012-2022 klagomål.docx", "A 18012-2022")</f>
        <v/>
      </c>
      <c r="W316">
        <f>HYPERLINK("https://klasma.github.io/Logging_2283/klagomålsmail/A 18012-2022 klagomålsmail.docx", "A 18012-2022")</f>
        <v/>
      </c>
      <c r="X316">
        <f>HYPERLINK("https://klasma.github.io/Logging_2283/tillsyn/A 18012-2022 tillsyn.docx", "A 18012-2022")</f>
        <v/>
      </c>
      <c r="Y316">
        <f>HYPERLINK("https://klasma.github.io/Logging_2283/tillsynsmail/A 18012-2022 tillsynsmail.docx", "A 18012-2022")</f>
        <v/>
      </c>
    </row>
    <row r="317" ht="15" customHeight="1">
      <c r="A317" t="inlineStr">
        <is>
          <t>A 18555-2022</t>
        </is>
      </c>
      <c r="B317" s="1" t="n">
        <v>44686</v>
      </c>
      <c r="C317" s="1" t="n">
        <v>45212</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 artfynd.xlsx", "A 18555-2022")</f>
        <v/>
      </c>
      <c r="T317">
        <f>HYPERLINK("https://klasma.github.io/Logging_2280/karta/A 18555-2022 karta.png", "A 18555-2022")</f>
        <v/>
      </c>
      <c r="U317">
        <f>HYPERLINK("https://klasma.github.io/Logging_2280/knärot/A 18555-2022 knärot.png", "A 18555-2022")</f>
        <v/>
      </c>
      <c r="V317">
        <f>HYPERLINK("https://klasma.github.io/Logging_2280/klagomål/A 18555-2022 klagomål.docx", "A 18555-2022")</f>
        <v/>
      </c>
      <c r="W317">
        <f>HYPERLINK("https://klasma.github.io/Logging_2280/klagomålsmail/A 18555-2022 klagomålsmail.docx", "A 18555-2022")</f>
        <v/>
      </c>
      <c r="X317">
        <f>HYPERLINK("https://klasma.github.io/Logging_2280/tillsyn/A 18555-2022 tillsyn.docx", "A 18555-2022")</f>
        <v/>
      </c>
      <c r="Y317">
        <f>HYPERLINK("https://klasma.github.io/Logging_2280/tillsynsmail/A 18555-2022 tillsynsmail.docx", "A 18555-2022")</f>
        <v/>
      </c>
    </row>
    <row r="318" ht="15" customHeight="1">
      <c r="A318" t="inlineStr">
        <is>
          <t>A 21662-2022</t>
        </is>
      </c>
      <c r="B318" s="1" t="n">
        <v>44706</v>
      </c>
      <c r="C318" s="1" t="n">
        <v>45212</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 artfynd.xlsx", "A 21662-2022")</f>
        <v/>
      </c>
      <c r="T318">
        <f>HYPERLINK("https://klasma.github.io/Logging_2281/karta/A 21662-2022 karta.png", "A 21662-2022")</f>
        <v/>
      </c>
      <c r="V318">
        <f>HYPERLINK("https://klasma.github.io/Logging_2281/klagomål/A 21662-2022 klagomål.docx", "A 21662-2022")</f>
        <v/>
      </c>
      <c r="W318">
        <f>HYPERLINK("https://klasma.github.io/Logging_2281/klagomålsmail/A 21662-2022 klagomålsmail.docx", "A 21662-2022")</f>
        <v/>
      </c>
      <c r="X318">
        <f>HYPERLINK("https://klasma.github.io/Logging_2281/tillsyn/A 21662-2022 tillsyn.docx", "A 21662-2022")</f>
        <v/>
      </c>
      <c r="Y318">
        <f>HYPERLINK("https://klasma.github.io/Logging_2281/tillsynsmail/A 21662-2022 tillsynsmail.docx", "A 21662-2022")</f>
        <v/>
      </c>
    </row>
    <row r="319" ht="15" customHeight="1">
      <c r="A319" t="inlineStr">
        <is>
          <t>A 34528-2022</t>
        </is>
      </c>
      <c r="B319" s="1" t="n">
        <v>44792</v>
      </c>
      <c r="C319" s="1" t="n">
        <v>45212</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 artfynd.xlsx", "A 34528-2022")</f>
        <v/>
      </c>
      <c r="T319">
        <f>HYPERLINK("https://klasma.github.io/Logging_2283/karta/A 34528-2022 karta.png", "A 34528-2022")</f>
        <v/>
      </c>
      <c r="V319">
        <f>HYPERLINK("https://klasma.github.io/Logging_2283/klagomål/A 34528-2022 klagomål.docx", "A 34528-2022")</f>
        <v/>
      </c>
      <c r="W319">
        <f>HYPERLINK("https://klasma.github.io/Logging_2283/klagomålsmail/A 34528-2022 klagomålsmail.docx", "A 34528-2022")</f>
        <v/>
      </c>
      <c r="X319">
        <f>HYPERLINK("https://klasma.github.io/Logging_2283/tillsyn/A 34528-2022 tillsyn.docx", "A 34528-2022")</f>
        <v/>
      </c>
      <c r="Y319">
        <f>HYPERLINK("https://klasma.github.io/Logging_2283/tillsynsmail/A 34528-2022 tillsynsmail.docx", "A 34528-2022")</f>
        <v/>
      </c>
    </row>
    <row r="320" ht="15" customHeight="1">
      <c r="A320" t="inlineStr">
        <is>
          <t>A 47816-2022</t>
        </is>
      </c>
      <c r="B320" s="1" t="n">
        <v>44854</v>
      </c>
      <c r="C320" s="1" t="n">
        <v>45212</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 artfynd.xlsx", "A 47816-2022")</f>
        <v/>
      </c>
      <c r="T320">
        <f>HYPERLINK("https://klasma.github.io/Logging_2262/karta/A 47816-2022 karta.png", "A 47816-2022")</f>
        <v/>
      </c>
      <c r="V320">
        <f>HYPERLINK("https://klasma.github.io/Logging_2262/klagomål/A 47816-2022 klagomål.docx", "A 47816-2022")</f>
        <v/>
      </c>
      <c r="W320">
        <f>HYPERLINK("https://klasma.github.io/Logging_2262/klagomålsmail/A 47816-2022 klagomålsmail.docx", "A 47816-2022")</f>
        <v/>
      </c>
      <c r="X320">
        <f>HYPERLINK("https://klasma.github.io/Logging_2262/tillsyn/A 47816-2022 tillsyn.docx", "A 47816-2022")</f>
        <v/>
      </c>
      <c r="Y320">
        <f>HYPERLINK("https://klasma.github.io/Logging_2262/tillsynsmail/A 47816-2022 tillsynsmail.docx", "A 47816-2022")</f>
        <v/>
      </c>
    </row>
    <row r="321" ht="15" customHeight="1">
      <c r="A321" t="inlineStr">
        <is>
          <t>A 55854-2022</t>
        </is>
      </c>
      <c r="B321" s="1" t="n">
        <v>44886</v>
      </c>
      <c r="C321" s="1" t="n">
        <v>45212</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 artfynd.xlsx", "A 55854-2022")</f>
        <v/>
      </c>
      <c r="T321">
        <f>HYPERLINK("https://klasma.github.io/Logging_2281/karta/A 55854-2022 karta.png", "A 55854-2022")</f>
        <v/>
      </c>
      <c r="V321">
        <f>HYPERLINK("https://klasma.github.io/Logging_2281/klagomål/A 55854-2022 klagomål.docx", "A 55854-2022")</f>
        <v/>
      </c>
      <c r="W321">
        <f>HYPERLINK("https://klasma.github.io/Logging_2281/klagomålsmail/A 55854-2022 klagomålsmail.docx", "A 55854-2022")</f>
        <v/>
      </c>
      <c r="X321">
        <f>HYPERLINK("https://klasma.github.io/Logging_2281/tillsyn/A 55854-2022 tillsyn.docx", "A 55854-2022")</f>
        <v/>
      </c>
      <c r="Y321">
        <f>HYPERLINK("https://klasma.github.io/Logging_2281/tillsynsmail/A 55854-2022 tillsynsmail.docx", "A 55854-2022")</f>
        <v/>
      </c>
    </row>
    <row r="322" ht="15" customHeight="1">
      <c r="A322" t="inlineStr">
        <is>
          <t>A 7533-2023</t>
        </is>
      </c>
      <c r="B322" s="1" t="n">
        <v>44971</v>
      </c>
      <c r="C322" s="1" t="n">
        <v>45212</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 artfynd.xlsx", "A 7533-2023")</f>
        <v/>
      </c>
      <c r="T322">
        <f>HYPERLINK("https://klasma.github.io/Logging_2260/karta/A 7533-2023 karta.png", "A 7533-2023")</f>
        <v/>
      </c>
      <c r="V322">
        <f>HYPERLINK("https://klasma.github.io/Logging_2260/klagomål/A 7533-2023 klagomål.docx", "A 7533-2023")</f>
        <v/>
      </c>
      <c r="W322">
        <f>HYPERLINK("https://klasma.github.io/Logging_2260/klagomålsmail/A 7533-2023 klagomålsmail.docx", "A 7533-2023")</f>
        <v/>
      </c>
      <c r="X322">
        <f>HYPERLINK("https://klasma.github.io/Logging_2260/tillsyn/A 7533-2023 tillsyn.docx", "A 7533-2023")</f>
        <v/>
      </c>
      <c r="Y322">
        <f>HYPERLINK("https://klasma.github.io/Logging_2260/tillsynsmail/A 7533-2023 tillsynsmail.docx", "A 7533-2023")</f>
        <v/>
      </c>
    </row>
    <row r="323" ht="15" customHeight="1">
      <c r="A323" t="inlineStr">
        <is>
          <t>A 8680-2023</t>
        </is>
      </c>
      <c r="B323" s="1" t="n">
        <v>44977</v>
      </c>
      <c r="C323" s="1" t="n">
        <v>45212</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 artfynd.xlsx", "A 8680-2023")</f>
        <v/>
      </c>
      <c r="T323">
        <f>HYPERLINK("https://klasma.github.io/Logging_2281/karta/A 8680-2023 karta.png", "A 8680-2023")</f>
        <v/>
      </c>
      <c r="V323">
        <f>HYPERLINK("https://klasma.github.io/Logging_2281/klagomål/A 8680-2023 klagomål.docx", "A 8680-2023")</f>
        <v/>
      </c>
      <c r="W323">
        <f>HYPERLINK("https://klasma.github.io/Logging_2281/klagomålsmail/A 8680-2023 klagomålsmail.docx", "A 8680-2023")</f>
        <v/>
      </c>
      <c r="X323">
        <f>HYPERLINK("https://klasma.github.io/Logging_2281/tillsyn/A 8680-2023 tillsyn.docx", "A 8680-2023")</f>
        <v/>
      </c>
      <c r="Y323">
        <f>HYPERLINK("https://klasma.github.io/Logging_2281/tillsynsmail/A 8680-2023 tillsynsmail.docx", "A 8680-2023")</f>
        <v/>
      </c>
    </row>
    <row r="324" ht="15" customHeight="1">
      <c r="A324" t="inlineStr">
        <is>
          <t>A 10766-2023</t>
        </is>
      </c>
      <c r="B324" s="1" t="n">
        <v>44988</v>
      </c>
      <c r="C324" s="1" t="n">
        <v>45212</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 artfynd.xlsx", "A 10766-2023")</f>
        <v/>
      </c>
      <c r="T324">
        <f>HYPERLINK("https://klasma.github.io/Logging_2262/karta/A 10766-2023 karta.png", "A 10766-2023")</f>
        <v/>
      </c>
      <c r="V324">
        <f>HYPERLINK("https://klasma.github.io/Logging_2262/klagomål/A 10766-2023 klagomål.docx", "A 10766-2023")</f>
        <v/>
      </c>
      <c r="W324">
        <f>HYPERLINK("https://klasma.github.io/Logging_2262/klagomålsmail/A 10766-2023 klagomålsmail.docx", "A 10766-2023")</f>
        <v/>
      </c>
      <c r="X324">
        <f>HYPERLINK("https://klasma.github.io/Logging_2262/tillsyn/A 10766-2023 tillsyn.docx", "A 10766-2023")</f>
        <v/>
      </c>
      <c r="Y324">
        <f>HYPERLINK("https://klasma.github.io/Logging_2262/tillsynsmail/A 10766-2023 tillsynsmail.docx", "A 10766-2023")</f>
        <v/>
      </c>
    </row>
    <row r="325" ht="15" customHeight="1">
      <c r="A325" t="inlineStr">
        <is>
          <t>A 16182-2023</t>
        </is>
      </c>
      <c r="B325" s="1" t="n">
        <v>45027</v>
      </c>
      <c r="C325" s="1" t="n">
        <v>45212</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 artfynd.xlsx", "A 16182-2023")</f>
        <v/>
      </c>
      <c r="T325">
        <f>HYPERLINK("https://klasma.github.io/Logging_2280/karta/A 16182-2023 karta.png", "A 16182-2023")</f>
        <v/>
      </c>
      <c r="V325">
        <f>HYPERLINK("https://klasma.github.io/Logging_2280/klagomål/A 16182-2023 klagomål.docx", "A 16182-2023")</f>
        <v/>
      </c>
      <c r="W325">
        <f>HYPERLINK("https://klasma.github.io/Logging_2280/klagomålsmail/A 16182-2023 klagomålsmail.docx", "A 16182-2023")</f>
        <v/>
      </c>
      <c r="X325">
        <f>HYPERLINK("https://klasma.github.io/Logging_2280/tillsyn/A 16182-2023 tillsyn.docx", "A 16182-2023")</f>
        <v/>
      </c>
      <c r="Y325">
        <f>HYPERLINK("https://klasma.github.io/Logging_2280/tillsynsmail/A 16182-2023 tillsynsmail.docx", "A 16182-2023")</f>
        <v/>
      </c>
    </row>
    <row r="326" ht="15" customHeight="1">
      <c r="A326" t="inlineStr">
        <is>
          <t>A 16377-2023</t>
        </is>
      </c>
      <c r="B326" s="1" t="n">
        <v>45028</v>
      </c>
      <c r="C326" s="1" t="n">
        <v>45212</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 artfynd.xlsx", "A 16377-2023")</f>
        <v/>
      </c>
      <c r="T326">
        <f>HYPERLINK("https://klasma.github.io/Logging_2281/karta/A 16377-2023 karta.png", "A 16377-2023")</f>
        <v/>
      </c>
      <c r="V326">
        <f>HYPERLINK("https://klasma.github.io/Logging_2281/klagomål/A 16377-2023 klagomål.docx", "A 16377-2023")</f>
        <v/>
      </c>
      <c r="W326">
        <f>HYPERLINK("https://klasma.github.io/Logging_2281/klagomålsmail/A 16377-2023 klagomålsmail.docx", "A 16377-2023")</f>
        <v/>
      </c>
      <c r="X326">
        <f>HYPERLINK("https://klasma.github.io/Logging_2281/tillsyn/A 16377-2023 tillsyn.docx", "A 16377-2023")</f>
        <v/>
      </c>
      <c r="Y326">
        <f>HYPERLINK("https://klasma.github.io/Logging_2281/tillsynsmail/A 16377-2023 tillsynsmail.docx", "A 16377-2023")</f>
        <v/>
      </c>
    </row>
    <row r="327" ht="15" customHeight="1">
      <c r="A327" t="inlineStr">
        <is>
          <t>A 17217-2023</t>
        </is>
      </c>
      <c r="B327" s="1" t="n">
        <v>45034</v>
      </c>
      <c r="C327" s="1" t="n">
        <v>45212</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 artfynd.xlsx", "A 17217-2023")</f>
        <v/>
      </c>
      <c r="T327">
        <f>HYPERLINK("https://klasma.github.io/Logging_2262/karta/A 17217-2023 karta.png", "A 17217-2023")</f>
        <v/>
      </c>
      <c r="V327">
        <f>HYPERLINK("https://klasma.github.io/Logging_2262/klagomål/A 17217-2023 klagomål.docx", "A 17217-2023")</f>
        <v/>
      </c>
      <c r="W327">
        <f>HYPERLINK("https://klasma.github.io/Logging_2262/klagomålsmail/A 17217-2023 klagomålsmail.docx", "A 17217-2023")</f>
        <v/>
      </c>
      <c r="X327">
        <f>HYPERLINK("https://klasma.github.io/Logging_2262/tillsyn/A 17217-2023 tillsyn.docx", "A 17217-2023")</f>
        <v/>
      </c>
      <c r="Y327">
        <f>HYPERLINK("https://klasma.github.io/Logging_2262/tillsynsmail/A 17217-2023 tillsynsmail.docx", "A 17217-2023")</f>
        <v/>
      </c>
    </row>
    <row r="328" ht="15" customHeight="1">
      <c r="A328" t="inlineStr">
        <is>
          <t>A 18765-2023</t>
        </is>
      </c>
      <c r="B328" s="1" t="n">
        <v>45043</v>
      </c>
      <c r="C328" s="1" t="n">
        <v>45212</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 artfynd.xlsx", "A 18765-2023")</f>
        <v/>
      </c>
      <c r="T328">
        <f>HYPERLINK("https://klasma.github.io/Logging_2280/karta/A 18765-2023 karta.png", "A 18765-2023")</f>
        <v/>
      </c>
      <c r="V328">
        <f>HYPERLINK("https://klasma.github.io/Logging_2280/klagomål/A 18765-2023 klagomål.docx", "A 18765-2023")</f>
        <v/>
      </c>
      <c r="W328">
        <f>HYPERLINK("https://klasma.github.io/Logging_2280/klagomålsmail/A 18765-2023 klagomålsmail.docx", "A 18765-2023")</f>
        <v/>
      </c>
      <c r="X328">
        <f>HYPERLINK("https://klasma.github.io/Logging_2280/tillsyn/A 18765-2023 tillsyn.docx", "A 18765-2023")</f>
        <v/>
      </c>
      <c r="Y328">
        <f>HYPERLINK("https://klasma.github.io/Logging_2280/tillsynsmail/A 18765-2023 tillsynsmail.docx", "A 18765-2023")</f>
        <v/>
      </c>
    </row>
    <row r="329" ht="15" customHeight="1">
      <c r="A329" t="inlineStr">
        <is>
          <t>A 20651-2023</t>
        </is>
      </c>
      <c r="B329" s="1" t="n">
        <v>45058</v>
      </c>
      <c r="C329" s="1" t="n">
        <v>45212</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 artfynd.xlsx", "A 20651-2023")</f>
        <v/>
      </c>
      <c r="T329">
        <f>HYPERLINK("https://klasma.github.io/Logging_2284/karta/A 20651-2023 karta.png", "A 20651-2023")</f>
        <v/>
      </c>
      <c r="V329">
        <f>HYPERLINK("https://klasma.github.io/Logging_2284/klagomål/A 20651-2023 klagomål.docx", "A 20651-2023")</f>
        <v/>
      </c>
      <c r="W329">
        <f>HYPERLINK("https://klasma.github.io/Logging_2284/klagomålsmail/A 20651-2023 klagomålsmail.docx", "A 20651-2023")</f>
        <v/>
      </c>
      <c r="X329">
        <f>HYPERLINK("https://klasma.github.io/Logging_2284/tillsyn/A 20651-2023 tillsyn.docx", "A 20651-2023")</f>
        <v/>
      </c>
      <c r="Y329">
        <f>HYPERLINK("https://klasma.github.io/Logging_2284/tillsynsmail/A 20651-2023 tillsynsmail.docx", "A 20651-2023")</f>
        <v/>
      </c>
    </row>
    <row r="330" ht="15" customHeight="1">
      <c r="A330" t="inlineStr">
        <is>
          <t>A 20781-2023</t>
        </is>
      </c>
      <c r="B330" s="1" t="n">
        <v>45058</v>
      </c>
      <c r="C330" s="1" t="n">
        <v>45212</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 artfynd.xlsx", "A 20781-2023")</f>
        <v/>
      </c>
      <c r="T330">
        <f>HYPERLINK("https://klasma.github.io/Logging_2283/karta/A 20781-2023 karta.png", "A 20781-2023")</f>
        <v/>
      </c>
      <c r="U330">
        <f>HYPERLINK("https://klasma.github.io/Logging_2283/knärot/A 20781-2023 knärot.png", "A 20781-2023")</f>
        <v/>
      </c>
      <c r="V330">
        <f>HYPERLINK("https://klasma.github.io/Logging_2283/klagomål/A 20781-2023 klagomål.docx", "A 20781-2023")</f>
        <v/>
      </c>
      <c r="W330">
        <f>HYPERLINK("https://klasma.github.io/Logging_2283/klagomålsmail/A 20781-2023 klagomålsmail.docx", "A 20781-2023")</f>
        <v/>
      </c>
      <c r="X330">
        <f>HYPERLINK("https://klasma.github.io/Logging_2283/tillsyn/A 20781-2023 tillsyn.docx", "A 20781-2023")</f>
        <v/>
      </c>
      <c r="Y330">
        <f>HYPERLINK("https://klasma.github.io/Logging_2283/tillsynsmail/A 20781-2023 tillsynsmail.docx", "A 20781-2023")</f>
        <v/>
      </c>
    </row>
    <row r="331" ht="15" customHeight="1">
      <c r="A331" t="inlineStr">
        <is>
          <t>A 21342-2023</t>
        </is>
      </c>
      <c r="B331" s="1" t="n">
        <v>45062</v>
      </c>
      <c r="C331" s="1" t="n">
        <v>45212</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 artfynd.xlsx", "A 21342-2023")</f>
        <v/>
      </c>
      <c r="T331">
        <f>HYPERLINK("https://klasma.github.io/Logging_2283/karta/A 21342-2023 karta.png", "A 21342-2023")</f>
        <v/>
      </c>
      <c r="V331">
        <f>HYPERLINK("https://klasma.github.io/Logging_2283/klagomål/A 21342-2023 klagomål.docx", "A 21342-2023")</f>
        <v/>
      </c>
      <c r="W331">
        <f>HYPERLINK("https://klasma.github.io/Logging_2283/klagomålsmail/A 21342-2023 klagomålsmail.docx", "A 21342-2023")</f>
        <v/>
      </c>
      <c r="X331">
        <f>HYPERLINK("https://klasma.github.io/Logging_2283/tillsyn/A 21342-2023 tillsyn.docx", "A 21342-2023")</f>
        <v/>
      </c>
      <c r="Y331">
        <f>HYPERLINK("https://klasma.github.io/Logging_2283/tillsynsmail/A 21342-2023 tillsynsmail.docx", "A 21342-2023")</f>
        <v/>
      </c>
    </row>
    <row r="332" ht="15" customHeight="1">
      <c r="A332" t="inlineStr">
        <is>
          <t>A 21343-2023</t>
        </is>
      </c>
      <c r="B332" s="1" t="n">
        <v>45062</v>
      </c>
      <c r="C332" s="1" t="n">
        <v>45212</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 artfynd.xlsx", "A 21343-2023")</f>
        <v/>
      </c>
      <c r="T332">
        <f>HYPERLINK("https://klasma.github.io/Logging_2283/karta/A 21343-2023 karta.png", "A 21343-2023")</f>
        <v/>
      </c>
      <c r="V332">
        <f>HYPERLINK("https://klasma.github.io/Logging_2283/klagomål/A 21343-2023 klagomål.docx", "A 21343-2023")</f>
        <v/>
      </c>
      <c r="W332">
        <f>HYPERLINK("https://klasma.github.io/Logging_2283/klagomålsmail/A 21343-2023 klagomålsmail.docx", "A 21343-2023")</f>
        <v/>
      </c>
      <c r="X332">
        <f>HYPERLINK("https://klasma.github.io/Logging_2283/tillsyn/A 21343-2023 tillsyn.docx", "A 21343-2023")</f>
        <v/>
      </c>
      <c r="Y332">
        <f>HYPERLINK("https://klasma.github.io/Logging_2283/tillsynsmail/A 21343-2023 tillsynsmail.docx", "A 21343-2023")</f>
        <v/>
      </c>
    </row>
    <row r="333" ht="15" customHeight="1">
      <c r="A333" t="inlineStr">
        <is>
          <t>A 22996-2023</t>
        </is>
      </c>
      <c r="B333" s="1" t="n">
        <v>45072</v>
      </c>
      <c r="C333" s="1" t="n">
        <v>45212</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 artfynd.xlsx", "A 22996-2023")</f>
        <v/>
      </c>
      <c r="T333">
        <f>HYPERLINK("https://klasma.github.io/Logging_2260/karta/A 22996-2023 karta.png", "A 22996-2023")</f>
        <v/>
      </c>
      <c r="U333">
        <f>HYPERLINK("https://klasma.github.io/Logging_2260/knärot/A 22996-2023 knärot.png", "A 22996-2023")</f>
        <v/>
      </c>
      <c r="V333">
        <f>HYPERLINK("https://klasma.github.io/Logging_2260/klagomål/A 22996-2023 klagomål.docx", "A 22996-2023")</f>
        <v/>
      </c>
      <c r="W333">
        <f>HYPERLINK("https://klasma.github.io/Logging_2260/klagomålsmail/A 22996-2023 klagomålsmail.docx", "A 22996-2023")</f>
        <v/>
      </c>
      <c r="X333">
        <f>HYPERLINK("https://klasma.github.io/Logging_2260/tillsyn/A 22996-2023 tillsyn.docx", "A 22996-2023")</f>
        <v/>
      </c>
      <c r="Y333">
        <f>HYPERLINK("https://klasma.github.io/Logging_2260/tillsynsmail/A 22996-2023 tillsynsmail.docx", "A 22996-2023")</f>
        <v/>
      </c>
    </row>
    <row r="334" ht="15" customHeight="1">
      <c r="A334" t="inlineStr">
        <is>
          <t>A 23782-2023</t>
        </is>
      </c>
      <c r="B334" s="1" t="n">
        <v>45077</v>
      </c>
      <c r="C334" s="1" t="n">
        <v>45212</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 artfynd.xlsx", "A 23782-2023")</f>
        <v/>
      </c>
      <c r="T334">
        <f>HYPERLINK("https://klasma.github.io/Logging_2283/karta/A 23782-2023 karta.png", "A 23782-2023")</f>
        <v/>
      </c>
      <c r="V334">
        <f>HYPERLINK("https://klasma.github.io/Logging_2283/klagomål/A 23782-2023 klagomål.docx", "A 23782-2023")</f>
        <v/>
      </c>
      <c r="W334">
        <f>HYPERLINK("https://klasma.github.io/Logging_2283/klagomålsmail/A 23782-2023 klagomålsmail.docx", "A 23782-2023")</f>
        <v/>
      </c>
      <c r="X334">
        <f>HYPERLINK("https://klasma.github.io/Logging_2283/tillsyn/A 23782-2023 tillsyn.docx", "A 23782-2023")</f>
        <v/>
      </c>
      <c r="Y334">
        <f>HYPERLINK("https://klasma.github.io/Logging_2283/tillsynsmail/A 23782-2023 tillsynsmail.docx", "A 23782-2023")</f>
        <v/>
      </c>
    </row>
    <row r="335" ht="15" customHeight="1">
      <c r="A335" t="inlineStr">
        <is>
          <t>A 24051-2023</t>
        </is>
      </c>
      <c r="B335" s="1" t="n">
        <v>45078</v>
      </c>
      <c r="C335" s="1" t="n">
        <v>45212</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 artfynd.xlsx", "A 24051-2023")</f>
        <v/>
      </c>
      <c r="T335">
        <f>HYPERLINK("https://klasma.github.io/Logging_2281/karta/A 24051-2023 karta.png", "A 24051-2023")</f>
        <v/>
      </c>
      <c r="U335">
        <f>HYPERLINK("https://klasma.github.io/Logging_2281/knärot/A 24051-2023 knärot.png", "A 24051-2023")</f>
        <v/>
      </c>
      <c r="V335">
        <f>HYPERLINK("https://klasma.github.io/Logging_2281/klagomål/A 24051-2023 klagomål.docx", "A 24051-2023")</f>
        <v/>
      </c>
      <c r="W335">
        <f>HYPERLINK("https://klasma.github.io/Logging_2281/klagomålsmail/A 24051-2023 klagomålsmail.docx", "A 24051-2023")</f>
        <v/>
      </c>
      <c r="X335">
        <f>HYPERLINK("https://klasma.github.io/Logging_2281/tillsyn/A 24051-2023 tillsyn.docx", "A 24051-2023")</f>
        <v/>
      </c>
      <c r="Y335">
        <f>HYPERLINK("https://klasma.github.io/Logging_2281/tillsynsmail/A 24051-2023 tillsynsmail.docx", "A 24051-2023")</f>
        <v/>
      </c>
    </row>
    <row r="336" ht="15" customHeight="1">
      <c r="A336" t="inlineStr">
        <is>
          <t>A 26007-2023</t>
        </is>
      </c>
      <c r="B336" s="1" t="n">
        <v>45090</v>
      </c>
      <c r="C336" s="1" t="n">
        <v>45212</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 artfynd.xlsx", "A 26007-2023")</f>
        <v/>
      </c>
      <c r="T336">
        <f>HYPERLINK("https://klasma.github.io/Logging_2280/karta/A 26007-2023 karta.png", "A 26007-2023")</f>
        <v/>
      </c>
      <c r="V336">
        <f>HYPERLINK("https://klasma.github.io/Logging_2280/klagomål/A 26007-2023 klagomål.docx", "A 26007-2023")</f>
        <v/>
      </c>
      <c r="W336">
        <f>HYPERLINK("https://klasma.github.io/Logging_2280/klagomålsmail/A 26007-2023 klagomålsmail.docx", "A 26007-2023")</f>
        <v/>
      </c>
      <c r="X336">
        <f>HYPERLINK("https://klasma.github.io/Logging_2280/tillsyn/A 26007-2023 tillsyn.docx", "A 26007-2023")</f>
        <v/>
      </c>
      <c r="Y336">
        <f>HYPERLINK("https://klasma.github.io/Logging_2280/tillsynsmail/A 26007-2023 tillsynsmail.docx", "A 26007-2023")</f>
        <v/>
      </c>
    </row>
    <row r="337" ht="15" customHeight="1">
      <c r="A337" t="inlineStr">
        <is>
          <t>A 26151-2023</t>
        </is>
      </c>
      <c r="B337" s="1" t="n">
        <v>45091</v>
      </c>
      <c r="C337" s="1" t="n">
        <v>45212</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 artfynd.xlsx", "A 26151-2023")</f>
        <v/>
      </c>
      <c r="T337">
        <f>HYPERLINK("https://klasma.github.io/Logging_2284/karta/A 26151-2023 karta.png", "A 26151-2023")</f>
        <v/>
      </c>
      <c r="V337">
        <f>HYPERLINK("https://klasma.github.io/Logging_2284/klagomål/A 26151-2023 klagomål.docx", "A 26151-2023")</f>
        <v/>
      </c>
      <c r="W337">
        <f>HYPERLINK("https://klasma.github.io/Logging_2284/klagomålsmail/A 26151-2023 klagomålsmail.docx", "A 26151-2023")</f>
        <v/>
      </c>
      <c r="X337">
        <f>HYPERLINK("https://klasma.github.io/Logging_2284/tillsyn/A 26151-2023 tillsyn.docx", "A 26151-2023")</f>
        <v/>
      </c>
      <c r="Y337">
        <f>HYPERLINK("https://klasma.github.io/Logging_2284/tillsynsmail/A 26151-2023 tillsynsmail.docx", "A 26151-2023")</f>
        <v/>
      </c>
    </row>
    <row r="338" ht="15" customHeight="1">
      <c r="A338" t="inlineStr">
        <is>
          <t>A 26361-2023</t>
        </is>
      </c>
      <c r="B338" s="1" t="n">
        <v>45091</v>
      </c>
      <c r="C338" s="1" t="n">
        <v>45212</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 artfynd.xlsx", "A 26361-2023")</f>
        <v/>
      </c>
      <c r="T338">
        <f>HYPERLINK("https://klasma.github.io/Logging_2260/karta/A 26361-2023 karta.png", "A 26361-2023")</f>
        <v/>
      </c>
      <c r="U338">
        <f>HYPERLINK("https://klasma.github.io/Logging_2260/knärot/A 26361-2023 knärot.png", "A 26361-2023")</f>
        <v/>
      </c>
      <c r="V338">
        <f>HYPERLINK("https://klasma.github.io/Logging_2260/klagomål/A 26361-2023 klagomål.docx", "A 26361-2023")</f>
        <v/>
      </c>
      <c r="W338">
        <f>HYPERLINK("https://klasma.github.io/Logging_2260/klagomålsmail/A 26361-2023 klagomålsmail.docx", "A 26361-2023")</f>
        <v/>
      </c>
      <c r="X338">
        <f>HYPERLINK("https://klasma.github.io/Logging_2260/tillsyn/A 26361-2023 tillsyn.docx", "A 26361-2023")</f>
        <v/>
      </c>
      <c r="Y338">
        <f>HYPERLINK("https://klasma.github.io/Logging_2260/tillsynsmail/A 26361-2023 tillsynsmail.docx", "A 26361-2023")</f>
        <v/>
      </c>
    </row>
    <row r="339" ht="15" customHeight="1">
      <c r="A339" t="inlineStr">
        <is>
          <t>A 27390-2023</t>
        </is>
      </c>
      <c r="B339" s="1" t="n">
        <v>45096</v>
      </c>
      <c r="C339" s="1" t="n">
        <v>45212</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 artfynd.xlsx", "A 27390-2023")</f>
        <v/>
      </c>
      <c r="T339">
        <f>HYPERLINK("https://klasma.github.io/Logging_2281/karta/A 27390-2023 karta.png", "A 27390-2023")</f>
        <v/>
      </c>
      <c r="V339">
        <f>HYPERLINK("https://klasma.github.io/Logging_2281/klagomål/A 27390-2023 klagomål.docx", "A 27390-2023")</f>
        <v/>
      </c>
      <c r="W339">
        <f>HYPERLINK("https://klasma.github.io/Logging_2281/klagomålsmail/A 27390-2023 klagomålsmail.docx", "A 27390-2023")</f>
        <v/>
      </c>
      <c r="X339">
        <f>HYPERLINK("https://klasma.github.io/Logging_2281/tillsyn/A 27390-2023 tillsyn.docx", "A 27390-2023")</f>
        <v/>
      </c>
      <c r="Y339">
        <f>HYPERLINK("https://klasma.github.io/Logging_2281/tillsynsmail/A 27390-2023 tillsynsmail.docx", "A 27390-2023")</f>
        <v/>
      </c>
    </row>
    <row r="340" ht="15" customHeight="1">
      <c r="A340" t="inlineStr">
        <is>
          <t>A 28274-2023</t>
        </is>
      </c>
      <c r="B340" s="1" t="n">
        <v>45099</v>
      </c>
      <c r="C340" s="1" t="n">
        <v>45212</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 artfynd.xlsx", "A 28274-2023")</f>
        <v/>
      </c>
      <c r="T340">
        <f>HYPERLINK("https://klasma.github.io/Logging_2260/karta/A 28274-2023 karta.png", "A 28274-2023")</f>
        <v/>
      </c>
      <c r="U340">
        <f>HYPERLINK("https://klasma.github.io/Logging_2260/knärot/A 28274-2023 knärot.png", "A 28274-2023")</f>
        <v/>
      </c>
      <c r="V340">
        <f>HYPERLINK("https://klasma.github.io/Logging_2260/klagomål/A 28274-2023 klagomål.docx", "A 28274-2023")</f>
        <v/>
      </c>
      <c r="W340">
        <f>HYPERLINK("https://klasma.github.io/Logging_2260/klagomålsmail/A 28274-2023 klagomålsmail.docx", "A 28274-2023")</f>
        <v/>
      </c>
      <c r="X340">
        <f>HYPERLINK("https://klasma.github.io/Logging_2260/tillsyn/A 28274-2023 tillsyn.docx", "A 28274-2023")</f>
        <v/>
      </c>
      <c r="Y340">
        <f>HYPERLINK("https://klasma.github.io/Logging_2260/tillsynsmail/A 28274-2023 tillsynsmail.docx", "A 28274-2023")</f>
        <v/>
      </c>
    </row>
    <row r="341" ht="15" customHeight="1">
      <c r="A341" t="inlineStr">
        <is>
          <t>A 30839-2023</t>
        </is>
      </c>
      <c r="B341" s="1" t="n">
        <v>45112</v>
      </c>
      <c r="C341" s="1" t="n">
        <v>45212</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 artfynd.xlsx", "A 30839-2023")</f>
        <v/>
      </c>
      <c r="T341">
        <f>HYPERLINK("https://klasma.github.io/Logging_2260/karta/A 30839-2023 karta.png", "A 30839-2023")</f>
        <v/>
      </c>
      <c r="U341">
        <f>HYPERLINK("https://klasma.github.io/Logging_2260/knärot/A 30839-2023 knärot.png", "A 30839-2023")</f>
        <v/>
      </c>
      <c r="V341">
        <f>HYPERLINK("https://klasma.github.io/Logging_2260/klagomål/A 30839-2023 klagomål.docx", "A 30839-2023")</f>
        <v/>
      </c>
      <c r="W341">
        <f>HYPERLINK("https://klasma.github.io/Logging_2260/klagomålsmail/A 30839-2023 klagomålsmail.docx", "A 30839-2023")</f>
        <v/>
      </c>
      <c r="X341">
        <f>HYPERLINK("https://klasma.github.io/Logging_2260/tillsyn/A 30839-2023 tillsyn.docx", "A 30839-2023")</f>
        <v/>
      </c>
      <c r="Y341">
        <f>HYPERLINK("https://klasma.github.io/Logging_2260/tillsynsmail/A 30839-2023 tillsynsmail.docx", "A 30839-2023")</f>
        <v/>
      </c>
    </row>
    <row r="342" ht="15" customHeight="1">
      <c r="A342" t="inlineStr">
        <is>
          <t>A 37799-2023</t>
        </is>
      </c>
      <c r="B342" s="1" t="n">
        <v>45159</v>
      </c>
      <c r="C342" s="1" t="n">
        <v>45212</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 artfynd.xlsx", "A 37799-2023")</f>
        <v/>
      </c>
      <c r="T342">
        <f>HYPERLINK("https://klasma.github.io/Logging_2262/karta/A 37799-2023 karta.png", "A 37799-2023")</f>
        <v/>
      </c>
      <c r="V342">
        <f>HYPERLINK("https://klasma.github.io/Logging_2262/klagomål/A 37799-2023 klagomål.docx", "A 37799-2023")</f>
        <v/>
      </c>
      <c r="W342">
        <f>HYPERLINK("https://klasma.github.io/Logging_2262/klagomålsmail/A 37799-2023 klagomålsmail.docx", "A 37799-2023")</f>
        <v/>
      </c>
      <c r="X342">
        <f>HYPERLINK("https://klasma.github.io/Logging_2262/tillsyn/A 37799-2023 tillsyn.docx", "A 37799-2023")</f>
        <v/>
      </c>
      <c r="Y342">
        <f>HYPERLINK("https://klasma.github.io/Logging_2262/tillsynsmail/A 37799-2023 tillsynsmail.docx", "A 37799-2023")</f>
        <v/>
      </c>
    </row>
    <row r="343" ht="15" customHeight="1">
      <c r="A343" t="inlineStr">
        <is>
          <t>A 38096-2023</t>
        </is>
      </c>
      <c r="B343" s="1" t="n">
        <v>45160</v>
      </c>
      <c r="C343" s="1" t="n">
        <v>45212</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 artfynd.xlsx", "A 38096-2023")</f>
        <v/>
      </c>
      <c r="T343">
        <f>HYPERLINK("https://klasma.github.io/Logging_2281/karta/A 38096-2023 karta.png", "A 38096-2023")</f>
        <v/>
      </c>
      <c r="V343">
        <f>HYPERLINK("https://klasma.github.io/Logging_2281/klagomål/A 38096-2023 klagomål.docx", "A 38096-2023")</f>
        <v/>
      </c>
      <c r="W343">
        <f>HYPERLINK("https://klasma.github.io/Logging_2281/klagomålsmail/A 38096-2023 klagomålsmail.docx", "A 38096-2023")</f>
        <v/>
      </c>
      <c r="X343">
        <f>HYPERLINK("https://klasma.github.io/Logging_2281/tillsyn/A 38096-2023 tillsyn.docx", "A 38096-2023")</f>
        <v/>
      </c>
      <c r="Y343">
        <f>HYPERLINK("https://klasma.github.io/Logging_2281/tillsynsmail/A 38096-2023 tillsynsmail.docx", "A 38096-2023")</f>
        <v/>
      </c>
    </row>
    <row r="344" ht="15" customHeight="1">
      <c r="A344" t="inlineStr">
        <is>
          <t>A 58579-2018</t>
        </is>
      </c>
      <c r="B344" s="1" t="n">
        <v>43409</v>
      </c>
      <c r="C344" s="1" t="n">
        <v>45212</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 artfynd.xlsx", "A 58579-2018")</f>
        <v/>
      </c>
      <c r="T344">
        <f>HYPERLINK("https://klasma.github.io/Logging_2283/karta/A 58579-2018 karta.png", "A 58579-2018")</f>
        <v/>
      </c>
      <c r="V344">
        <f>HYPERLINK("https://klasma.github.io/Logging_2283/klagomål/A 58579-2018 klagomål.docx", "A 58579-2018")</f>
        <v/>
      </c>
      <c r="W344">
        <f>HYPERLINK("https://klasma.github.io/Logging_2283/klagomålsmail/A 58579-2018 klagomålsmail.docx", "A 58579-2018")</f>
        <v/>
      </c>
      <c r="X344">
        <f>HYPERLINK("https://klasma.github.io/Logging_2283/tillsyn/A 58579-2018 tillsyn.docx", "A 58579-2018")</f>
        <v/>
      </c>
      <c r="Y344">
        <f>HYPERLINK("https://klasma.github.io/Logging_2283/tillsynsmail/A 58579-2018 tillsynsmail.docx", "A 58579-2018")</f>
        <v/>
      </c>
    </row>
    <row r="345" ht="15" customHeight="1">
      <c r="A345" t="inlineStr">
        <is>
          <t>A 60182-2018</t>
        </is>
      </c>
      <c r="B345" s="1" t="n">
        <v>43412</v>
      </c>
      <c r="C345" s="1" t="n">
        <v>45212</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 artfynd.xlsx", "A 60182-2018")</f>
        <v/>
      </c>
      <c r="T345">
        <f>HYPERLINK("https://klasma.github.io/Logging_2281/karta/A 60182-2018 karta.png", "A 60182-2018")</f>
        <v/>
      </c>
      <c r="V345">
        <f>HYPERLINK("https://klasma.github.io/Logging_2281/klagomål/A 60182-2018 klagomål.docx", "A 60182-2018")</f>
        <v/>
      </c>
      <c r="W345">
        <f>HYPERLINK("https://klasma.github.io/Logging_2281/klagomålsmail/A 60182-2018 klagomålsmail.docx", "A 60182-2018")</f>
        <v/>
      </c>
      <c r="X345">
        <f>HYPERLINK("https://klasma.github.io/Logging_2281/tillsyn/A 60182-2018 tillsyn.docx", "A 60182-2018")</f>
        <v/>
      </c>
      <c r="Y345">
        <f>HYPERLINK("https://klasma.github.io/Logging_2281/tillsynsmail/A 60182-2018 tillsynsmail.docx", "A 60182-2018")</f>
        <v/>
      </c>
    </row>
    <row r="346" ht="15" customHeight="1">
      <c r="A346" t="inlineStr">
        <is>
          <t>A 61641-2018</t>
        </is>
      </c>
      <c r="B346" s="1" t="n">
        <v>43424</v>
      </c>
      <c r="C346" s="1" t="n">
        <v>45212</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 artfynd.xlsx", "A 61641-2018")</f>
        <v/>
      </c>
      <c r="T346">
        <f>HYPERLINK("https://klasma.github.io/Logging_2260/karta/A 61641-2018 karta.png", "A 61641-2018")</f>
        <v/>
      </c>
      <c r="V346">
        <f>HYPERLINK("https://klasma.github.io/Logging_2260/klagomål/A 61641-2018 klagomål.docx", "A 61641-2018")</f>
        <v/>
      </c>
      <c r="W346">
        <f>HYPERLINK("https://klasma.github.io/Logging_2260/klagomålsmail/A 61641-2018 klagomålsmail.docx", "A 61641-2018")</f>
        <v/>
      </c>
      <c r="X346">
        <f>HYPERLINK("https://klasma.github.io/Logging_2260/tillsyn/A 61641-2018 tillsyn.docx", "A 61641-2018")</f>
        <v/>
      </c>
      <c r="Y346">
        <f>HYPERLINK("https://klasma.github.io/Logging_2260/tillsynsmail/A 61641-2018 tillsynsmail.docx", "A 61641-2018")</f>
        <v/>
      </c>
    </row>
    <row r="347" ht="15" customHeight="1">
      <c r="A347" t="inlineStr">
        <is>
          <t>A 3782-2019</t>
        </is>
      </c>
      <c r="B347" s="1" t="n">
        <v>43481</v>
      </c>
      <c r="C347" s="1" t="n">
        <v>45212</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 artfynd.xlsx", "A 3782-2019")</f>
        <v/>
      </c>
      <c r="T347">
        <f>HYPERLINK("https://klasma.github.io/Logging_2283/karta/A 3782-2019 karta.png", "A 3782-2019")</f>
        <v/>
      </c>
      <c r="V347">
        <f>HYPERLINK("https://klasma.github.io/Logging_2283/klagomål/A 3782-2019 klagomål.docx", "A 3782-2019")</f>
        <v/>
      </c>
      <c r="W347">
        <f>HYPERLINK("https://klasma.github.io/Logging_2283/klagomålsmail/A 3782-2019 klagomålsmail.docx", "A 3782-2019")</f>
        <v/>
      </c>
      <c r="X347">
        <f>HYPERLINK("https://klasma.github.io/Logging_2283/tillsyn/A 3782-2019 tillsyn.docx", "A 3782-2019")</f>
        <v/>
      </c>
      <c r="Y347">
        <f>HYPERLINK("https://klasma.github.io/Logging_2283/tillsynsmail/A 3782-2019 tillsynsmail.docx", "A 3782-2019")</f>
        <v/>
      </c>
    </row>
    <row r="348" ht="15" customHeight="1">
      <c r="A348" t="inlineStr">
        <is>
          <t>A 7140-2019</t>
        </is>
      </c>
      <c r="B348" s="1" t="n">
        <v>43496</v>
      </c>
      <c r="C348" s="1" t="n">
        <v>45212</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 artfynd.xlsx", "A 7140-2019")</f>
        <v/>
      </c>
      <c r="T348">
        <f>HYPERLINK("https://klasma.github.io/Logging_2260/karta/A 7140-2019 karta.png", "A 7140-2019")</f>
        <v/>
      </c>
      <c r="V348">
        <f>HYPERLINK("https://klasma.github.io/Logging_2260/klagomål/A 7140-2019 klagomål.docx", "A 7140-2019")</f>
        <v/>
      </c>
      <c r="W348">
        <f>HYPERLINK("https://klasma.github.io/Logging_2260/klagomålsmail/A 7140-2019 klagomålsmail.docx", "A 7140-2019")</f>
        <v/>
      </c>
      <c r="X348">
        <f>HYPERLINK("https://klasma.github.io/Logging_2260/tillsyn/A 7140-2019 tillsyn.docx", "A 7140-2019")</f>
        <v/>
      </c>
      <c r="Y348">
        <f>HYPERLINK("https://klasma.github.io/Logging_2260/tillsynsmail/A 7140-2019 tillsynsmail.docx", "A 7140-2019")</f>
        <v/>
      </c>
    </row>
    <row r="349" ht="15" customHeight="1">
      <c r="A349" t="inlineStr">
        <is>
          <t>A 9516-2019</t>
        </is>
      </c>
      <c r="B349" s="1" t="n">
        <v>43507</v>
      </c>
      <c r="C349" s="1" t="n">
        <v>45212</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 artfynd.xlsx", "A 9516-2019")</f>
        <v/>
      </c>
      <c r="T349">
        <f>HYPERLINK("https://klasma.github.io/Logging_2281/karta/A 9516-2019 karta.png", "A 9516-2019")</f>
        <v/>
      </c>
      <c r="V349">
        <f>HYPERLINK("https://klasma.github.io/Logging_2281/klagomål/A 9516-2019 klagomål.docx", "A 9516-2019")</f>
        <v/>
      </c>
      <c r="W349">
        <f>HYPERLINK("https://klasma.github.io/Logging_2281/klagomålsmail/A 9516-2019 klagomålsmail.docx", "A 9516-2019")</f>
        <v/>
      </c>
      <c r="X349">
        <f>HYPERLINK("https://klasma.github.io/Logging_2281/tillsyn/A 9516-2019 tillsyn.docx", "A 9516-2019")</f>
        <v/>
      </c>
      <c r="Y349">
        <f>HYPERLINK("https://klasma.github.io/Logging_2281/tillsynsmail/A 9516-2019 tillsynsmail.docx", "A 9516-2019")</f>
        <v/>
      </c>
    </row>
    <row r="350" ht="15" customHeight="1">
      <c r="A350" t="inlineStr">
        <is>
          <t>A 16561-2019</t>
        </is>
      </c>
      <c r="B350" s="1" t="n">
        <v>43546</v>
      </c>
      <c r="C350" s="1" t="n">
        <v>45212</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 artfynd.xlsx", "A 16561-2019")</f>
        <v/>
      </c>
      <c r="T350">
        <f>HYPERLINK("https://klasma.github.io/Logging_2282/karta/A 16561-2019 karta.png", "A 16561-2019")</f>
        <v/>
      </c>
      <c r="V350">
        <f>HYPERLINK("https://klasma.github.io/Logging_2282/klagomål/A 16561-2019 klagomål.docx", "A 16561-2019")</f>
        <v/>
      </c>
      <c r="W350">
        <f>HYPERLINK("https://klasma.github.io/Logging_2282/klagomålsmail/A 16561-2019 klagomålsmail.docx", "A 16561-2019")</f>
        <v/>
      </c>
      <c r="X350">
        <f>HYPERLINK("https://klasma.github.io/Logging_2282/tillsyn/A 16561-2019 tillsyn.docx", "A 16561-2019")</f>
        <v/>
      </c>
      <c r="Y350">
        <f>HYPERLINK("https://klasma.github.io/Logging_2282/tillsynsmail/A 16561-2019 tillsynsmail.docx", "A 16561-2019")</f>
        <v/>
      </c>
    </row>
    <row r="351" ht="15" customHeight="1">
      <c r="A351" t="inlineStr">
        <is>
          <t>A 34494-2019</t>
        </is>
      </c>
      <c r="B351" s="1" t="n">
        <v>43656</v>
      </c>
      <c r="C351" s="1" t="n">
        <v>45212</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 artfynd.xlsx", "A 34494-2019")</f>
        <v/>
      </c>
      <c r="T351">
        <f>HYPERLINK("https://klasma.github.io/Logging_2260/karta/A 34494-2019 karta.png", "A 34494-2019")</f>
        <v/>
      </c>
      <c r="V351">
        <f>HYPERLINK("https://klasma.github.io/Logging_2260/klagomål/A 34494-2019 klagomål.docx", "A 34494-2019")</f>
        <v/>
      </c>
      <c r="W351">
        <f>HYPERLINK("https://klasma.github.io/Logging_2260/klagomålsmail/A 34494-2019 klagomålsmail.docx", "A 34494-2019")</f>
        <v/>
      </c>
      <c r="X351">
        <f>HYPERLINK("https://klasma.github.io/Logging_2260/tillsyn/A 34494-2019 tillsyn.docx", "A 34494-2019")</f>
        <v/>
      </c>
      <c r="Y351">
        <f>HYPERLINK("https://klasma.github.io/Logging_2260/tillsynsmail/A 34494-2019 tillsynsmail.docx", "A 34494-2019")</f>
        <v/>
      </c>
    </row>
    <row r="352" ht="15" customHeight="1">
      <c r="A352" t="inlineStr">
        <is>
          <t>A 34918-2019</t>
        </is>
      </c>
      <c r="B352" s="1" t="n">
        <v>43658</v>
      </c>
      <c r="C352" s="1" t="n">
        <v>45212</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 artfynd.xlsx", "A 34918-2019")</f>
        <v/>
      </c>
      <c r="T352">
        <f>HYPERLINK("https://klasma.github.io/Logging_2283/karta/A 34918-2019 karta.png", "A 34918-2019")</f>
        <v/>
      </c>
      <c r="V352">
        <f>HYPERLINK("https://klasma.github.io/Logging_2283/klagomål/A 34918-2019 klagomål.docx", "A 34918-2019")</f>
        <v/>
      </c>
      <c r="W352">
        <f>HYPERLINK("https://klasma.github.io/Logging_2283/klagomålsmail/A 34918-2019 klagomålsmail.docx", "A 34918-2019")</f>
        <v/>
      </c>
      <c r="X352">
        <f>HYPERLINK("https://klasma.github.io/Logging_2283/tillsyn/A 34918-2019 tillsyn.docx", "A 34918-2019")</f>
        <v/>
      </c>
      <c r="Y352">
        <f>HYPERLINK("https://klasma.github.io/Logging_2283/tillsynsmail/A 34918-2019 tillsynsmail.docx", "A 34918-2019")</f>
        <v/>
      </c>
    </row>
    <row r="353" ht="15" customHeight="1">
      <c r="A353" t="inlineStr">
        <is>
          <t>A 38332-2019</t>
        </is>
      </c>
      <c r="B353" s="1" t="n">
        <v>43684</v>
      </c>
      <c r="C353" s="1" t="n">
        <v>45212</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 artfynd.xlsx", "A 38332-2019")</f>
        <v/>
      </c>
      <c r="T353">
        <f>HYPERLINK("https://klasma.github.io/Logging_2260/karta/A 38332-2019 karta.png", "A 38332-2019")</f>
        <v/>
      </c>
      <c r="V353">
        <f>HYPERLINK("https://klasma.github.io/Logging_2260/klagomål/A 38332-2019 klagomål.docx", "A 38332-2019")</f>
        <v/>
      </c>
      <c r="W353">
        <f>HYPERLINK("https://klasma.github.io/Logging_2260/klagomålsmail/A 38332-2019 klagomålsmail.docx", "A 38332-2019")</f>
        <v/>
      </c>
      <c r="X353">
        <f>HYPERLINK("https://klasma.github.io/Logging_2260/tillsyn/A 38332-2019 tillsyn.docx", "A 38332-2019")</f>
        <v/>
      </c>
      <c r="Y353">
        <f>HYPERLINK("https://klasma.github.io/Logging_2260/tillsynsmail/A 38332-2019 tillsynsmail.docx", "A 38332-2019")</f>
        <v/>
      </c>
    </row>
    <row r="354" ht="15" customHeight="1">
      <c r="A354" t="inlineStr">
        <is>
          <t>A 45006-2019</t>
        </is>
      </c>
      <c r="B354" s="1" t="n">
        <v>43707</v>
      </c>
      <c r="C354" s="1" t="n">
        <v>45212</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 artfynd.xlsx", "A 45006-2019")</f>
        <v/>
      </c>
      <c r="T354">
        <f>HYPERLINK("https://klasma.github.io/Logging_2282/karta/A 45006-2019 karta.png", "A 45006-2019")</f>
        <v/>
      </c>
      <c r="V354">
        <f>HYPERLINK("https://klasma.github.io/Logging_2282/klagomål/A 45006-2019 klagomål.docx", "A 45006-2019")</f>
        <v/>
      </c>
      <c r="W354">
        <f>HYPERLINK("https://klasma.github.io/Logging_2282/klagomålsmail/A 45006-2019 klagomålsmail.docx", "A 45006-2019")</f>
        <v/>
      </c>
      <c r="X354">
        <f>HYPERLINK("https://klasma.github.io/Logging_2282/tillsyn/A 45006-2019 tillsyn.docx", "A 45006-2019")</f>
        <v/>
      </c>
      <c r="Y354">
        <f>HYPERLINK("https://klasma.github.io/Logging_2282/tillsynsmail/A 45006-2019 tillsynsmail.docx", "A 45006-2019")</f>
        <v/>
      </c>
    </row>
    <row r="355" ht="15" customHeight="1">
      <c r="A355" t="inlineStr">
        <is>
          <t>A 47808-2019</t>
        </is>
      </c>
      <c r="B355" s="1" t="n">
        <v>43724</v>
      </c>
      <c r="C355" s="1" t="n">
        <v>45212</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 artfynd.xlsx", "A 47808-2019")</f>
        <v/>
      </c>
      <c r="T355">
        <f>HYPERLINK("https://klasma.github.io/Logging_2281/karta/A 47808-2019 karta.png", "A 47808-2019")</f>
        <v/>
      </c>
      <c r="V355">
        <f>HYPERLINK("https://klasma.github.io/Logging_2281/klagomål/A 47808-2019 klagomål.docx", "A 47808-2019")</f>
        <v/>
      </c>
      <c r="W355">
        <f>HYPERLINK("https://klasma.github.io/Logging_2281/klagomålsmail/A 47808-2019 klagomålsmail.docx", "A 47808-2019")</f>
        <v/>
      </c>
      <c r="X355">
        <f>HYPERLINK("https://klasma.github.io/Logging_2281/tillsyn/A 47808-2019 tillsyn.docx", "A 47808-2019")</f>
        <v/>
      </c>
      <c r="Y355">
        <f>HYPERLINK("https://klasma.github.io/Logging_2281/tillsynsmail/A 47808-2019 tillsynsmail.docx", "A 47808-2019")</f>
        <v/>
      </c>
    </row>
    <row r="356" ht="15" customHeight="1">
      <c r="A356" t="inlineStr">
        <is>
          <t>A 66366-2019</t>
        </is>
      </c>
      <c r="B356" s="1" t="n">
        <v>43808</v>
      </c>
      <c r="C356" s="1" t="n">
        <v>45212</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 artfynd.xlsx", "A 66366-2019")</f>
        <v/>
      </c>
      <c r="T356">
        <f>HYPERLINK("https://klasma.github.io/Logging_2283/karta/A 66366-2019 karta.png", "A 66366-2019")</f>
        <v/>
      </c>
      <c r="V356">
        <f>HYPERLINK("https://klasma.github.io/Logging_2283/klagomål/A 66366-2019 klagomål.docx", "A 66366-2019")</f>
        <v/>
      </c>
      <c r="W356">
        <f>HYPERLINK("https://klasma.github.io/Logging_2283/klagomålsmail/A 66366-2019 klagomålsmail.docx", "A 66366-2019")</f>
        <v/>
      </c>
      <c r="X356">
        <f>HYPERLINK("https://klasma.github.io/Logging_2283/tillsyn/A 66366-2019 tillsyn.docx", "A 66366-2019")</f>
        <v/>
      </c>
      <c r="Y356">
        <f>HYPERLINK("https://klasma.github.io/Logging_2283/tillsynsmail/A 66366-2019 tillsynsmail.docx", "A 66366-2019")</f>
        <v/>
      </c>
    </row>
    <row r="357" ht="15" customHeight="1">
      <c r="A357" t="inlineStr">
        <is>
          <t>A 3610-2020</t>
        </is>
      </c>
      <c r="B357" s="1" t="n">
        <v>43853</v>
      </c>
      <c r="C357" s="1" t="n">
        <v>45212</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 artfynd.xlsx", "A 3610-2020")</f>
        <v/>
      </c>
      <c r="T357">
        <f>HYPERLINK("https://klasma.github.io/Logging_2282/karta/A 3610-2020 karta.png", "A 3610-2020")</f>
        <v/>
      </c>
      <c r="V357">
        <f>HYPERLINK("https://klasma.github.io/Logging_2282/klagomål/A 3610-2020 klagomål.docx", "A 3610-2020")</f>
        <v/>
      </c>
      <c r="W357">
        <f>HYPERLINK("https://klasma.github.io/Logging_2282/klagomålsmail/A 3610-2020 klagomålsmail.docx", "A 3610-2020")</f>
        <v/>
      </c>
      <c r="X357">
        <f>HYPERLINK("https://klasma.github.io/Logging_2282/tillsyn/A 3610-2020 tillsyn.docx", "A 3610-2020")</f>
        <v/>
      </c>
      <c r="Y357">
        <f>HYPERLINK("https://klasma.github.io/Logging_2282/tillsynsmail/A 3610-2020 tillsynsmail.docx", "A 3610-2020")</f>
        <v/>
      </c>
    </row>
    <row r="358" ht="15" customHeight="1">
      <c r="A358" t="inlineStr">
        <is>
          <t>A 3991-2020</t>
        </is>
      </c>
      <c r="B358" s="1" t="n">
        <v>43856</v>
      </c>
      <c r="C358" s="1" t="n">
        <v>45212</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 artfynd.xlsx", "A 3991-2020")</f>
        <v/>
      </c>
      <c r="T358">
        <f>HYPERLINK("https://klasma.github.io/Logging_2260/karta/A 3991-2020 karta.png", "A 3991-2020")</f>
        <v/>
      </c>
      <c r="V358">
        <f>HYPERLINK("https://klasma.github.io/Logging_2260/klagomål/A 3991-2020 klagomål.docx", "A 3991-2020")</f>
        <v/>
      </c>
      <c r="W358">
        <f>HYPERLINK("https://klasma.github.io/Logging_2260/klagomålsmail/A 3991-2020 klagomålsmail.docx", "A 3991-2020")</f>
        <v/>
      </c>
      <c r="X358">
        <f>HYPERLINK("https://klasma.github.io/Logging_2260/tillsyn/A 3991-2020 tillsyn.docx", "A 3991-2020")</f>
        <v/>
      </c>
      <c r="Y358">
        <f>HYPERLINK("https://klasma.github.io/Logging_2260/tillsynsmail/A 3991-2020 tillsynsmail.docx", "A 3991-2020")</f>
        <v/>
      </c>
    </row>
    <row r="359" ht="15" customHeight="1">
      <c r="A359" t="inlineStr">
        <is>
          <t>A 5314-2020</t>
        </is>
      </c>
      <c r="B359" s="1" t="n">
        <v>43857</v>
      </c>
      <c r="C359" s="1" t="n">
        <v>45212</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 artfynd.xlsx", "A 5314-2020")</f>
        <v/>
      </c>
      <c r="T359">
        <f>HYPERLINK("https://klasma.github.io/Logging_2283/karta/A 5314-2020 karta.png", "A 5314-2020")</f>
        <v/>
      </c>
      <c r="V359">
        <f>HYPERLINK("https://klasma.github.io/Logging_2283/klagomål/A 5314-2020 klagomål.docx", "A 5314-2020")</f>
        <v/>
      </c>
      <c r="W359">
        <f>HYPERLINK("https://klasma.github.io/Logging_2283/klagomålsmail/A 5314-2020 klagomålsmail.docx", "A 5314-2020")</f>
        <v/>
      </c>
      <c r="X359">
        <f>HYPERLINK("https://klasma.github.io/Logging_2283/tillsyn/A 5314-2020 tillsyn.docx", "A 5314-2020")</f>
        <v/>
      </c>
      <c r="Y359">
        <f>HYPERLINK("https://klasma.github.io/Logging_2283/tillsynsmail/A 5314-2020 tillsynsmail.docx", "A 5314-2020")</f>
        <v/>
      </c>
    </row>
    <row r="360" ht="15" customHeight="1">
      <c r="A360" t="inlineStr">
        <is>
          <t>A 29505-2020</t>
        </is>
      </c>
      <c r="B360" s="1" t="n">
        <v>44004</v>
      </c>
      <c r="C360" s="1" t="n">
        <v>45212</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 artfynd.xlsx", "A 29505-2020")</f>
        <v/>
      </c>
      <c r="T360">
        <f>HYPERLINK("https://klasma.github.io/Logging_2283/karta/A 29505-2020 karta.png", "A 29505-2020")</f>
        <v/>
      </c>
      <c r="V360">
        <f>HYPERLINK("https://klasma.github.io/Logging_2283/klagomål/A 29505-2020 klagomål.docx", "A 29505-2020")</f>
        <v/>
      </c>
      <c r="W360">
        <f>HYPERLINK("https://klasma.github.io/Logging_2283/klagomålsmail/A 29505-2020 klagomålsmail.docx", "A 29505-2020")</f>
        <v/>
      </c>
      <c r="X360">
        <f>HYPERLINK("https://klasma.github.io/Logging_2283/tillsyn/A 29505-2020 tillsyn.docx", "A 29505-2020")</f>
        <v/>
      </c>
      <c r="Y360">
        <f>HYPERLINK("https://klasma.github.io/Logging_2283/tillsynsmail/A 29505-2020 tillsynsmail.docx", "A 29505-2020")</f>
        <v/>
      </c>
    </row>
    <row r="361" ht="15" customHeight="1">
      <c r="A361" t="inlineStr">
        <is>
          <t>A 34085-2020</t>
        </is>
      </c>
      <c r="B361" s="1" t="n">
        <v>44028</v>
      </c>
      <c r="C361" s="1" t="n">
        <v>45212</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 artfynd.xlsx", "A 34085-2020")</f>
        <v/>
      </c>
      <c r="T361">
        <f>HYPERLINK("https://klasma.github.io/Logging_2283/karta/A 34085-2020 karta.png", "A 34085-2020")</f>
        <v/>
      </c>
      <c r="U361">
        <f>HYPERLINK("https://klasma.github.io/Logging_2283/knärot/A 34085-2020 knärot.png", "A 34085-2020")</f>
        <v/>
      </c>
      <c r="V361">
        <f>HYPERLINK("https://klasma.github.io/Logging_2283/klagomål/A 34085-2020 klagomål.docx", "A 34085-2020")</f>
        <v/>
      </c>
      <c r="W361">
        <f>HYPERLINK("https://klasma.github.io/Logging_2283/klagomålsmail/A 34085-2020 klagomålsmail.docx", "A 34085-2020")</f>
        <v/>
      </c>
      <c r="X361">
        <f>HYPERLINK("https://klasma.github.io/Logging_2283/tillsyn/A 34085-2020 tillsyn.docx", "A 34085-2020")</f>
        <v/>
      </c>
      <c r="Y361">
        <f>HYPERLINK("https://klasma.github.io/Logging_2283/tillsynsmail/A 34085-2020 tillsynsmail.docx", "A 34085-2020")</f>
        <v/>
      </c>
    </row>
    <row r="362" ht="15" customHeight="1">
      <c r="A362" t="inlineStr">
        <is>
          <t>A 39080-2020</t>
        </is>
      </c>
      <c r="B362" s="1" t="n">
        <v>44062</v>
      </c>
      <c r="C362" s="1" t="n">
        <v>45212</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 artfynd.xlsx", "A 39080-2020")</f>
        <v/>
      </c>
      <c r="T362">
        <f>HYPERLINK("https://klasma.github.io/Logging_2281/karta/A 39080-2020 karta.png", "A 39080-2020")</f>
        <v/>
      </c>
      <c r="V362">
        <f>HYPERLINK("https://klasma.github.io/Logging_2281/klagomål/A 39080-2020 klagomål.docx", "A 39080-2020")</f>
        <v/>
      </c>
      <c r="W362">
        <f>HYPERLINK("https://klasma.github.io/Logging_2281/klagomålsmail/A 39080-2020 klagomålsmail.docx", "A 39080-2020")</f>
        <v/>
      </c>
      <c r="X362">
        <f>HYPERLINK("https://klasma.github.io/Logging_2281/tillsyn/A 39080-2020 tillsyn.docx", "A 39080-2020")</f>
        <v/>
      </c>
      <c r="Y362">
        <f>HYPERLINK("https://klasma.github.io/Logging_2281/tillsynsmail/A 39080-2020 tillsynsmail.docx", "A 39080-2020")</f>
        <v/>
      </c>
    </row>
    <row r="363" ht="15" customHeight="1">
      <c r="A363" t="inlineStr">
        <is>
          <t>A 46130-2020</t>
        </is>
      </c>
      <c r="B363" s="1" t="n">
        <v>44091</v>
      </c>
      <c r="C363" s="1" t="n">
        <v>45212</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 artfynd.xlsx", "A 46130-2020")</f>
        <v/>
      </c>
      <c r="T363">
        <f>HYPERLINK("https://klasma.github.io/Logging_2260/karta/A 46130-2020 karta.png", "A 46130-2020")</f>
        <v/>
      </c>
      <c r="V363">
        <f>HYPERLINK("https://klasma.github.io/Logging_2260/klagomål/A 46130-2020 klagomål.docx", "A 46130-2020")</f>
        <v/>
      </c>
      <c r="W363">
        <f>HYPERLINK("https://klasma.github.io/Logging_2260/klagomålsmail/A 46130-2020 klagomålsmail.docx", "A 46130-2020")</f>
        <v/>
      </c>
      <c r="X363">
        <f>HYPERLINK("https://klasma.github.io/Logging_2260/tillsyn/A 46130-2020 tillsyn.docx", "A 46130-2020")</f>
        <v/>
      </c>
      <c r="Y363">
        <f>HYPERLINK("https://klasma.github.io/Logging_2260/tillsynsmail/A 46130-2020 tillsynsmail.docx", "A 46130-2020")</f>
        <v/>
      </c>
    </row>
    <row r="364" ht="15" customHeight="1">
      <c r="A364" t="inlineStr">
        <is>
          <t>A 50336-2020</t>
        </is>
      </c>
      <c r="B364" s="1" t="n">
        <v>44110</v>
      </c>
      <c r="C364" s="1" t="n">
        <v>45212</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 artfynd.xlsx", "A 50336-2020")</f>
        <v/>
      </c>
      <c r="T364">
        <f>HYPERLINK("https://klasma.github.io/Logging_2281/karta/A 50336-2020 karta.png", "A 50336-2020")</f>
        <v/>
      </c>
      <c r="V364">
        <f>HYPERLINK("https://klasma.github.io/Logging_2281/klagomål/A 50336-2020 klagomål.docx", "A 50336-2020")</f>
        <v/>
      </c>
      <c r="W364">
        <f>HYPERLINK("https://klasma.github.io/Logging_2281/klagomålsmail/A 50336-2020 klagomålsmail.docx", "A 50336-2020")</f>
        <v/>
      </c>
      <c r="X364">
        <f>HYPERLINK("https://klasma.github.io/Logging_2281/tillsyn/A 50336-2020 tillsyn.docx", "A 50336-2020")</f>
        <v/>
      </c>
      <c r="Y364">
        <f>HYPERLINK("https://klasma.github.io/Logging_2281/tillsynsmail/A 50336-2020 tillsynsmail.docx", "A 50336-2020")</f>
        <v/>
      </c>
    </row>
    <row r="365" ht="15" customHeight="1">
      <c r="A365" t="inlineStr">
        <is>
          <t>A 51694-2020</t>
        </is>
      </c>
      <c r="B365" s="1" t="n">
        <v>44113</v>
      </c>
      <c r="C365" s="1" t="n">
        <v>45212</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 artfynd.xlsx", "A 51694-2020")</f>
        <v/>
      </c>
      <c r="T365">
        <f>HYPERLINK("https://klasma.github.io/Logging_2260/karta/A 51694-2020 karta.png", "A 51694-2020")</f>
        <v/>
      </c>
      <c r="V365">
        <f>HYPERLINK("https://klasma.github.io/Logging_2260/klagomål/A 51694-2020 klagomål.docx", "A 51694-2020")</f>
        <v/>
      </c>
      <c r="W365">
        <f>HYPERLINK("https://klasma.github.io/Logging_2260/klagomålsmail/A 51694-2020 klagomålsmail.docx", "A 51694-2020")</f>
        <v/>
      </c>
      <c r="X365">
        <f>HYPERLINK("https://klasma.github.io/Logging_2260/tillsyn/A 51694-2020 tillsyn.docx", "A 51694-2020")</f>
        <v/>
      </c>
      <c r="Y365">
        <f>HYPERLINK("https://klasma.github.io/Logging_2260/tillsynsmail/A 51694-2020 tillsynsmail.docx", "A 51694-2020")</f>
        <v/>
      </c>
    </row>
    <row r="366" ht="15" customHeight="1">
      <c r="A366" t="inlineStr">
        <is>
          <t>A 57370-2020</t>
        </is>
      </c>
      <c r="B366" s="1" t="n">
        <v>44139</v>
      </c>
      <c r="C366" s="1" t="n">
        <v>45212</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 artfynd.xlsx", "A 57370-2020")</f>
        <v/>
      </c>
      <c r="T366">
        <f>HYPERLINK("https://klasma.github.io/Logging_2280/karta/A 57370-2020 karta.png", "A 57370-2020")</f>
        <v/>
      </c>
      <c r="V366">
        <f>HYPERLINK("https://klasma.github.io/Logging_2280/klagomål/A 57370-2020 klagomål.docx", "A 57370-2020")</f>
        <v/>
      </c>
      <c r="W366">
        <f>HYPERLINK("https://klasma.github.io/Logging_2280/klagomålsmail/A 57370-2020 klagomålsmail.docx", "A 57370-2020")</f>
        <v/>
      </c>
      <c r="X366">
        <f>HYPERLINK("https://klasma.github.io/Logging_2280/tillsyn/A 57370-2020 tillsyn.docx", "A 57370-2020")</f>
        <v/>
      </c>
      <c r="Y366">
        <f>HYPERLINK("https://klasma.github.io/Logging_2280/tillsynsmail/A 57370-2020 tillsynsmail.docx", "A 57370-2020")</f>
        <v/>
      </c>
    </row>
    <row r="367" ht="15" customHeight="1">
      <c r="A367" t="inlineStr">
        <is>
          <t>A 58902-2020</t>
        </is>
      </c>
      <c r="B367" s="1" t="n">
        <v>44146</v>
      </c>
      <c r="C367" s="1" t="n">
        <v>45212</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 artfynd.xlsx", "A 58902-2020")</f>
        <v/>
      </c>
      <c r="T367">
        <f>HYPERLINK("https://klasma.github.io/Logging_2260/karta/A 58902-2020 karta.png", "A 58902-2020")</f>
        <v/>
      </c>
      <c r="V367">
        <f>HYPERLINK("https://klasma.github.io/Logging_2260/klagomål/A 58902-2020 klagomål.docx", "A 58902-2020")</f>
        <v/>
      </c>
      <c r="W367">
        <f>HYPERLINK("https://klasma.github.io/Logging_2260/klagomålsmail/A 58902-2020 klagomålsmail.docx", "A 58902-2020")</f>
        <v/>
      </c>
      <c r="X367">
        <f>HYPERLINK("https://klasma.github.io/Logging_2260/tillsyn/A 58902-2020 tillsyn.docx", "A 58902-2020")</f>
        <v/>
      </c>
      <c r="Y367">
        <f>HYPERLINK("https://klasma.github.io/Logging_2260/tillsynsmail/A 58902-2020 tillsynsmail.docx", "A 58902-2020")</f>
        <v/>
      </c>
    </row>
    <row r="368" ht="15" customHeight="1">
      <c r="A368" t="inlineStr">
        <is>
          <t>A 60042-2020</t>
        </is>
      </c>
      <c r="B368" s="1" t="n">
        <v>44151</v>
      </c>
      <c r="C368" s="1" t="n">
        <v>45212</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 artfynd.xlsx", "A 60042-2020")</f>
        <v/>
      </c>
      <c r="T368">
        <f>HYPERLINK("https://klasma.github.io/Logging_2284/karta/A 60042-2020 karta.png", "A 60042-2020")</f>
        <v/>
      </c>
      <c r="V368">
        <f>HYPERLINK("https://klasma.github.io/Logging_2284/klagomål/A 60042-2020 klagomål.docx", "A 60042-2020")</f>
        <v/>
      </c>
      <c r="W368">
        <f>HYPERLINK("https://klasma.github.io/Logging_2284/klagomålsmail/A 60042-2020 klagomålsmail.docx", "A 60042-2020")</f>
        <v/>
      </c>
      <c r="X368">
        <f>HYPERLINK("https://klasma.github.io/Logging_2284/tillsyn/A 60042-2020 tillsyn.docx", "A 60042-2020")</f>
        <v/>
      </c>
      <c r="Y368">
        <f>HYPERLINK("https://klasma.github.io/Logging_2284/tillsynsmail/A 60042-2020 tillsynsmail.docx", "A 60042-2020")</f>
        <v/>
      </c>
    </row>
    <row r="369" ht="15" customHeight="1">
      <c r="A369" t="inlineStr">
        <is>
          <t>A 60400-2020</t>
        </is>
      </c>
      <c r="B369" s="1" t="n">
        <v>44152</v>
      </c>
      <c r="C369" s="1" t="n">
        <v>45212</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 artfynd.xlsx", "A 60400-2020")</f>
        <v/>
      </c>
      <c r="T369">
        <f>HYPERLINK("https://klasma.github.io/Logging_2281/karta/A 60400-2020 karta.png", "A 60400-2020")</f>
        <v/>
      </c>
      <c r="V369">
        <f>HYPERLINK("https://klasma.github.io/Logging_2281/klagomål/A 60400-2020 klagomål.docx", "A 60400-2020")</f>
        <v/>
      </c>
      <c r="W369">
        <f>HYPERLINK("https://klasma.github.io/Logging_2281/klagomålsmail/A 60400-2020 klagomålsmail.docx", "A 60400-2020")</f>
        <v/>
      </c>
      <c r="X369">
        <f>HYPERLINK("https://klasma.github.io/Logging_2281/tillsyn/A 60400-2020 tillsyn.docx", "A 60400-2020")</f>
        <v/>
      </c>
      <c r="Y369">
        <f>HYPERLINK("https://klasma.github.io/Logging_2281/tillsynsmail/A 60400-2020 tillsynsmail.docx", "A 60400-2020")</f>
        <v/>
      </c>
    </row>
    <row r="370" ht="15" customHeight="1">
      <c r="A370" t="inlineStr">
        <is>
          <t>A 716-2021</t>
        </is>
      </c>
      <c r="B370" s="1" t="n">
        <v>44204</v>
      </c>
      <c r="C370" s="1" t="n">
        <v>45212</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 artfynd.xlsx", "A 716-2021")</f>
        <v/>
      </c>
      <c r="T370">
        <f>HYPERLINK("https://klasma.github.io/Logging_2282/karta/A 716-2021 karta.png", "A 716-2021")</f>
        <v/>
      </c>
      <c r="V370">
        <f>HYPERLINK("https://klasma.github.io/Logging_2282/klagomål/A 716-2021 klagomål.docx", "A 716-2021")</f>
        <v/>
      </c>
      <c r="W370">
        <f>HYPERLINK("https://klasma.github.io/Logging_2282/klagomålsmail/A 716-2021 klagomålsmail.docx", "A 716-2021")</f>
        <v/>
      </c>
      <c r="X370">
        <f>HYPERLINK("https://klasma.github.io/Logging_2282/tillsyn/A 716-2021 tillsyn.docx", "A 716-2021")</f>
        <v/>
      </c>
      <c r="Y370">
        <f>HYPERLINK("https://klasma.github.io/Logging_2282/tillsynsmail/A 716-2021 tillsynsmail.docx", "A 716-2021")</f>
        <v/>
      </c>
    </row>
    <row r="371" ht="15" customHeight="1">
      <c r="A371" t="inlineStr">
        <is>
          <t>A 2309-2021</t>
        </is>
      </c>
      <c r="B371" s="1" t="n">
        <v>44213</v>
      </c>
      <c r="C371" s="1" t="n">
        <v>45212</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 artfynd.xlsx", "A 2309-2021")</f>
        <v/>
      </c>
      <c r="T371">
        <f>HYPERLINK("https://klasma.github.io/Logging_2283/karta/A 2309-2021 karta.png", "A 2309-2021")</f>
        <v/>
      </c>
      <c r="V371">
        <f>HYPERLINK("https://klasma.github.io/Logging_2283/klagomål/A 2309-2021 klagomål.docx", "A 2309-2021")</f>
        <v/>
      </c>
      <c r="W371">
        <f>HYPERLINK("https://klasma.github.io/Logging_2283/klagomålsmail/A 2309-2021 klagomålsmail.docx", "A 2309-2021")</f>
        <v/>
      </c>
      <c r="X371">
        <f>HYPERLINK("https://klasma.github.io/Logging_2283/tillsyn/A 2309-2021 tillsyn.docx", "A 2309-2021")</f>
        <v/>
      </c>
      <c r="Y371">
        <f>HYPERLINK("https://klasma.github.io/Logging_2283/tillsynsmail/A 2309-2021 tillsynsmail.docx", "A 2309-2021")</f>
        <v/>
      </c>
    </row>
    <row r="372" ht="15" customHeight="1">
      <c r="A372" t="inlineStr">
        <is>
          <t>A 7567-2021</t>
        </is>
      </c>
      <c r="B372" s="1" t="n">
        <v>44239</v>
      </c>
      <c r="C372" s="1" t="n">
        <v>45212</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 artfynd.xlsx", "A 7567-2021")</f>
        <v/>
      </c>
      <c r="T372">
        <f>HYPERLINK("https://klasma.github.io/Logging_2281/karta/A 7567-2021 karta.png", "A 7567-2021")</f>
        <v/>
      </c>
      <c r="V372">
        <f>HYPERLINK("https://klasma.github.io/Logging_2281/klagomål/A 7567-2021 klagomål.docx", "A 7567-2021")</f>
        <v/>
      </c>
      <c r="W372">
        <f>HYPERLINK("https://klasma.github.io/Logging_2281/klagomålsmail/A 7567-2021 klagomålsmail.docx", "A 7567-2021")</f>
        <v/>
      </c>
      <c r="X372">
        <f>HYPERLINK("https://klasma.github.io/Logging_2281/tillsyn/A 7567-2021 tillsyn.docx", "A 7567-2021")</f>
        <v/>
      </c>
      <c r="Y372">
        <f>HYPERLINK("https://klasma.github.io/Logging_2281/tillsynsmail/A 7567-2021 tillsynsmail.docx", "A 7567-2021")</f>
        <v/>
      </c>
    </row>
    <row r="373" ht="15" customHeight="1">
      <c r="A373" t="inlineStr">
        <is>
          <t>A 17601-2021</t>
        </is>
      </c>
      <c r="B373" s="1" t="n">
        <v>44299</v>
      </c>
      <c r="C373" s="1" t="n">
        <v>45212</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 artfynd.xlsx", "A 17601-2021")</f>
        <v/>
      </c>
      <c r="T373">
        <f>HYPERLINK("https://klasma.github.io/Logging_2282/karta/A 17601-2021 karta.png", "A 17601-2021")</f>
        <v/>
      </c>
      <c r="V373">
        <f>HYPERLINK("https://klasma.github.io/Logging_2282/klagomål/A 17601-2021 klagomål.docx", "A 17601-2021")</f>
        <v/>
      </c>
      <c r="W373">
        <f>HYPERLINK("https://klasma.github.io/Logging_2282/klagomålsmail/A 17601-2021 klagomålsmail.docx", "A 17601-2021")</f>
        <v/>
      </c>
      <c r="X373">
        <f>HYPERLINK("https://klasma.github.io/Logging_2282/tillsyn/A 17601-2021 tillsyn.docx", "A 17601-2021")</f>
        <v/>
      </c>
      <c r="Y373">
        <f>HYPERLINK("https://klasma.github.io/Logging_2282/tillsynsmail/A 17601-2021 tillsynsmail.docx", "A 17601-2021")</f>
        <v/>
      </c>
    </row>
    <row r="374" ht="15" customHeight="1">
      <c r="A374" t="inlineStr">
        <is>
          <t>A 18510-2021</t>
        </is>
      </c>
      <c r="B374" s="1" t="n">
        <v>44306</v>
      </c>
      <c r="C374" s="1" t="n">
        <v>45212</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 artfynd.xlsx", "A 18510-2021")</f>
        <v/>
      </c>
      <c r="T374">
        <f>HYPERLINK("https://klasma.github.io/Logging_2262/karta/A 18510-2021 karta.png", "A 18510-2021")</f>
        <v/>
      </c>
      <c r="V374">
        <f>HYPERLINK("https://klasma.github.io/Logging_2262/klagomål/A 18510-2021 klagomål.docx", "A 18510-2021")</f>
        <v/>
      </c>
      <c r="W374">
        <f>HYPERLINK("https://klasma.github.io/Logging_2262/klagomålsmail/A 18510-2021 klagomålsmail.docx", "A 18510-2021")</f>
        <v/>
      </c>
      <c r="X374">
        <f>HYPERLINK("https://klasma.github.io/Logging_2262/tillsyn/A 18510-2021 tillsyn.docx", "A 18510-2021")</f>
        <v/>
      </c>
      <c r="Y374">
        <f>HYPERLINK("https://klasma.github.io/Logging_2262/tillsynsmail/A 18510-2021 tillsynsmail.docx", "A 18510-2021")</f>
        <v/>
      </c>
    </row>
    <row r="375" ht="15" customHeight="1">
      <c r="A375" t="inlineStr">
        <is>
          <t>A 20836-2021</t>
        </is>
      </c>
      <c r="B375" s="1" t="n">
        <v>44318</v>
      </c>
      <c r="C375" s="1" t="n">
        <v>45212</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 artfynd.xlsx", "A 20836-2021")</f>
        <v/>
      </c>
      <c r="T375">
        <f>HYPERLINK("https://klasma.github.io/Logging_2283/karta/A 20836-2021 karta.png", "A 20836-2021")</f>
        <v/>
      </c>
      <c r="V375">
        <f>HYPERLINK("https://klasma.github.io/Logging_2283/klagomål/A 20836-2021 klagomål.docx", "A 20836-2021")</f>
        <v/>
      </c>
      <c r="W375">
        <f>HYPERLINK("https://klasma.github.io/Logging_2283/klagomålsmail/A 20836-2021 klagomålsmail.docx", "A 20836-2021")</f>
        <v/>
      </c>
      <c r="X375">
        <f>HYPERLINK("https://klasma.github.io/Logging_2283/tillsyn/A 20836-2021 tillsyn.docx", "A 20836-2021")</f>
        <v/>
      </c>
      <c r="Y375">
        <f>HYPERLINK("https://klasma.github.io/Logging_2283/tillsynsmail/A 20836-2021 tillsynsmail.docx", "A 20836-2021")</f>
        <v/>
      </c>
    </row>
    <row r="376" ht="15" customHeight="1">
      <c r="A376" t="inlineStr">
        <is>
          <t>A 27983-2021</t>
        </is>
      </c>
      <c r="B376" s="1" t="n">
        <v>44354</v>
      </c>
      <c r="C376" s="1" t="n">
        <v>45212</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 artfynd.xlsx", "A 27983-2021")</f>
        <v/>
      </c>
      <c r="T376">
        <f>HYPERLINK("https://klasma.github.io/Logging_2283/karta/A 27983-2021 karta.png", "A 27983-2021")</f>
        <v/>
      </c>
      <c r="V376">
        <f>HYPERLINK("https://klasma.github.io/Logging_2283/klagomål/A 27983-2021 klagomål.docx", "A 27983-2021")</f>
        <v/>
      </c>
      <c r="W376">
        <f>HYPERLINK("https://klasma.github.io/Logging_2283/klagomålsmail/A 27983-2021 klagomålsmail.docx", "A 27983-2021")</f>
        <v/>
      </c>
      <c r="X376">
        <f>HYPERLINK("https://klasma.github.io/Logging_2283/tillsyn/A 27983-2021 tillsyn.docx", "A 27983-2021")</f>
        <v/>
      </c>
      <c r="Y376">
        <f>HYPERLINK("https://klasma.github.io/Logging_2283/tillsynsmail/A 27983-2021 tillsynsmail.docx", "A 27983-2021")</f>
        <v/>
      </c>
    </row>
    <row r="377" ht="15" customHeight="1">
      <c r="A377" t="inlineStr">
        <is>
          <t>A 36635-2021</t>
        </is>
      </c>
      <c r="B377" s="1" t="n">
        <v>44391</v>
      </c>
      <c r="C377" s="1" t="n">
        <v>45212</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 artfynd.xlsx", "A 36635-2021")</f>
        <v/>
      </c>
      <c r="T377">
        <f>HYPERLINK("https://klasma.github.io/Logging_2260/karta/A 36635-2021 karta.png", "A 36635-2021")</f>
        <v/>
      </c>
      <c r="U377">
        <f>HYPERLINK("https://klasma.github.io/Logging_2260/knärot/A 36635-2021 knärot.png", "A 36635-2021")</f>
        <v/>
      </c>
      <c r="V377">
        <f>HYPERLINK("https://klasma.github.io/Logging_2260/klagomål/A 36635-2021 klagomål.docx", "A 36635-2021")</f>
        <v/>
      </c>
      <c r="W377">
        <f>HYPERLINK("https://klasma.github.io/Logging_2260/klagomålsmail/A 36635-2021 klagomålsmail.docx", "A 36635-2021")</f>
        <v/>
      </c>
      <c r="X377">
        <f>HYPERLINK("https://klasma.github.io/Logging_2260/tillsyn/A 36635-2021 tillsyn.docx", "A 36635-2021")</f>
        <v/>
      </c>
      <c r="Y377">
        <f>HYPERLINK("https://klasma.github.io/Logging_2260/tillsynsmail/A 36635-2021 tillsynsmail.docx", "A 36635-2021")</f>
        <v/>
      </c>
    </row>
    <row r="378" ht="15" customHeight="1">
      <c r="A378" t="inlineStr">
        <is>
          <t>A 43196-2021</t>
        </is>
      </c>
      <c r="B378" s="1" t="n">
        <v>44431</v>
      </c>
      <c r="C378" s="1" t="n">
        <v>45212</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 artfynd.xlsx", "A 43196-2021")</f>
        <v/>
      </c>
      <c r="T378">
        <f>HYPERLINK("https://klasma.github.io/Logging_2281/karta/A 43196-2021 karta.png", "A 43196-2021")</f>
        <v/>
      </c>
      <c r="V378">
        <f>HYPERLINK("https://klasma.github.io/Logging_2281/klagomål/A 43196-2021 klagomål.docx", "A 43196-2021")</f>
        <v/>
      </c>
      <c r="W378">
        <f>HYPERLINK("https://klasma.github.io/Logging_2281/klagomålsmail/A 43196-2021 klagomålsmail.docx", "A 43196-2021")</f>
        <v/>
      </c>
      <c r="X378">
        <f>HYPERLINK("https://klasma.github.io/Logging_2281/tillsyn/A 43196-2021 tillsyn.docx", "A 43196-2021")</f>
        <v/>
      </c>
      <c r="Y378">
        <f>HYPERLINK("https://klasma.github.io/Logging_2281/tillsynsmail/A 43196-2021 tillsynsmail.docx", "A 43196-2021")</f>
        <v/>
      </c>
    </row>
    <row r="379" ht="15" customHeight="1">
      <c r="A379" t="inlineStr">
        <is>
          <t>A 54153-2021</t>
        </is>
      </c>
      <c r="B379" s="1" t="n">
        <v>44469</v>
      </c>
      <c r="C379" s="1" t="n">
        <v>45212</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 artfynd.xlsx", "A 54153-2021")</f>
        <v/>
      </c>
      <c r="T379">
        <f>HYPERLINK("https://klasma.github.io/Logging_2283/karta/A 54153-2021 karta.png", "A 54153-2021")</f>
        <v/>
      </c>
      <c r="V379">
        <f>HYPERLINK("https://klasma.github.io/Logging_2283/klagomål/A 54153-2021 klagomål.docx", "A 54153-2021")</f>
        <v/>
      </c>
      <c r="W379">
        <f>HYPERLINK("https://klasma.github.io/Logging_2283/klagomålsmail/A 54153-2021 klagomålsmail.docx", "A 54153-2021")</f>
        <v/>
      </c>
      <c r="X379">
        <f>HYPERLINK("https://klasma.github.io/Logging_2283/tillsyn/A 54153-2021 tillsyn.docx", "A 54153-2021")</f>
        <v/>
      </c>
      <c r="Y379">
        <f>HYPERLINK("https://klasma.github.io/Logging_2283/tillsynsmail/A 54153-2021 tillsynsmail.docx", "A 54153-2021")</f>
        <v/>
      </c>
    </row>
    <row r="380" ht="15" customHeight="1">
      <c r="A380" t="inlineStr">
        <is>
          <t>A 55591-2021</t>
        </is>
      </c>
      <c r="B380" s="1" t="n">
        <v>44475</v>
      </c>
      <c r="C380" s="1" t="n">
        <v>45212</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 artfynd.xlsx", "A 55591-2021")</f>
        <v/>
      </c>
      <c r="T380">
        <f>HYPERLINK("https://klasma.github.io/Logging_2260/karta/A 55591-2021 karta.png", "A 55591-2021")</f>
        <v/>
      </c>
      <c r="V380">
        <f>HYPERLINK("https://klasma.github.io/Logging_2260/klagomål/A 55591-2021 klagomål.docx", "A 55591-2021")</f>
        <v/>
      </c>
      <c r="W380">
        <f>HYPERLINK("https://klasma.github.io/Logging_2260/klagomålsmail/A 55591-2021 klagomålsmail.docx", "A 55591-2021")</f>
        <v/>
      </c>
      <c r="X380">
        <f>HYPERLINK("https://klasma.github.io/Logging_2260/tillsyn/A 55591-2021 tillsyn.docx", "A 55591-2021")</f>
        <v/>
      </c>
      <c r="Y380">
        <f>HYPERLINK("https://klasma.github.io/Logging_2260/tillsynsmail/A 55591-2021 tillsynsmail.docx", "A 55591-2021")</f>
        <v/>
      </c>
    </row>
    <row r="381" ht="15" customHeight="1">
      <c r="A381" t="inlineStr">
        <is>
          <t>A 61472-2021</t>
        </is>
      </c>
      <c r="B381" s="1" t="n">
        <v>44500</v>
      </c>
      <c r="C381" s="1" t="n">
        <v>45212</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 artfynd.xlsx", "A 61472-2021")</f>
        <v/>
      </c>
      <c r="T381">
        <f>HYPERLINK("https://klasma.github.io/Logging_2260/karta/A 61472-2021 karta.png", "A 61472-2021")</f>
        <v/>
      </c>
      <c r="V381">
        <f>HYPERLINK("https://klasma.github.io/Logging_2260/klagomål/A 61472-2021 klagomål.docx", "A 61472-2021")</f>
        <v/>
      </c>
      <c r="W381">
        <f>HYPERLINK("https://klasma.github.io/Logging_2260/klagomålsmail/A 61472-2021 klagomålsmail.docx", "A 61472-2021")</f>
        <v/>
      </c>
      <c r="X381">
        <f>HYPERLINK("https://klasma.github.io/Logging_2260/tillsyn/A 61472-2021 tillsyn.docx", "A 61472-2021")</f>
        <v/>
      </c>
      <c r="Y381">
        <f>HYPERLINK("https://klasma.github.io/Logging_2260/tillsynsmail/A 61472-2021 tillsynsmail.docx", "A 61472-2021")</f>
        <v/>
      </c>
    </row>
    <row r="382" ht="15" customHeight="1">
      <c r="A382" t="inlineStr">
        <is>
          <t>A 62861-2021</t>
        </is>
      </c>
      <c r="B382" s="1" t="n">
        <v>44503</v>
      </c>
      <c r="C382" s="1" t="n">
        <v>45212</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 artfynd.xlsx", "A 62861-2021")</f>
        <v/>
      </c>
      <c r="T382">
        <f>HYPERLINK("https://klasma.github.io/Logging_2260/karta/A 62861-2021 karta.png", "A 62861-2021")</f>
        <v/>
      </c>
      <c r="U382">
        <f>HYPERLINK("https://klasma.github.io/Logging_2260/knärot/A 62861-2021 knärot.png", "A 62861-2021")</f>
        <v/>
      </c>
      <c r="V382">
        <f>HYPERLINK("https://klasma.github.io/Logging_2260/klagomål/A 62861-2021 klagomål.docx", "A 62861-2021")</f>
        <v/>
      </c>
      <c r="W382">
        <f>HYPERLINK("https://klasma.github.io/Logging_2260/klagomålsmail/A 62861-2021 klagomålsmail.docx", "A 62861-2021")</f>
        <v/>
      </c>
      <c r="X382">
        <f>HYPERLINK("https://klasma.github.io/Logging_2260/tillsyn/A 62861-2021 tillsyn.docx", "A 62861-2021")</f>
        <v/>
      </c>
      <c r="Y382">
        <f>HYPERLINK("https://klasma.github.io/Logging_2260/tillsynsmail/A 62861-2021 tillsynsmail.docx", "A 62861-2021")</f>
        <v/>
      </c>
    </row>
    <row r="383" ht="15" customHeight="1">
      <c r="A383" t="inlineStr">
        <is>
          <t>A 64919-2021</t>
        </is>
      </c>
      <c r="B383" s="1" t="n">
        <v>44512</v>
      </c>
      <c r="C383" s="1" t="n">
        <v>45212</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 artfynd.xlsx", "A 64919-2021")</f>
        <v/>
      </c>
      <c r="T383">
        <f>HYPERLINK("https://klasma.github.io/Logging_2281/karta/A 64919-2021 karta.png", "A 64919-2021")</f>
        <v/>
      </c>
      <c r="V383">
        <f>HYPERLINK("https://klasma.github.io/Logging_2281/klagomål/A 64919-2021 klagomål.docx", "A 64919-2021")</f>
        <v/>
      </c>
      <c r="W383">
        <f>HYPERLINK("https://klasma.github.io/Logging_2281/klagomålsmail/A 64919-2021 klagomålsmail.docx", "A 64919-2021")</f>
        <v/>
      </c>
      <c r="X383">
        <f>HYPERLINK("https://klasma.github.io/Logging_2281/tillsyn/A 64919-2021 tillsyn.docx", "A 64919-2021")</f>
        <v/>
      </c>
      <c r="Y383">
        <f>HYPERLINK("https://klasma.github.io/Logging_2281/tillsynsmail/A 64919-2021 tillsynsmail.docx", "A 64919-2021")</f>
        <v/>
      </c>
    </row>
    <row r="384" ht="15" customHeight="1">
      <c r="A384" t="inlineStr">
        <is>
          <t>A 1082-2022</t>
        </is>
      </c>
      <c r="B384" s="1" t="n">
        <v>44571</v>
      </c>
      <c r="C384" s="1" t="n">
        <v>45212</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 artfynd.xlsx", "A 1082-2022")</f>
        <v/>
      </c>
      <c r="T384">
        <f>HYPERLINK("https://klasma.github.io/Logging_2260/karta/A 1082-2022 karta.png", "A 1082-2022")</f>
        <v/>
      </c>
      <c r="V384">
        <f>HYPERLINK("https://klasma.github.io/Logging_2260/klagomål/A 1082-2022 klagomål.docx", "A 1082-2022")</f>
        <v/>
      </c>
      <c r="W384">
        <f>HYPERLINK("https://klasma.github.io/Logging_2260/klagomålsmail/A 1082-2022 klagomålsmail.docx", "A 1082-2022")</f>
        <v/>
      </c>
      <c r="X384">
        <f>HYPERLINK("https://klasma.github.io/Logging_2260/tillsyn/A 1082-2022 tillsyn.docx", "A 1082-2022")</f>
        <v/>
      </c>
      <c r="Y384">
        <f>HYPERLINK("https://klasma.github.io/Logging_2260/tillsynsmail/A 1082-2022 tillsynsmail.docx", "A 1082-2022")</f>
        <v/>
      </c>
    </row>
    <row r="385" ht="15" customHeight="1">
      <c r="A385" t="inlineStr">
        <is>
          <t>A 5115-2022</t>
        </is>
      </c>
      <c r="B385" s="1" t="n">
        <v>44593</v>
      </c>
      <c r="C385" s="1" t="n">
        <v>45212</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 artfynd.xlsx", "A 5115-2022")</f>
        <v/>
      </c>
      <c r="T385">
        <f>HYPERLINK("https://klasma.github.io/Logging_2281/karta/A 5115-2022 karta.png", "A 5115-2022")</f>
        <v/>
      </c>
      <c r="V385">
        <f>HYPERLINK("https://klasma.github.io/Logging_2281/klagomål/A 5115-2022 klagomål.docx", "A 5115-2022")</f>
        <v/>
      </c>
      <c r="W385">
        <f>HYPERLINK("https://klasma.github.io/Logging_2281/klagomålsmail/A 5115-2022 klagomålsmail.docx", "A 5115-2022")</f>
        <v/>
      </c>
      <c r="X385">
        <f>HYPERLINK("https://klasma.github.io/Logging_2281/tillsyn/A 5115-2022 tillsyn.docx", "A 5115-2022")</f>
        <v/>
      </c>
      <c r="Y385">
        <f>HYPERLINK("https://klasma.github.io/Logging_2281/tillsynsmail/A 5115-2022 tillsynsmail.docx", "A 5115-2022")</f>
        <v/>
      </c>
    </row>
    <row r="386" ht="15" customHeight="1">
      <c r="A386" t="inlineStr">
        <is>
          <t>A 8234-2022</t>
        </is>
      </c>
      <c r="B386" s="1" t="n">
        <v>44609</v>
      </c>
      <c r="C386" s="1" t="n">
        <v>45212</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 artfynd.xlsx", "A 8234-2022")</f>
        <v/>
      </c>
      <c r="T386">
        <f>HYPERLINK("https://klasma.github.io/Logging_2260/karta/A 8234-2022 karta.png", "A 8234-2022")</f>
        <v/>
      </c>
      <c r="V386">
        <f>HYPERLINK("https://klasma.github.io/Logging_2260/klagomål/A 8234-2022 klagomål.docx", "A 8234-2022")</f>
        <v/>
      </c>
      <c r="W386">
        <f>HYPERLINK("https://klasma.github.io/Logging_2260/klagomålsmail/A 8234-2022 klagomålsmail.docx", "A 8234-2022")</f>
        <v/>
      </c>
      <c r="X386">
        <f>HYPERLINK("https://klasma.github.io/Logging_2260/tillsyn/A 8234-2022 tillsyn.docx", "A 8234-2022")</f>
        <v/>
      </c>
      <c r="Y386">
        <f>HYPERLINK("https://klasma.github.io/Logging_2260/tillsynsmail/A 8234-2022 tillsynsmail.docx", "A 8234-2022")</f>
        <v/>
      </c>
    </row>
    <row r="387" ht="15" customHeight="1">
      <c r="A387" t="inlineStr">
        <is>
          <t>A 13059-2022</t>
        </is>
      </c>
      <c r="B387" s="1" t="n">
        <v>44643</v>
      </c>
      <c r="C387" s="1" t="n">
        <v>45212</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 artfynd.xlsx", "A 13059-2022")</f>
        <v/>
      </c>
      <c r="T387">
        <f>HYPERLINK("https://klasma.github.io/Logging_2283/karta/A 13059-2022 karta.png", "A 13059-2022")</f>
        <v/>
      </c>
      <c r="V387">
        <f>HYPERLINK("https://klasma.github.io/Logging_2283/klagomål/A 13059-2022 klagomål.docx", "A 13059-2022")</f>
        <v/>
      </c>
      <c r="W387">
        <f>HYPERLINK("https://klasma.github.io/Logging_2283/klagomålsmail/A 13059-2022 klagomålsmail.docx", "A 13059-2022")</f>
        <v/>
      </c>
      <c r="X387">
        <f>HYPERLINK("https://klasma.github.io/Logging_2283/tillsyn/A 13059-2022 tillsyn.docx", "A 13059-2022")</f>
        <v/>
      </c>
      <c r="Y387">
        <f>HYPERLINK("https://klasma.github.io/Logging_2283/tillsynsmail/A 13059-2022 tillsynsmail.docx", "A 13059-2022")</f>
        <v/>
      </c>
    </row>
    <row r="388" ht="15" customHeight="1">
      <c r="A388" t="inlineStr">
        <is>
          <t>A 16235-2022</t>
        </is>
      </c>
      <c r="B388" s="1" t="n">
        <v>44670</v>
      </c>
      <c r="C388" s="1" t="n">
        <v>45212</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 artfynd.xlsx", "A 16235-2022")</f>
        <v/>
      </c>
      <c r="T388">
        <f>HYPERLINK("https://klasma.github.io/Logging_2284/karta/A 16235-2022 karta.png", "A 16235-2022")</f>
        <v/>
      </c>
      <c r="V388">
        <f>HYPERLINK("https://klasma.github.io/Logging_2284/klagomål/A 16235-2022 klagomål.docx", "A 16235-2022")</f>
        <v/>
      </c>
      <c r="W388">
        <f>HYPERLINK("https://klasma.github.io/Logging_2284/klagomålsmail/A 16235-2022 klagomålsmail.docx", "A 16235-2022")</f>
        <v/>
      </c>
      <c r="X388">
        <f>HYPERLINK("https://klasma.github.io/Logging_2284/tillsyn/A 16235-2022 tillsyn.docx", "A 16235-2022")</f>
        <v/>
      </c>
      <c r="Y388">
        <f>HYPERLINK("https://klasma.github.io/Logging_2284/tillsynsmail/A 16235-2022 tillsynsmail.docx", "A 16235-2022")</f>
        <v/>
      </c>
    </row>
    <row r="389" ht="15" customHeight="1">
      <c r="A389" t="inlineStr">
        <is>
          <t>A 20310-2022</t>
        </is>
      </c>
      <c r="B389" s="1" t="n">
        <v>44698</v>
      </c>
      <c r="C389" s="1" t="n">
        <v>45212</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 artfynd.xlsx", "A 20310-2022")</f>
        <v/>
      </c>
      <c r="T389">
        <f>HYPERLINK("https://klasma.github.io/Logging_2283/karta/A 20310-2022 karta.png", "A 20310-2022")</f>
        <v/>
      </c>
      <c r="V389">
        <f>HYPERLINK("https://klasma.github.io/Logging_2283/klagomål/A 20310-2022 klagomål.docx", "A 20310-2022")</f>
        <v/>
      </c>
      <c r="W389">
        <f>HYPERLINK("https://klasma.github.io/Logging_2283/klagomålsmail/A 20310-2022 klagomålsmail.docx", "A 20310-2022")</f>
        <v/>
      </c>
      <c r="X389">
        <f>HYPERLINK("https://klasma.github.io/Logging_2283/tillsyn/A 20310-2022 tillsyn.docx", "A 20310-2022")</f>
        <v/>
      </c>
      <c r="Y389">
        <f>HYPERLINK("https://klasma.github.io/Logging_2283/tillsynsmail/A 20310-2022 tillsynsmail.docx", "A 20310-2022")</f>
        <v/>
      </c>
    </row>
    <row r="390" ht="15" customHeight="1">
      <c r="A390" t="inlineStr">
        <is>
          <t>A 20956-2022</t>
        </is>
      </c>
      <c r="B390" s="1" t="n">
        <v>44701</v>
      </c>
      <c r="C390" s="1" t="n">
        <v>45212</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 artfynd.xlsx", "A 20956-2022")</f>
        <v/>
      </c>
      <c r="T390">
        <f>HYPERLINK("https://klasma.github.io/Logging_2283/karta/A 20956-2022 karta.png", "A 20956-2022")</f>
        <v/>
      </c>
      <c r="V390">
        <f>HYPERLINK("https://klasma.github.io/Logging_2283/klagomål/A 20956-2022 klagomål.docx", "A 20956-2022")</f>
        <v/>
      </c>
      <c r="W390">
        <f>HYPERLINK("https://klasma.github.io/Logging_2283/klagomålsmail/A 20956-2022 klagomålsmail.docx", "A 20956-2022")</f>
        <v/>
      </c>
      <c r="X390">
        <f>HYPERLINK("https://klasma.github.io/Logging_2283/tillsyn/A 20956-2022 tillsyn.docx", "A 20956-2022")</f>
        <v/>
      </c>
      <c r="Y390">
        <f>HYPERLINK("https://klasma.github.io/Logging_2283/tillsynsmail/A 20956-2022 tillsynsmail.docx", "A 20956-2022")</f>
        <v/>
      </c>
    </row>
    <row r="391" ht="15" customHeight="1">
      <c r="A391" t="inlineStr">
        <is>
          <t>A 22567-2022</t>
        </is>
      </c>
      <c r="B391" s="1" t="n">
        <v>44713</v>
      </c>
      <c r="C391" s="1" t="n">
        <v>45212</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 artfynd.xlsx", "A 22567-2022")</f>
        <v/>
      </c>
      <c r="T391">
        <f>HYPERLINK("https://klasma.github.io/Logging_2281/karta/A 22567-2022 karta.png", "A 22567-2022")</f>
        <v/>
      </c>
      <c r="V391">
        <f>HYPERLINK("https://klasma.github.io/Logging_2281/klagomål/A 22567-2022 klagomål.docx", "A 22567-2022")</f>
        <v/>
      </c>
      <c r="W391">
        <f>HYPERLINK("https://klasma.github.io/Logging_2281/klagomålsmail/A 22567-2022 klagomålsmail.docx", "A 22567-2022")</f>
        <v/>
      </c>
      <c r="X391">
        <f>HYPERLINK("https://klasma.github.io/Logging_2281/tillsyn/A 22567-2022 tillsyn.docx", "A 22567-2022")</f>
        <v/>
      </c>
      <c r="Y391">
        <f>HYPERLINK("https://klasma.github.io/Logging_2281/tillsynsmail/A 22567-2022 tillsynsmail.docx", "A 22567-2022")</f>
        <v/>
      </c>
    </row>
    <row r="392" ht="15" customHeight="1">
      <c r="A392" t="inlineStr">
        <is>
          <t>A 24321-2022</t>
        </is>
      </c>
      <c r="B392" s="1" t="n">
        <v>44725</v>
      </c>
      <c r="C392" s="1" t="n">
        <v>45212</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 artfynd.xlsx", "A 24321-2022")</f>
        <v/>
      </c>
      <c r="T392">
        <f>HYPERLINK("https://klasma.github.io/Logging_2283/karta/A 24321-2022 karta.png", "A 24321-2022")</f>
        <v/>
      </c>
      <c r="U392">
        <f>HYPERLINK("https://klasma.github.io/Logging_2283/knärot/A 24321-2022 knärot.png", "A 24321-2022")</f>
        <v/>
      </c>
      <c r="V392">
        <f>HYPERLINK("https://klasma.github.io/Logging_2283/klagomål/A 24321-2022 klagomål.docx", "A 24321-2022")</f>
        <v/>
      </c>
      <c r="W392">
        <f>HYPERLINK("https://klasma.github.io/Logging_2283/klagomålsmail/A 24321-2022 klagomålsmail.docx", "A 24321-2022")</f>
        <v/>
      </c>
      <c r="X392">
        <f>HYPERLINK("https://klasma.github.io/Logging_2283/tillsyn/A 24321-2022 tillsyn.docx", "A 24321-2022")</f>
        <v/>
      </c>
      <c r="Y392">
        <f>HYPERLINK("https://klasma.github.io/Logging_2283/tillsynsmail/A 24321-2022 tillsynsmail.docx", "A 24321-2022")</f>
        <v/>
      </c>
    </row>
    <row r="393" ht="15" customHeight="1">
      <c r="A393" t="inlineStr">
        <is>
          <t>A 29549-2022</t>
        </is>
      </c>
      <c r="B393" s="1" t="n">
        <v>44753</v>
      </c>
      <c r="C393" s="1" t="n">
        <v>45212</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 artfynd.xlsx", "A 29549-2022")</f>
        <v/>
      </c>
      <c r="T393">
        <f>HYPERLINK("https://klasma.github.io/Logging_2283/karta/A 29549-2022 karta.png", "A 29549-2022")</f>
        <v/>
      </c>
      <c r="V393">
        <f>HYPERLINK("https://klasma.github.io/Logging_2283/klagomål/A 29549-2022 klagomål.docx", "A 29549-2022")</f>
        <v/>
      </c>
      <c r="W393">
        <f>HYPERLINK("https://klasma.github.io/Logging_2283/klagomålsmail/A 29549-2022 klagomålsmail.docx", "A 29549-2022")</f>
        <v/>
      </c>
      <c r="X393">
        <f>HYPERLINK("https://klasma.github.io/Logging_2283/tillsyn/A 29549-2022 tillsyn.docx", "A 29549-2022")</f>
        <v/>
      </c>
      <c r="Y393">
        <f>HYPERLINK("https://klasma.github.io/Logging_2283/tillsynsmail/A 29549-2022 tillsynsmail.docx", "A 29549-2022")</f>
        <v/>
      </c>
    </row>
    <row r="394" ht="15" customHeight="1">
      <c r="A394" t="inlineStr">
        <is>
          <t>A 30235-2022</t>
        </is>
      </c>
      <c r="B394" s="1" t="n">
        <v>44757</v>
      </c>
      <c r="C394" s="1" t="n">
        <v>45212</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 artfynd.xlsx", "A 30235-2022")</f>
        <v/>
      </c>
      <c r="T394">
        <f>HYPERLINK("https://klasma.github.io/Logging_2283/karta/A 30235-2022 karta.png", "A 30235-2022")</f>
        <v/>
      </c>
      <c r="U394">
        <f>HYPERLINK("https://klasma.github.io/Logging_2283/knärot/A 30235-2022 knärot.png", "A 30235-2022")</f>
        <v/>
      </c>
      <c r="V394">
        <f>HYPERLINK("https://klasma.github.io/Logging_2283/klagomål/A 30235-2022 klagomål.docx", "A 30235-2022")</f>
        <v/>
      </c>
      <c r="W394">
        <f>HYPERLINK("https://klasma.github.io/Logging_2283/klagomålsmail/A 30235-2022 klagomålsmail.docx", "A 30235-2022")</f>
        <v/>
      </c>
      <c r="X394">
        <f>HYPERLINK("https://klasma.github.io/Logging_2283/tillsyn/A 30235-2022 tillsyn.docx", "A 30235-2022")</f>
        <v/>
      </c>
      <c r="Y394">
        <f>HYPERLINK("https://klasma.github.io/Logging_2283/tillsynsmail/A 30235-2022 tillsynsmail.docx", "A 30235-2022")</f>
        <v/>
      </c>
    </row>
    <row r="395" ht="15" customHeight="1">
      <c r="A395" t="inlineStr">
        <is>
          <t>A 32766-2022</t>
        </is>
      </c>
      <c r="B395" s="1" t="n">
        <v>44783</v>
      </c>
      <c r="C395" s="1" t="n">
        <v>45212</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 artfynd.xlsx", "A 32766-2022")</f>
        <v/>
      </c>
      <c r="T395">
        <f>HYPERLINK("https://klasma.github.io/Logging_2281/karta/A 32766-2022 karta.png", "A 32766-2022")</f>
        <v/>
      </c>
      <c r="V395">
        <f>HYPERLINK("https://klasma.github.io/Logging_2281/klagomål/A 32766-2022 klagomål.docx", "A 32766-2022")</f>
        <v/>
      </c>
      <c r="W395">
        <f>HYPERLINK("https://klasma.github.io/Logging_2281/klagomålsmail/A 32766-2022 klagomålsmail.docx", "A 32766-2022")</f>
        <v/>
      </c>
      <c r="X395">
        <f>HYPERLINK("https://klasma.github.io/Logging_2281/tillsyn/A 32766-2022 tillsyn.docx", "A 32766-2022")</f>
        <v/>
      </c>
      <c r="Y395">
        <f>HYPERLINK("https://klasma.github.io/Logging_2281/tillsynsmail/A 32766-2022 tillsynsmail.docx", "A 32766-2022")</f>
        <v/>
      </c>
    </row>
    <row r="396" ht="15" customHeight="1">
      <c r="A396" t="inlineStr">
        <is>
          <t>A 33087-2022</t>
        </is>
      </c>
      <c r="B396" s="1" t="n">
        <v>44785</v>
      </c>
      <c r="C396" s="1" t="n">
        <v>45212</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 artfynd.xlsx", "A 33087-2022")</f>
        <v/>
      </c>
      <c r="T396">
        <f>HYPERLINK("https://klasma.github.io/Logging_2283/karta/A 33087-2022 karta.png", "A 33087-2022")</f>
        <v/>
      </c>
      <c r="V396">
        <f>HYPERLINK("https://klasma.github.io/Logging_2283/klagomål/A 33087-2022 klagomål.docx", "A 33087-2022")</f>
        <v/>
      </c>
      <c r="W396">
        <f>HYPERLINK("https://klasma.github.io/Logging_2283/klagomålsmail/A 33087-2022 klagomålsmail.docx", "A 33087-2022")</f>
        <v/>
      </c>
      <c r="X396">
        <f>HYPERLINK("https://klasma.github.io/Logging_2283/tillsyn/A 33087-2022 tillsyn.docx", "A 33087-2022")</f>
        <v/>
      </c>
      <c r="Y396">
        <f>HYPERLINK("https://klasma.github.io/Logging_2283/tillsynsmail/A 33087-2022 tillsynsmail.docx", "A 33087-2022")</f>
        <v/>
      </c>
    </row>
    <row r="397" ht="15" customHeight="1">
      <c r="A397" t="inlineStr">
        <is>
          <t>A 34526-2022</t>
        </is>
      </c>
      <c r="B397" s="1" t="n">
        <v>44792</v>
      </c>
      <c r="C397" s="1" t="n">
        <v>45212</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 artfynd.xlsx", "A 34526-2022")</f>
        <v/>
      </c>
      <c r="T397">
        <f>HYPERLINK("https://klasma.github.io/Logging_2283/karta/A 34526-2022 karta.png", "A 34526-2022")</f>
        <v/>
      </c>
      <c r="V397">
        <f>HYPERLINK("https://klasma.github.io/Logging_2283/klagomål/A 34526-2022 klagomål.docx", "A 34526-2022")</f>
        <v/>
      </c>
      <c r="W397">
        <f>HYPERLINK("https://klasma.github.io/Logging_2283/klagomålsmail/A 34526-2022 klagomålsmail.docx", "A 34526-2022")</f>
        <v/>
      </c>
      <c r="X397">
        <f>HYPERLINK("https://klasma.github.io/Logging_2283/tillsyn/A 34526-2022 tillsyn.docx", "A 34526-2022")</f>
        <v/>
      </c>
      <c r="Y397">
        <f>HYPERLINK("https://klasma.github.io/Logging_2283/tillsynsmail/A 34526-2022 tillsynsmail.docx", "A 34526-2022")</f>
        <v/>
      </c>
    </row>
    <row r="398" ht="15" customHeight="1">
      <c r="A398" t="inlineStr">
        <is>
          <t>A 37243-2022</t>
        </is>
      </c>
      <c r="B398" s="1" t="n">
        <v>44806</v>
      </c>
      <c r="C398" s="1" t="n">
        <v>45212</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 artfynd.xlsx", "A 37243-2022")</f>
        <v/>
      </c>
      <c r="T398">
        <f>HYPERLINK("https://klasma.github.io/Logging_2283/karta/A 37243-2022 karta.png", "A 37243-2022")</f>
        <v/>
      </c>
      <c r="V398">
        <f>HYPERLINK("https://klasma.github.io/Logging_2283/klagomål/A 37243-2022 klagomål.docx", "A 37243-2022")</f>
        <v/>
      </c>
      <c r="W398">
        <f>HYPERLINK("https://klasma.github.io/Logging_2283/klagomålsmail/A 37243-2022 klagomålsmail.docx", "A 37243-2022")</f>
        <v/>
      </c>
      <c r="X398">
        <f>HYPERLINK("https://klasma.github.io/Logging_2283/tillsyn/A 37243-2022 tillsyn.docx", "A 37243-2022")</f>
        <v/>
      </c>
      <c r="Y398">
        <f>HYPERLINK("https://klasma.github.io/Logging_2283/tillsynsmail/A 37243-2022 tillsynsmail.docx", "A 37243-2022")</f>
        <v/>
      </c>
    </row>
    <row r="399" ht="15" customHeight="1">
      <c r="A399" t="inlineStr">
        <is>
          <t>A 38429-2022</t>
        </is>
      </c>
      <c r="B399" s="1" t="n">
        <v>44812</v>
      </c>
      <c r="C399" s="1" t="n">
        <v>45212</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 artfynd.xlsx", "A 38429-2022")</f>
        <v/>
      </c>
      <c r="T399">
        <f>HYPERLINK("https://klasma.github.io/Logging_2260/karta/A 38429-2022 karta.png", "A 38429-2022")</f>
        <v/>
      </c>
      <c r="V399">
        <f>HYPERLINK("https://klasma.github.io/Logging_2260/klagomål/A 38429-2022 klagomål.docx", "A 38429-2022")</f>
        <v/>
      </c>
      <c r="W399">
        <f>HYPERLINK("https://klasma.github.io/Logging_2260/klagomålsmail/A 38429-2022 klagomålsmail.docx", "A 38429-2022")</f>
        <v/>
      </c>
      <c r="X399">
        <f>HYPERLINK("https://klasma.github.io/Logging_2260/tillsyn/A 38429-2022 tillsyn.docx", "A 38429-2022")</f>
        <v/>
      </c>
      <c r="Y399">
        <f>HYPERLINK("https://klasma.github.io/Logging_2260/tillsynsmail/A 38429-2022 tillsynsmail.docx", "A 38429-2022")</f>
        <v/>
      </c>
    </row>
    <row r="400" ht="15" customHeight="1">
      <c r="A400" t="inlineStr">
        <is>
          <t>A 41814-2022</t>
        </is>
      </c>
      <c r="B400" s="1" t="n">
        <v>44827</v>
      </c>
      <c r="C400" s="1" t="n">
        <v>45212</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 artfynd.xlsx", "A 41814-2022")</f>
        <v/>
      </c>
      <c r="T400">
        <f>HYPERLINK("https://klasma.github.io/Logging_2281/karta/A 41814-2022 karta.png", "A 41814-2022")</f>
        <v/>
      </c>
      <c r="V400">
        <f>HYPERLINK("https://klasma.github.io/Logging_2281/klagomål/A 41814-2022 klagomål.docx", "A 41814-2022")</f>
        <v/>
      </c>
      <c r="W400">
        <f>HYPERLINK("https://klasma.github.io/Logging_2281/klagomålsmail/A 41814-2022 klagomålsmail.docx", "A 41814-2022")</f>
        <v/>
      </c>
      <c r="X400">
        <f>HYPERLINK("https://klasma.github.io/Logging_2281/tillsyn/A 41814-2022 tillsyn.docx", "A 41814-2022")</f>
        <v/>
      </c>
      <c r="Y400">
        <f>HYPERLINK("https://klasma.github.io/Logging_2281/tillsynsmail/A 41814-2022 tillsynsmail.docx", "A 41814-2022")</f>
        <v/>
      </c>
    </row>
    <row r="401" ht="15" customHeight="1">
      <c r="A401" t="inlineStr">
        <is>
          <t>A 41509-2022</t>
        </is>
      </c>
      <c r="B401" s="1" t="n">
        <v>44827</v>
      </c>
      <c r="C401" s="1" t="n">
        <v>45212</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 artfynd.xlsx", "A 41509-2022")</f>
        <v/>
      </c>
      <c r="T401">
        <f>HYPERLINK("https://klasma.github.io/Logging_2283/karta/A 41509-2022 karta.png", "A 41509-2022")</f>
        <v/>
      </c>
      <c r="V401">
        <f>HYPERLINK("https://klasma.github.io/Logging_2283/klagomål/A 41509-2022 klagomål.docx", "A 41509-2022")</f>
        <v/>
      </c>
      <c r="W401">
        <f>HYPERLINK("https://klasma.github.io/Logging_2283/klagomålsmail/A 41509-2022 klagomålsmail.docx", "A 41509-2022")</f>
        <v/>
      </c>
      <c r="X401">
        <f>HYPERLINK("https://klasma.github.io/Logging_2283/tillsyn/A 41509-2022 tillsyn.docx", "A 41509-2022")</f>
        <v/>
      </c>
      <c r="Y401">
        <f>HYPERLINK("https://klasma.github.io/Logging_2283/tillsynsmail/A 41509-2022 tillsynsmail.docx", "A 41509-2022")</f>
        <v/>
      </c>
    </row>
    <row r="402" ht="15" customHeight="1">
      <c r="A402" t="inlineStr">
        <is>
          <t>A 42284-2022</t>
        </is>
      </c>
      <c r="B402" s="1" t="n">
        <v>44830</v>
      </c>
      <c r="C402" s="1" t="n">
        <v>45212</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 artfynd.xlsx", "A 42284-2022")</f>
        <v/>
      </c>
      <c r="T402">
        <f>HYPERLINK("https://klasma.github.io/Logging_2262/karta/A 42284-2022 karta.png", "A 42284-2022")</f>
        <v/>
      </c>
      <c r="V402">
        <f>HYPERLINK("https://klasma.github.io/Logging_2262/klagomål/A 42284-2022 klagomål.docx", "A 42284-2022")</f>
        <v/>
      </c>
      <c r="W402">
        <f>HYPERLINK("https://klasma.github.io/Logging_2262/klagomålsmail/A 42284-2022 klagomålsmail.docx", "A 42284-2022")</f>
        <v/>
      </c>
      <c r="X402">
        <f>HYPERLINK("https://klasma.github.io/Logging_2262/tillsyn/A 42284-2022 tillsyn.docx", "A 42284-2022")</f>
        <v/>
      </c>
      <c r="Y402">
        <f>HYPERLINK("https://klasma.github.io/Logging_2262/tillsynsmail/A 42284-2022 tillsynsmail.docx", "A 42284-2022")</f>
        <v/>
      </c>
    </row>
    <row r="403" ht="15" customHeight="1">
      <c r="A403" t="inlineStr">
        <is>
          <t>A 42285-2022</t>
        </is>
      </c>
      <c r="B403" s="1" t="n">
        <v>44830</v>
      </c>
      <c r="C403" s="1" t="n">
        <v>45212</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 artfynd.xlsx", "A 42285-2022")</f>
        <v/>
      </c>
      <c r="T403">
        <f>HYPERLINK("https://klasma.github.io/Logging_2262/karta/A 42285-2022 karta.png", "A 42285-2022")</f>
        <v/>
      </c>
      <c r="V403">
        <f>HYPERLINK("https://klasma.github.io/Logging_2262/klagomål/A 42285-2022 klagomål.docx", "A 42285-2022")</f>
        <v/>
      </c>
      <c r="W403">
        <f>HYPERLINK("https://klasma.github.io/Logging_2262/klagomålsmail/A 42285-2022 klagomålsmail.docx", "A 42285-2022")</f>
        <v/>
      </c>
      <c r="X403">
        <f>HYPERLINK("https://klasma.github.io/Logging_2262/tillsyn/A 42285-2022 tillsyn.docx", "A 42285-2022")</f>
        <v/>
      </c>
      <c r="Y403">
        <f>HYPERLINK("https://klasma.github.io/Logging_2262/tillsynsmail/A 42285-2022 tillsynsmail.docx", "A 42285-2022")</f>
        <v/>
      </c>
    </row>
    <row r="404" ht="15" customHeight="1">
      <c r="A404" t="inlineStr">
        <is>
          <t>A 42283-2022</t>
        </is>
      </c>
      <c r="B404" s="1" t="n">
        <v>44830</v>
      </c>
      <c r="C404" s="1" t="n">
        <v>45212</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 artfynd.xlsx", "A 42283-2022")</f>
        <v/>
      </c>
      <c r="T404">
        <f>HYPERLINK("https://klasma.github.io/Logging_2262/karta/A 42283-2022 karta.png", "A 42283-2022")</f>
        <v/>
      </c>
      <c r="V404">
        <f>HYPERLINK("https://klasma.github.io/Logging_2262/klagomål/A 42283-2022 klagomål.docx", "A 42283-2022")</f>
        <v/>
      </c>
      <c r="W404">
        <f>HYPERLINK("https://klasma.github.io/Logging_2262/klagomålsmail/A 42283-2022 klagomålsmail.docx", "A 42283-2022")</f>
        <v/>
      </c>
      <c r="X404">
        <f>HYPERLINK("https://klasma.github.io/Logging_2262/tillsyn/A 42283-2022 tillsyn.docx", "A 42283-2022")</f>
        <v/>
      </c>
      <c r="Y404">
        <f>HYPERLINK("https://klasma.github.io/Logging_2262/tillsynsmail/A 42283-2022 tillsynsmail.docx", "A 42283-2022")</f>
        <v/>
      </c>
    </row>
    <row r="405" ht="15" customHeight="1">
      <c r="A405" t="inlineStr">
        <is>
          <t>A 42889-2022</t>
        </is>
      </c>
      <c r="B405" s="1" t="n">
        <v>44832</v>
      </c>
      <c r="C405" s="1" t="n">
        <v>45212</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 artfynd.xlsx", "A 42889-2022")</f>
        <v/>
      </c>
      <c r="T405">
        <f>HYPERLINK("https://klasma.github.io/Logging_2262/karta/A 42889-2022 karta.png", "A 42889-2022")</f>
        <v/>
      </c>
      <c r="V405">
        <f>HYPERLINK("https://klasma.github.io/Logging_2262/klagomål/A 42889-2022 klagomål.docx", "A 42889-2022")</f>
        <v/>
      </c>
      <c r="W405">
        <f>HYPERLINK("https://klasma.github.io/Logging_2262/klagomålsmail/A 42889-2022 klagomålsmail.docx", "A 42889-2022")</f>
        <v/>
      </c>
      <c r="X405">
        <f>HYPERLINK("https://klasma.github.io/Logging_2262/tillsyn/A 42889-2022 tillsyn.docx", "A 42889-2022")</f>
        <v/>
      </c>
      <c r="Y405">
        <f>HYPERLINK("https://klasma.github.io/Logging_2262/tillsynsmail/A 42889-2022 tillsynsmail.docx", "A 42889-2022")</f>
        <v/>
      </c>
    </row>
    <row r="406" ht="15" customHeight="1">
      <c r="A406" t="inlineStr">
        <is>
          <t>A 45083-2022</t>
        </is>
      </c>
      <c r="B406" s="1" t="n">
        <v>44841</v>
      </c>
      <c r="C406" s="1" t="n">
        <v>45212</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 artfynd.xlsx", "A 45083-2022")</f>
        <v/>
      </c>
      <c r="T406">
        <f>HYPERLINK("https://klasma.github.io/Logging_2283/karta/A 45083-2022 karta.png", "A 45083-2022")</f>
        <v/>
      </c>
      <c r="V406">
        <f>HYPERLINK("https://klasma.github.io/Logging_2283/klagomål/A 45083-2022 klagomål.docx", "A 45083-2022")</f>
        <v/>
      </c>
      <c r="W406">
        <f>HYPERLINK("https://klasma.github.io/Logging_2283/klagomålsmail/A 45083-2022 klagomålsmail.docx", "A 45083-2022")</f>
        <v/>
      </c>
      <c r="X406">
        <f>HYPERLINK("https://klasma.github.io/Logging_2283/tillsyn/A 45083-2022 tillsyn.docx", "A 45083-2022")</f>
        <v/>
      </c>
      <c r="Y406">
        <f>HYPERLINK("https://klasma.github.io/Logging_2283/tillsynsmail/A 45083-2022 tillsynsmail.docx", "A 45083-2022")</f>
        <v/>
      </c>
    </row>
    <row r="407" ht="15" customHeight="1">
      <c r="A407" t="inlineStr">
        <is>
          <t>A 45084-2022</t>
        </is>
      </c>
      <c r="B407" s="1" t="n">
        <v>44841</v>
      </c>
      <c r="C407" s="1" t="n">
        <v>45212</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 artfynd.xlsx", "A 45084-2022")</f>
        <v/>
      </c>
      <c r="T407">
        <f>HYPERLINK("https://klasma.github.io/Logging_2283/karta/A 45084-2022 karta.png", "A 45084-2022")</f>
        <v/>
      </c>
      <c r="V407">
        <f>HYPERLINK("https://klasma.github.io/Logging_2283/klagomål/A 45084-2022 klagomål.docx", "A 45084-2022")</f>
        <v/>
      </c>
      <c r="W407">
        <f>HYPERLINK("https://klasma.github.io/Logging_2283/klagomålsmail/A 45084-2022 klagomålsmail.docx", "A 45084-2022")</f>
        <v/>
      </c>
      <c r="X407">
        <f>HYPERLINK("https://klasma.github.io/Logging_2283/tillsyn/A 45084-2022 tillsyn.docx", "A 45084-2022")</f>
        <v/>
      </c>
      <c r="Y407">
        <f>HYPERLINK("https://klasma.github.io/Logging_2283/tillsynsmail/A 45084-2022 tillsynsmail.docx", "A 45084-2022")</f>
        <v/>
      </c>
    </row>
    <row r="408" ht="15" customHeight="1">
      <c r="A408" t="inlineStr">
        <is>
          <t>A 47438-2022</t>
        </is>
      </c>
      <c r="B408" s="1" t="n">
        <v>44853</v>
      </c>
      <c r="C408" s="1" t="n">
        <v>45212</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 artfynd.xlsx", "A 47438-2022")</f>
        <v/>
      </c>
      <c r="T408">
        <f>HYPERLINK("https://klasma.github.io/Logging_2260/karta/A 47438-2022 karta.png", "A 47438-2022")</f>
        <v/>
      </c>
      <c r="V408">
        <f>HYPERLINK("https://klasma.github.io/Logging_2260/klagomål/A 47438-2022 klagomål.docx", "A 47438-2022")</f>
        <v/>
      </c>
      <c r="W408">
        <f>HYPERLINK("https://klasma.github.io/Logging_2260/klagomålsmail/A 47438-2022 klagomålsmail.docx", "A 47438-2022")</f>
        <v/>
      </c>
      <c r="X408">
        <f>HYPERLINK("https://klasma.github.io/Logging_2260/tillsyn/A 47438-2022 tillsyn.docx", "A 47438-2022")</f>
        <v/>
      </c>
      <c r="Y408">
        <f>HYPERLINK("https://klasma.github.io/Logging_2260/tillsynsmail/A 47438-2022 tillsynsmail.docx", "A 47438-2022")</f>
        <v/>
      </c>
    </row>
    <row r="409" ht="15" customHeight="1">
      <c r="A409" t="inlineStr">
        <is>
          <t>A 48152-2022</t>
        </is>
      </c>
      <c r="B409" s="1" t="n">
        <v>44853</v>
      </c>
      <c r="C409" s="1" t="n">
        <v>45212</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 artfynd.xlsx", "A 48152-2022")</f>
        <v/>
      </c>
      <c r="T409">
        <f>HYPERLINK("https://klasma.github.io/Logging_2260/karta/A 48152-2022 karta.png", "A 48152-2022")</f>
        <v/>
      </c>
      <c r="V409">
        <f>HYPERLINK("https://klasma.github.io/Logging_2260/klagomål/A 48152-2022 klagomål.docx", "A 48152-2022")</f>
        <v/>
      </c>
      <c r="W409">
        <f>HYPERLINK("https://klasma.github.io/Logging_2260/klagomålsmail/A 48152-2022 klagomålsmail.docx", "A 48152-2022")</f>
        <v/>
      </c>
      <c r="X409">
        <f>HYPERLINK("https://klasma.github.io/Logging_2260/tillsyn/A 48152-2022 tillsyn.docx", "A 48152-2022")</f>
        <v/>
      </c>
      <c r="Y409">
        <f>HYPERLINK("https://klasma.github.io/Logging_2260/tillsynsmail/A 48152-2022 tillsynsmail.docx", "A 48152-2022")</f>
        <v/>
      </c>
    </row>
    <row r="410" ht="15" customHeight="1">
      <c r="A410" t="inlineStr">
        <is>
          <t>A 48073-2022</t>
        </is>
      </c>
      <c r="B410" s="1" t="n">
        <v>44855</v>
      </c>
      <c r="C410" s="1" t="n">
        <v>45212</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 artfynd.xlsx", "A 48073-2022")</f>
        <v/>
      </c>
      <c r="T410">
        <f>HYPERLINK("https://klasma.github.io/Logging_2283/karta/A 48073-2022 karta.png", "A 48073-2022")</f>
        <v/>
      </c>
      <c r="V410">
        <f>HYPERLINK("https://klasma.github.io/Logging_2283/klagomål/A 48073-2022 klagomål.docx", "A 48073-2022")</f>
        <v/>
      </c>
      <c r="W410">
        <f>HYPERLINK("https://klasma.github.io/Logging_2283/klagomålsmail/A 48073-2022 klagomålsmail.docx", "A 48073-2022")</f>
        <v/>
      </c>
      <c r="X410">
        <f>HYPERLINK("https://klasma.github.io/Logging_2283/tillsyn/A 48073-2022 tillsyn.docx", "A 48073-2022")</f>
        <v/>
      </c>
      <c r="Y410">
        <f>HYPERLINK("https://klasma.github.io/Logging_2283/tillsynsmail/A 48073-2022 tillsynsmail.docx", "A 48073-2022")</f>
        <v/>
      </c>
    </row>
    <row r="411" ht="15" customHeight="1">
      <c r="A411" t="inlineStr">
        <is>
          <t>A 49202-2022</t>
        </is>
      </c>
      <c r="B411" s="1" t="n">
        <v>44860</v>
      </c>
      <c r="C411" s="1" t="n">
        <v>45212</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 artfynd.xlsx", "A 49202-2022")</f>
        <v/>
      </c>
      <c r="T411">
        <f>HYPERLINK("https://klasma.github.io/Logging_2262/karta/A 49202-2022 karta.png", "A 49202-2022")</f>
        <v/>
      </c>
      <c r="V411">
        <f>HYPERLINK("https://klasma.github.io/Logging_2262/klagomål/A 49202-2022 klagomål.docx", "A 49202-2022")</f>
        <v/>
      </c>
      <c r="W411">
        <f>HYPERLINK("https://klasma.github.io/Logging_2262/klagomålsmail/A 49202-2022 klagomålsmail.docx", "A 49202-2022")</f>
        <v/>
      </c>
      <c r="X411">
        <f>HYPERLINK("https://klasma.github.io/Logging_2262/tillsyn/A 49202-2022 tillsyn.docx", "A 49202-2022")</f>
        <v/>
      </c>
      <c r="Y411">
        <f>HYPERLINK("https://klasma.github.io/Logging_2262/tillsynsmail/A 49202-2022 tillsynsmail.docx", "A 49202-2022")</f>
        <v/>
      </c>
    </row>
    <row r="412" ht="15" customHeight="1">
      <c r="A412" t="inlineStr">
        <is>
          <t>A 49289-2022</t>
        </is>
      </c>
      <c r="B412" s="1" t="n">
        <v>44861</v>
      </c>
      <c r="C412" s="1" t="n">
        <v>45212</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 artfynd.xlsx", "A 49289-2022")</f>
        <v/>
      </c>
      <c r="T412">
        <f>HYPERLINK("https://klasma.github.io/Logging_2284/karta/A 49289-2022 karta.png", "A 49289-2022")</f>
        <v/>
      </c>
      <c r="V412">
        <f>HYPERLINK("https://klasma.github.io/Logging_2284/klagomål/A 49289-2022 klagomål.docx", "A 49289-2022")</f>
        <v/>
      </c>
      <c r="W412">
        <f>HYPERLINK("https://klasma.github.io/Logging_2284/klagomålsmail/A 49289-2022 klagomålsmail.docx", "A 49289-2022")</f>
        <v/>
      </c>
      <c r="X412">
        <f>HYPERLINK("https://klasma.github.io/Logging_2284/tillsyn/A 49289-2022 tillsyn.docx", "A 49289-2022")</f>
        <v/>
      </c>
      <c r="Y412">
        <f>HYPERLINK("https://klasma.github.io/Logging_2284/tillsynsmail/A 49289-2022 tillsynsmail.docx", "A 49289-2022")</f>
        <v/>
      </c>
    </row>
    <row r="413" ht="15" customHeight="1">
      <c r="A413" t="inlineStr">
        <is>
          <t>A 51087-2022</t>
        </is>
      </c>
      <c r="B413" s="1" t="n">
        <v>44865</v>
      </c>
      <c r="C413" s="1" t="n">
        <v>45212</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 artfynd.xlsx", "A 51087-2022")</f>
        <v/>
      </c>
      <c r="T413">
        <f>HYPERLINK("https://klasma.github.io/Logging_2281/karta/A 51087-2022 karta.png", "A 51087-2022")</f>
        <v/>
      </c>
      <c r="U413">
        <f>HYPERLINK("https://klasma.github.io/Logging_2281/knärot/A 51087-2022 knärot.png", "A 51087-2022")</f>
        <v/>
      </c>
      <c r="V413">
        <f>HYPERLINK("https://klasma.github.io/Logging_2281/klagomål/A 51087-2022 klagomål.docx", "A 51087-2022")</f>
        <v/>
      </c>
      <c r="W413">
        <f>HYPERLINK("https://klasma.github.io/Logging_2281/klagomålsmail/A 51087-2022 klagomålsmail.docx", "A 51087-2022")</f>
        <v/>
      </c>
      <c r="X413">
        <f>HYPERLINK("https://klasma.github.io/Logging_2281/tillsyn/A 51087-2022 tillsyn.docx", "A 51087-2022")</f>
        <v/>
      </c>
      <c r="Y413">
        <f>HYPERLINK("https://klasma.github.io/Logging_2281/tillsynsmail/A 51087-2022 tillsynsmail.docx", "A 51087-2022")</f>
        <v/>
      </c>
    </row>
    <row r="414" ht="15" customHeight="1">
      <c r="A414" t="inlineStr">
        <is>
          <t>A 50570-2022</t>
        </is>
      </c>
      <c r="B414" s="1" t="n">
        <v>44866</v>
      </c>
      <c r="C414" s="1" t="n">
        <v>45212</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 artfynd.xlsx", "A 50570-2022")</f>
        <v/>
      </c>
      <c r="T414">
        <f>HYPERLINK("https://klasma.github.io/Logging_2284/karta/A 50570-2022 karta.png", "A 50570-2022")</f>
        <v/>
      </c>
      <c r="V414">
        <f>HYPERLINK("https://klasma.github.io/Logging_2284/klagomål/A 50570-2022 klagomål.docx", "A 50570-2022")</f>
        <v/>
      </c>
      <c r="W414">
        <f>HYPERLINK("https://klasma.github.io/Logging_2284/klagomålsmail/A 50570-2022 klagomålsmail.docx", "A 50570-2022")</f>
        <v/>
      </c>
      <c r="X414">
        <f>HYPERLINK("https://klasma.github.io/Logging_2284/tillsyn/A 50570-2022 tillsyn.docx", "A 50570-2022")</f>
        <v/>
      </c>
      <c r="Y414">
        <f>HYPERLINK("https://klasma.github.io/Logging_2284/tillsynsmail/A 50570-2022 tillsynsmail.docx", "A 50570-2022")</f>
        <v/>
      </c>
    </row>
    <row r="415" ht="15" customHeight="1">
      <c r="A415" t="inlineStr">
        <is>
          <t>A 52350-2022</t>
        </is>
      </c>
      <c r="B415" s="1" t="n">
        <v>44873</v>
      </c>
      <c r="C415" s="1" t="n">
        <v>45212</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 artfynd.xlsx", "A 52350-2022")</f>
        <v/>
      </c>
      <c r="T415">
        <f>HYPERLINK("https://klasma.github.io/Logging_2281/karta/A 52350-2022 karta.png", "A 52350-2022")</f>
        <v/>
      </c>
      <c r="V415">
        <f>HYPERLINK("https://klasma.github.io/Logging_2281/klagomål/A 52350-2022 klagomål.docx", "A 52350-2022")</f>
        <v/>
      </c>
      <c r="W415">
        <f>HYPERLINK("https://klasma.github.io/Logging_2281/klagomålsmail/A 52350-2022 klagomålsmail.docx", "A 52350-2022")</f>
        <v/>
      </c>
      <c r="X415">
        <f>HYPERLINK("https://klasma.github.io/Logging_2281/tillsyn/A 52350-2022 tillsyn.docx", "A 52350-2022")</f>
        <v/>
      </c>
      <c r="Y415">
        <f>HYPERLINK("https://klasma.github.io/Logging_2281/tillsynsmail/A 52350-2022 tillsynsmail.docx", "A 52350-2022")</f>
        <v/>
      </c>
    </row>
    <row r="416" ht="15" customHeight="1">
      <c r="A416" t="inlineStr">
        <is>
          <t>A 53130-2022</t>
        </is>
      </c>
      <c r="B416" s="1" t="n">
        <v>44873</v>
      </c>
      <c r="C416" s="1" t="n">
        <v>45212</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 artfynd.xlsx", "A 53130-2022")</f>
        <v/>
      </c>
      <c r="T416">
        <f>HYPERLINK("https://klasma.github.io/Logging_2283/karta/A 53130-2022 karta.png", "A 53130-2022")</f>
        <v/>
      </c>
      <c r="V416">
        <f>HYPERLINK("https://klasma.github.io/Logging_2283/klagomål/A 53130-2022 klagomål.docx", "A 53130-2022")</f>
        <v/>
      </c>
      <c r="W416">
        <f>HYPERLINK("https://klasma.github.io/Logging_2283/klagomålsmail/A 53130-2022 klagomålsmail.docx", "A 53130-2022")</f>
        <v/>
      </c>
      <c r="X416">
        <f>HYPERLINK("https://klasma.github.io/Logging_2283/tillsyn/A 53130-2022 tillsyn.docx", "A 53130-2022")</f>
        <v/>
      </c>
      <c r="Y416">
        <f>HYPERLINK("https://klasma.github.io/Logging_2283/tillsynsmail/A 53130-2022 tillsynsmail.docx", "A 53130-2022")</f>
        <v/>
      </c>
    </row>
    <row r="417" ht="15" customHeight="1">
      <c r="A417" t="inlineStr">
        <is>
          <t>A 52727-2022</t>
        </is>
      </c>
      <c r="B417" s="1" t="n">
        <v>44874</v>
      </c>
      <c r="C417" s="1" t="n">
        <v>45212</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 artfynd.xlsx", "A 52727-2022")</f>
        <v/>
      </c>
      <c r="T417">
        <f>HYPERLINK("https://klasma.github.io/Logging_2280/karta/A 52727-2022 karta.png", "A 52727-2022")</f>
        <v/>
      </c>
      <c r="V417">
        <f>HYPERLINK("https://klasma.github.io/Logging_2280/klagomål/A 52727-2022 klagomål.docx", "A 52727-2022")</f>
        <v/>
      </c>
      <c r="W417">
        <f>HYPERLINK("https://klasma.github.io/Logging_2280/klagomålsmail/A 52727-2022 klagomålsmail.docx", "A 52727-2022")</f>
        <v/>
      </c>
      <c r="X417">
        <f>HYPERLINK("https://klasma.github.io/Logging_2280/tillsyn/A 52727-2022 tillsyn.docx", "A 52727-2022")</f>
        <v/>
      </c>
      <c r="Y417">
        <f>HYPERLINK("https://klasma.github.io/Logging_2280/tillsynsmail/A 52727-2022 tillsynsmail.docx", "A 52727-2022")</f>
        <v/>
      </c>
    </row>
    <row r="418" ht="15" customHeight="1">
      <c r="A418" t="inlineStr">
        <is>
          <t>A 52741-2022</t>
        </is>
      </c>
      <c r="B418" s="1" t="n">
        <v>44874</v>
      </c>
      <c r="C418" s="1" t="n">
        <v>45212</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 artfynd.xlsx", "A 52741-2022")</f>
        <v/>
      </c>
      <c r="T418">
        <f>HYPERLINK("https://klasma.github.io/Logging_2281/karta/A 52741-2022 karta.png", "A 52741-2022")</f>
        <v/>
      </c>
      <c r="V418">
        <f>HYPERLINK("https://klasma.github.io/Logging_2281/klagomål/A 52741-2022 klagomål.docx", "A 52741-2022")</f>
        <v/>
      </c>
      <c r="W418">
        <f>HYPERLINK("https://klasma.github.io/Logging_2281/klagomålsmail/A 52741-2022 klagomålsmail.docx", "A 52741-2022")</f>
        <v/>
      </c>
      <c r="X418">
        <f>HYPERLINK("https://klasma.github.io/Logging_2281/tillsyn/A 52741-2022 tillsyn.docx", "A 52741-2022")</f>
        <v/>
      </c>
      <c r="Y418">
        <f>HYPERLINK("https://klasma.github.io/Logging_2281/tillsynsmail/A 52741-2022 tillsynsmail.docx", "A 52741-2022")</f>
        <v/>
      </c>
    </row>
    <row r="419" ht="15" customHeight="1">
      <c r="A419" t="inlineStr">
        <is>
          <t>A 53668-2022</t>
        </is>
      </c>
      <c r="B419" s="1" t="n">
        <v>44879</v>
      </c>
      <c r="C419" s="1" t="n">
        <v>45212</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 artfynd.xlsx", "A 53668-2022")</f>
        <v/>
      </c>
      <c r="T419">
        <f>HYPERLINK("https://klasma.github.io/Logging_2283/karta/A 53668-2022 karta.png", "A 53668-2022")</f>
        <v/>
      </c>
      <c r="V419">
        <f>HYPERLINK("https://klasma.github.io/Logging_2283/klagomål/A 53668-2022 klagomål.docx", "A 53668-2022")</f>
        <v/>
      </c>
      <c r="W419">
        <f>HYPERLINK("https://klasma.github.io/Logging_2283/klagomålsmail/A 53668-2022 klagomålsmail.docx", "A 53668-2022")</f>
        <v/>
      </c>
      <c r="X419">
        <f>HYPERLINK("https://klasma.github.io/Logging_2283/tillsyn/A 53668-2022 tillsyn.docx", "A 53668-2022")</f>
        <v/>
      </c>
      <c r="Y419">
        <f>HYPERLINK("https://klasma.github.io/Logging_2283/tillsynsmail/A 53668-2022 tillsynsmail.docx", "A 53668-2022")</f>
        <v/>
      </c>
    </row>
    <row r="420" ht="15" customHeight="1">
      <c r="A420" t="inlineStr">
        <is>
          <t>A 53942-2022</t>
        </is>
      </c>
      <c r="B420" s="1" t="n">
        <v>44880</v>
      </c>
      <c r="C420" s="1" t="n">
        <v>45212</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 artfynd.xlsx", "A 53942-2022")</f>
        <v/>
      </c>
      <c r="T420">
        <f>HYPERLINK("https://klasma.github.io/Logging_2281/karta/A 53942-2022 karta.png", "A 53942-2022")</f>
        <v/>
      </c>
      <c r="V420">
        <f>HYPERLINK("https://klasma.github.io/Logging_2281/klagomål/A 53942-2022 klagomål.docx", "A 53942-2022")</f>
        <v/>
      </c>
      <c r="W420">
        <f>HYPERLINK("https://klasma.github.io/Logging_2281/klagomålsmail/A 53942-2022 klagomålsmail.docx", "A 53942-2022")</f>
        <v/>
      </c>
      <c r="X420">
        <f>HYPERLINK("https://klasma.github.io/Logging_2281/tillsyn/A 53942-2022 tillsyn.docx", "A 53942-2022")</f>
        <v/>
      </c>
      <c r="Y420">
        <f>HYPERLINK("https://klasma.github.io/Logging_2281/tillsynsmail/A 53942-2022 tillsynsmail.docx", "A 53942-2022")</f>
        <v/>
      </c>
    </row>
    <row r="421" ht="15" customHeight="1">
      <c r="A421" t="inlineStr">
        <is>
          <t>A 55727-2022</t>
        </is>
      </c>
      <c r="B421" s="1" t="n">
        <v>44883</v>
      </c>
      <c r="C421" s="1" t="n">
        <v>45212</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 artfynd.xlsx", "A 55727-2022")</f>
        <v/>
      </c>
      <c r="T421">
        <f>HYPERLINK("https://klasma.github.io/Logging_2283/karta/A 55727-2022 karta.png", "A 55727-2022")</f>
        <v/>
      </c>
      <c r="V421">
        <f>HYPERLINK("https://klasma.github.io/Logging_2283/klagomål/A 55727-2022 klagomål.docx", "A 55727-2022")</f>
        <v/>
      </c>
      <c r="W421">
        <f>HYPERLINK("https://klasma.github.io/Logging_2283/klagomålsmail/A 55727-2022 klagomålsmail.docx", "A 55727-2022")</f>
        <v/>
      </c>
      <c r="X421">
        <f>HYPERLINK("https://klasma.github.io/Logging_2283/tillsyn/A 55727-2022 tillsyn.docx", "A 55727-2022")</f>
        <v/>
      </c>
      <c r="Y421">
        <f>HYPERLINK("https://klasma.github.io/Logging_2283/tillsynsmail/A 55727-2022 tillsynsmail.docx", "A 55727-2022")</f>
        <v/>
      </c>
    </row>
    <row r="422" ht="15" customHeight="1">
      <c r="A422" t="inlineStr">
        <is>
          <t>A 54822-2022</t>
        </is>
      </c>
      <c r="B422" s="1" t="n">
        <v>44883</v>
      </c>
      <c r="C422" s="1" t="n">
        <v>45212</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 artfynd.xlsx", "A 54822-2022")</f>
        <v/>
      </c>
      <c r="T422">
        <f>HYPERLINK("https://klasma.github.io/Logging_2260/karta/A 54822-2022 karta.png", "A 54822-2022")</f>
        <v/>
      </c>
      <c r="V422">
        <f>HYPERLINK("https://klasma.github.io/Logging_2260/klagomål/A 54822-2022 klagomål.docx", "A 54822-2022")</f>
        <v/>
      </c>
      <c r="W422">
        <f>HYPERLINK("https://klasma.github.io/Logging_2260/klagomålsmail/A 54822-2022 klagomålsmail.docx", "A 54822-2022")</f>
        <v/>
      </c>
      <c r="X422">
        <f>HYPERLINK("https://klasma.github.io/Logging_2260/tillsyn/A 54822-2022 tillsyn.docx", "A 54822-2022")</f>
        <v/>
      </c>
      <c r="Y422">
        <f>HYPERLINK("https://klasma.github.io/Logging_2260/tillsynsmail/A 54822-2022 tillsynsmail.docx", "A 54822-2022")</f>
        <v/>
      </c>
    </row>
    <row r="423" ht="15" customHeight="1">
      <c r="A423" t="inlineStr">
        <is>
          <t>A 56530-2022</t>
        </is>
      </c>
      <c r="B423" s="1" t="n">
        <v>44893</v>
      </c>
      <c r="C423" s="1" t="n">
        <v>45212</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 artfynd.xlsx", "A 56530-2022")</f>
        <v/>
      </c>
      <c r="T423">
        <f>HYPERLINK("https://klasma.github.io/Logging_2284/karta/A 56530-2022 karta.png", "A 56530-2022")</f>
        <v/>
      </c>
      <c r="V423">
        <f>HYPERLINK("https://klasma.github.io/Logging_2284/klagomål/A 56530-2022 klagomål.docx", "A 56530-2022")</f>
        <v/>
      </c>
      <c r="W423">
        <f>HYPERLINK("https://klasma.github.io/Logging_2284/klagomålsmail/A 56530-2022 klagomålsmail.docx", "A 56530-2022")</f>
        <v/>
      </c>
      <c r="X423">
        <f>HYPERLINK("https://klasma.github.io/Logging_2284/tillsyn/A 56530-2022 tillsyn.docx", "A 56530-2022")</f>
        <v/>
      </c>
      <c r="Y423">
        <f>HYPERLINK("https://klasma.github.io/Logging_2284/tillsynsmail/A 56530-2022 tillsynsmail.docx", "A 56530-2022")</f>
        <v/>
      </c>
    </row>
    <row r="424" ht="15" customHeight="1">
      <c r="A424" t="inlineStr">
        <is>
          <t>A 58191-2022</t>
        </is>
      </c>
      <c r="B424" s="1" t="n">
        <v>44900</v>
      </c>
      <c r="C424" s="1" t="n">
        <v>45212</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 artfynd.xlsx", "A 58191-2022")</f>
        <v/>
      </c>
      <c r="T424">
        <f>HYPERLINK("https://klasma.github.io/Logging_2281/karta/A 58191-2022 karta.png", "A 58191-2022")</f>
        <v/>
      </c>
      <c r="U424">
        <f>HYPERLINK("https://klasma.github.io/Logging_2281/knärot/A 58191-2022 knärot.png", "A 58191-2022")</f>
        <v/>
      </c>
      <c r="V424">
        <f>HYPERLINK("https://klasma.github.io/Logging_2281/klagomål/A 58191-2022 klagomål.docx", "A 58191-2022")</f>
        <v/>
      </c>
      <c r="W424">
        <f>HYPERLINK("https://klasma.github.io/Logging_2281/klagomålsmail/A 58191-2022 klagomålsmail.docx", "A 58191-2022")</f>
        <v/>
      </c>
      <c r="X424">
        <f>HYPERLINK("https://klasma.github.io/Logging_2281/tillsyn/A 58191-2022 tillsyn.docx", "A 58191-2022")</f>
        <v/>
      </c>
      <c r="Y424">
        <f>HYPERLINK("https://klasma.github.io/Logging_2281/tillsynsmail/A 58191-2022 tillsynsmail.docx", "A 58191-2022")</f>
        <v/>
      </c>
    </row>
    <row r="425" ht="15" customHeight="1">
      <c r="A425" t="inlineStr">
        <is>
          <t>A 59046-2022</t>
        </is>
      </c>
      <c r="B425" s="1" t="n">
        <v>44903</v>
      </c>
      <c r="C425" s="1" t="n">
        <v>45212</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 artfynd.xlsx", "A 59046-2022")</f>
        <v/>
      </c>
      <c r="T425">
        <f>HYPERLINK("https://klasma.github.io/Logging_2283/karta/A 59046-2022 karta.png", "A 59046-2022")</f>
        <v/>
      </c>
      <c r="V425">
        <f>HYPERLINK("https://klasma.github.io/Logging_2283/klagomål/A 59046-2022 klagomål.docx", "A 59046-2022")</f>
        <v/>
      </c>
      <c r="W425">
        <f>HYPERLINK("https://klasma.github.io/Logging_2283/klagomålsmail/A 59046-2022 klagomålsmail.docx", "A 59046-2022")</f>
        <v/>
      </c>
      <c r="X425">
        <f>HYPERLINK("https://klasma.github.io/Logging_2283/tillsyn/A 59046-2022 tillsyn.docx", "A 59046-2022")</f>
        <v/>
      </c>
      <c r="Y425">
        <f>HYPERLINK("https://klasma.github.io/Logging_2283/tillsynsmail/A 59046-2022 tillsynsmail.docx", "A 59046-2022")</f>
        <v/>
      </c>
    </row>
    <row r="426" ht="15" customHeight="1">
      <c r="A426" t="inlineStr">
        <is>
          <t>A 61377-2022</t>
        </is>
      </c>
      <c r="B426" s="1" t="n">
        <v>44915</v>
      </c>
      <c r="C426" s="1" t="n">
        <v>45212</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 artfynd.xlsx", "A 61377-2022")</f>
        <v/>
      </c>
      <c r="T426">
        <f>HYPERLINK("https://klasma.github.io/Logging_2283/karta/A 61377-2022 karta.png", "A 61377-2022")</f>
        <v/>
      </c>
      <c r="V426">
        <f>HYPERLINK("https://klasma.github.io/Logging_2283/klagomål/A 61377-2022 klagomål.docx", "A 61377-2022")</f>
        <v/>
      </c>
      <c r="W426">
        <f>HYPERLINK("https://klasma.github.io/Logging_2283/klagomålsmail/A 61377-2022 klagomålsmail.docx", "A 61377-2022")</f>
        <v/>
      </c>
      <c r="X426">
        <f>HYPERLINK("https://klasma.github.io/Logging_2283/tillsyn/A 61377-2022 tillsyn.docx", "A 61377-2022")</f>
        <v/>
      </c>
      <c r="Y426">
        <f>HYPERLINK("https://klasma.github.io/Logging_2283/tillsynsmail/A 61377-2022 tillsynsmail.docx", "A 61377-2022")</f>
        <v/>
      </c>
    </row>
    <row r="427" ht="15" customHeight="1">
      <c r="A427" t="inlineStr">
        <is>
          <t>A 3017-2023</t>
        </is>
      </c>
      <c r="B427" s="1" t="n">
        <v>44945</v>
      </c>
      <c r="C427" s="1" t="n">
        <v>45212</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 artfynd.xlsx", "A 3017-2023")</f>
        <v/>
      </c>
      <c r="T427">
        <f>HYPERLINK("https://klasma.github.io/Logging_2283/karta/A 3017-2023 karta.png", "A 3017-2023")</f>
        <v/>
      </c>
      <c r="V427">
        <f>HYPERLINK("https://klasma.github.io/Logging_2283/klagomål/A 3017-2023 klagomål.docx", "A 3017-2023")</f>
        <v/>
      </c>
      <c r="W427">
        <f>HYPERLINK("https://klasma.github.io/Logging_2283/klagomålsmail/A 3017-2023 klagomålsmail.docx", "A 3017-2023")</f>
        <v/>
      </c>
      <c r="X427">
        <f>HYPERLINK("https://klasma.github.io/Logging_2283/tillsyn/A 3017-2023 tillsyn.docx", "A 3017-2023")</f>
        <v/>
      </c>
      <c r="Y427">
        <f>HYPERLINK("https://klasma.github.io/Logging_2283/tillsynsmail/A 3017-2023 tillsynsmail.docx", "A 3017-2023")</f>
        <v/>
      </c>
    </row>
    <row r="428" ht="15" customHeight="1">
      <c r="A428" t="inlineStr">
        <is>
          <t>A 4455-2023</t>
        </is>
      </c>
      <c r="B428" s="1" t="n">
        <v>44956</v>
      </c>
      <c r="C428" s="1" t="n">
        <v>45212</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 artfynd.xlsx", "A 4455-2023")</f>
        <v/>
      </c>
      <c r="T428">
        <f>HYPERLINK("https://klasma.github.io/Logging_2284/karta/A 4455-2023 karta.png", "A 4455-2023")</f>
        <v/>
      </c>
      <c r="V428">
        <f>HYPERLINK("https://klasma.github.io/Logging_2284/klagomål/A 4455-2023 klagomål.docx", "A 4455-2023")</f>
        <v/>
      </c>
      <c r="W428">
        <f>HYPERLINK("https://klasma.github.io/Logging_2284/klagomålsmail/A 4455-2023 klagomålsmail.docx", "A 4455-2023")</f>
        <v/>
      </c>
      <c r="X428">
        <f>HYPERLINK("https://klasma.github.io/Logging_2284/tillsyn/A 4455-2023 tillsyn.docx", "A 4455-2023")</f>
        <v/>
      </c>
      <c r="Y428">
        <f>HYPERLINK("https://klasma.github.io/Logging_2284/tillsynsmail/A 4455-2023 tillsynsmail.docx", "A 4455-2023")</f>
        <v/>
      </c>
    </row>
    <row r="429" ht="15" customHeight="1">
      <c r="A429" t="inlineStr">
        <is>
          <t>A 8669-2023</t>
        </is>
      </c>
      <c r="B429" s="1" t="n">
        <v>44977</v>
      </c>
      <c r="C429" s="1" t="n">
        <v>45212</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 artfynd.xlsx", "A 8669-2023")</f>
        <v/>
      </c>
      <c r="T429">
        <f>HYPERLINK("https://klasma.github.io/Logging_2283/karta/A 8669-2023 karta.png", "A 8669-2023")</f>
        <v/>
      </c>
      <c r="V429">
        <f>HYPERLINK("https://klasma.github.io/Logging_2283/klagomål/A 8669-2023 klagomål.docx", "A 8669-2023")</f>
        <v/>
      </c>
      <c r="W429">
        <f>HYPERLINK("https://klasma.github.io/Logging_2283/klagomålsmail/A 8669-2023 klagomålsmail.docx", "A 8669-2023")</f>
        <v/>
      </c>
      <c r="X429">
        <f>HYPERLINK("https://klasma.github.io/Logging_2283/tillsyn/A 8669-2023 tillsyn.docx", "A 8669-2023")</f>
        <v/>
      </c>
      <c r="Y429">
        <f>HYPERLINK("https://klasma.github.io/Logging_2283/tillsynsmail/A 8669-2023 tillsynsmail.docx", "A 8669-2023")</f>
        <v/>
      </c>
    </row>
    <row r="430" ht="15" customHeight="1">
      <c r="A430" t="inlineStr">
        <is>
          <t>A 11332-2023</t>
        </is>
      </c>
      <c r="B430" s="1" t="n">
        <v>44988</v>
      </c>
      <c r="C430" s="1" t="n">
        <v>45212</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 artfynd.xlsx", "A 11332-2023")</f>
        <v/>
      </c>
      <c r="T430">
        <f>HYPERLINK("https://klasma.github.io/Logging_2284/karta/A 11332-2023 karta.png", "A 11332-2023")</f>
        <v/>
      </c>
      <c r="V430">
        <f>HYPERLINK("https://klasma.github.io/Logging_2284/klagomål/A 11332-2023 klagomål.docx", "A 11332-2023")</f>
        <v/>
      </c>
      <c r="W430">
        <f>HYPERLINK("https://klasma.github.io/Logging_2284/klagomålsmail/A 11332-2023 klagomålsmail.docx", "A 11332-2023")</f>
        <v/>
      </c>
      <c r="X430">
        <f>HYPERLINK("https://klasma.github.io/Logging_2284/tillsyn/A 11332-2023 tillsyn.docx", "A 11332-2023")</f>
        <v/>
      </c>
      <c r="Y430">
        <f>HYPERLINK("https://klasma.github.io/Logging_2284/tillsynsmail/A 11332-2023 tillsynsmail.docx", "A 11332-2023")</f>
        <v/>
      </c>
    </row>
    <row r="431" ht="15" customHeight="1">
      <c r="A431" t="inlineStr">
        <is>
          <t>A 11060-2023</t>
        </is>
      </c>
      <c r="B431" s="1" t="n">
        <v>44991</v>
      </c>
      <c r="C431" s="1" t="n">
        <v>45212</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 artfynd.xlsx", "A 11060-2023")</f>
        <v/>
      </c>
      <c r="T431">
        <f>HYPERLINK("https://klasma.github.io/Logging_2284/karta/A 11060-2023 karta.png", "A 11060-2023")</f>
        <v/>
      </c>
      <c r="V431">
        <f>HYPERLINK("https://klasma.github.io/Logging_2284/klagomål/A 11060-2023 klagomål.docx", "A 11060-2023")</f>
        <v/>
      </c>
      <c r="W431">
        <f>HYPERLINK("https://klasma.github.io/Logging_2284/klagomålsmail/A 11060-2023 klagomålsmail.docx", "A 11060-2023")</f>
        <v/>
      </c>
      <c r="X431">
        <f>HYPERLINK("https://klasma.github.io/Logging_2284/tillsyn/A 11060-2023 tillsyn.docx", "A 11060-2023")</f>
        <v/>
      </c>
      <c r="Y431">
        <f>HYPERLINK("https://klasma.github.io/Logging_2284/tillsynsmail/A 11060-2023 tillsynsmail.docx", "A 11060-2023")</f>
        <v/>
      </c>
    </row>
    <row r="432" ht="15" customHeight="1">
      <c r="A432" t="inlineStr">
        <is>
          <t>A 16181-2023</t>
        </is>
      </c>
      <c r="B432" s="1" t="n">
        <v>45027</v>
      </c>
      <c r="C432" s="1" t="n">
        <v>45212</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 artfynd.xlsx", "A 16181-2023")</f>
        <v/>
      </c>
      <c r="T432">
        <f>HYPERLINK("https://klasma.github.io/Logging_2280/karta/A 16181-2023 karta.png", "A 16181-2023")</f>
        <v/>
      </c>
      <c r="V432">
        <f>HYPERLINK("https://klasma.github.io/Logging_2280/klagomål/A 16181-2023 klagomål.docx", "A 16181-2023")</f>
        <v/>
      </c>
      <c r="W432">
        <f>HYPERLINK("https://klasma.github.io/Logging_2280/klagomålsmail/A 16181-2023 klagomålsmail.docx", "A 16181-2023")</f>
        <v/>
      </c>
      <c r="X432">
        <f>HYPERLINK("https://klasma.github.io/Logging_2280/tillsyn/A 16181-2023 tillsyn.docx", "A 16181-2023")</f>
        <v/>
      </c>
      <c r="Y432">
        <f>HYPERLINK("https://klasma.github.io/Logging_2280/tillsynsmail/A 16181-2023 tillsynsmail.docx", "A 16181-2023")</f>
        <v/>
      </c>
    </row>
    <row r="433" ht="15" customHeight="1">
      <c r="A433" t="inlineStr">
        <is>
          <t>A 18991-2023</t>
        </is>
      </c>
      <c r="B433" s="1" t="n">
        <v>45044</v>
      </c>
      <c r="C433" s="1" t="n">
        <v>45212</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 artfynd.xlsx", "A 18991-2023")</f>
        <v/>
      </c>
      <c r="T433">
        <f>HYPERLINK("https://klasma.github.io/Logging_2281/karta/A 18991-2023 karta.png", "A 18991-2023")</f>
        <v/>
      </c>
      <c r="V433">
        <f>HYPERLINK("https://klasma.github.io/Logging_2281/klagomål/A 18991-2023 klagomål.docx", "A 18991-2023")</f>
        <v/>
      </c>
      <c r="W433">
        <f>HYPERLINK("https://klasma.github.io/Logging_2281/klagomålsmail/A 18991-2023 klagomålsmail.docx", "A 18991-2023")</f>
        <v/>
      </c>
      <c r="X433">
        <f>HYPERLINK("https://klasma.github.io/Logging_2281/tillsyn/A 18991-2023 tillsyn.docx", "A 18991-2023")</f>
        <v/>
      </c>
      <c r="Y433">
        <f>HYPERLINK("https://klasma.github.io/Logging_2281/tillsynsmail/A 18991-2023 tillsynsmail.docx", "A 18991-2023")</f>
        <v/>
      </c>
    </row>
    <row r="434" ht="15" customHeight="1">
      <c r="A434" t="inlineStr">
        <is>
          <t>A 18998-2023</t>
        </is>
      </c>
      <c r="B434" s="1" t="n">
        <v>45044</v>
      </c>
      <c r="C434" s="1" t="n">
        <v>45212</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 artfynd.xlsx", "A 18998-2023")</f>
        <v/>
      </c>
      <c r="T434">
        <f>HYPERLINK("https://klasma.github.io/Logging_2281/karta/A 18998-2023 karta.png", "A 18998-2023")</f>
        <v/>
      </c>
      <c r="U434">
        <f>HYPERLINK("https://klasma.github.io/Logging_2281/knärot/A 18998-2023 knärot.png", "A 18998-2023")</f>
        <v/>
      </c>
      <c r="V434">
        <f>HYPERLINK("https://klasma.github.io/Logging_2281/klagomål/A 18998-2023 klagomål.docx", "A 18998-2023")</f>
        <v/>
      </c>
      <c r="W434">
        <f>HYPERLINK("https://klasma.github.io/Logging_2281/klagomålsmail/A 18998-2023 klagomålsmail.docx", "A 18998-2023")</f>
        <v/>
      </c>
      <c r="X434">
        <f>HYPERLINK("https://klasma.github.io/Logging_2281/tillsyn/A 18998-2023 tillsyn.docx", "A 18998-2023")</f>
        <v/>
      </c>
      <c r="Y434">
        <f>HYPERLINK("https://klasma.github.io/Logging_2281/tillsynsmail/A 18998-2023 tillsynsmail.docx", "A 18998-2023")</f>
        <v/>
      </c>
    </row>
    <row r="435" ht="15" customHeight="1">
      <c r="A435" t="inlineStr">
        <is>
          <t>A 19432-2023</t>
        </is>
      </c>
      <c r="B435" s="1" t="n">
        <v>45049</v>
      </c>
      <c r="C435" s="1" t="n">
        <v>45212</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 artfynd.xlsx", "A 19432-2023")</f>
        <v/>
      </c>
      <c r="T435">
        <f>HYPERLINK("https://klasma.github.io/Logging_2280/karta/A 19432-2023 karta.png", "A 19432-2023")</f>
        <v/>
      </c>
      <c r="V435">
        <f>HYPERLINK("https://klasma.github.io/Logging_2280/klagomål/A 19432-2023 klagomål.docx", "A 19432-2023")</f>
        <v/>
      </c>
      <c r="W435">
        <f>HYPERLINK("https://klasma.github.io/Logging_2280/klagomålsmail/A 19432-2023 klagomålsmail.docx", "A 19432-2023")</f>
        <v/>
      </c>
      <c r="X435">
        <f>HYPERLINK("https://klasma.github.io/Logging_2280/tillsyn/A 19432-2023 tillsyn.docx", "A 19432-2023")</f>
        <v/>
      </c>
      <c r="Y435">
        <f>HYPERLINK("https://klasma.github.io/Logging_2280/tillsynsmail/A 19432-2023 tillsynsmail.docx", "A 19432-2023")</f>
        <v/>
      </c>
    </row>
    <row r="436" ht="15" customHeight="1">
      <c r="A436" t="inlineStr">
        <is>
          <t>A 20888-2023</t>
        </is>
      </c>
      <c r="B436" s="1" t="n">
        <v>45058</v>
      </c>
      <c r="C436" s="1" t="n">
        <v>45212</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 artfynd.xlsx", "A 20888-2023")</f>
        <v/>
      </c>
      <c r="T436">
        <f>HYPERLINK("https://klasma.github.io/Logging_2281/karta/A 20888-2023 karta.png", "A 20888-2023")</f>
        <v/>
      </c>
      <c r="V436">
        <f>HYPERLINK("https://klasma.github.io/Logging_2281/klagomål/A 20888-2023 klagomål.docx", "A 20888-2023")</f>
        <v/>
      </c>
      <c r="W436">
        <f>HYPERLINK("https://klasma.github.io/Logging_2281/klagomålsmail/A 20888-2023 klagomålsmail.docx", "A 20888-2023")</f>
        <v/>
      </c>
      <c r="X436">
        <f>HYPERLINK("https://klasma.github.io/Logging_2281/tillsyn/A 20888-2023 tillsyn.docx", "A 20888-2023")</f>
        <v/>
      </c>
      <c r="Y436">
        <f>HYPERLINK("https://klasma.github.io/Logging_2281/tillsynsmail/A 20888-2023 tillsynsmail.docx", "A 20888-2023")</f>
        <v/>
      </c>
    </row>
    <row r="437" ht="15" customHeight="1">
      <c r="A437" t="inlineStr">
        <is>
          <t>A 23521-2023</t>
        </is>
      </c>
      <c r="B437" s="1" t="n">
        <v>45076</v>
      </c>
      <c r="C437" s="1" t="n">
        <v>45212</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 artfynd.xlsx", "A 23521-2023")</f>
        <v/>
      </c>
      <c r="T437">
        <f>HYPERLINK("https://klasma.github.io/Logging_2260/karta/A 23521-2023 karta.png", "A 23521-2023")</f>
        <v/>
      </c>
      <c r="V437">
        <f>HYPERLINK("https://klasma.github.io/Logging_2260/klagomål/A 23521-2023 klagomål.docx", "A 23521-2023")</f>
        <v/>
      </c>
      <c r="W437">
        <f>HYPERLINK("https://klasma.github.io/Logging_2260/klagomålsmail/A 23521-2023 klagomålsmail.docx", "A 23521-2023")</f>
        <v/>
      </c>
      <c r="X437">
        <f>HYPERLINK("https://klasma.github.io/Logging_2260/tillsyn/A 23521-2023 tillsyn.docx", "A 23521-2023")</f>
        <v/>
      </c>
      <c r="Y437">
        <f>HYPERLINK("https://klasma.github.io/Logging_2260/tillsynsmail/A 23521-2023 tillsynsmail.docx", "A 23521-2023")</f>
        <v/>
      </c>
    </row>
    <row r="438" ht="15" customHeight="1">
      <c r="A438" t="inlineStr">
        <is>
          <t>A 24539-2023</t>
        </is>
      </c>
      <c r="B438" s="1" t="n">
        <v>45082</v>
      </c>
      <c r="C438" s="1" t="n">
        <v>45212</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 artfynd.xlsx", "A 24539-2023")</f>
        <v/>
      </c>
      <c r="T438">
        <f>HYPERLINK("https://klasma.github.io/Logging_2262/karta/A 24539-2023 karta.png", "A 24539-2023")</f>
        <v/>
      </c>
      <c r="U438">
        <f>HYPERLINK("https://klasma.github.io/Logging_2262/knärot/A 24539-2023 knärot.png", "A 24539-2023")</f>
        <v/>
      </c>
      <c r="V438">
        <f>HYPERLINK("https://klasma.github.io/Logging_2262/klagomål/A 24539-2023 klagomål.docx", "A 24539-2023")</f>
        <v/>
      </c>
      <c r="W438">
        <f>HYPERLINK("https://klasma.github.io/Logging_2262/klagomålsmail/A 24539-2023 klagomålsmail.docx", "A 24539-2023")</f>
        <v/>
      </c>
      <c r="X438">
        <f>HYPERLINK("https://klasma.github.io/Logging_2262/tillsyn/A 24539-2023 tillsyn.docx", "A 24539-2023")</f>
        <v/>
      </c>
      <c r="Y438">
        <f>HYPERLINK("https://klasma.github.io/Logging_2262/tillsynsmail/A 24539-2023 tillsynsmail.docx", "A 24539-2023")</f>
        <v/>
      </c>
    </row>
    <row r="439" ht="15" customHeight="1">
      <c r="A439" t="inlineStr">
        <is>
          <t>A 27385-2023</t>
        </is>
      </c>
      <c r="B439" s="1" t="n">
        <v>45096</v>
      </c>
      <c r="C439" s="1" t="n">
        <v>45212</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 artfynd.xlsx", "A 27385-2023")</f>
        <v/>
      </c>
      <c r="T439">
        <f>HYPERLINK("https://klasma.github.io/Logging_2281/karta/A 27385-2023 karta.png", "A 27385-2023")</f>
        <v/>
      </c>
      <c r="V439">
        <f>HYPERLINK("https://klasma.github.io/Logging_2281/klagomål/A 27385-2023 klagomål.docx", "A 27385-2023")</f>
        <v/>
      </c>
      <c r="W439">
        <f>HYPERLINK("https://klasma.github.io/Logging_2281/klagomålsmail/A 27385-2023 klagomålsmail.docx", "A 27385-2023")</f>
        <v/>
      </c>
      <c r="X439">
        <f>HYPERLINK("https://klasma.github.io/Logging_2281/tillsyn/A 27385-2023 tillsyn.docx", "A 27385-2023")</f>
        <v/>
      </c>
      <c r="Y439">
        <f>HYPERLINK("https://klasma.github.io/Logging_2281/tillsynsmail/A 27385-2023 tillsynsmail.docx", "A 27385-2023")</f>
        <v/>
      </c>
    </row>
    <row r="440" ht="15" customHeight="1">
      <c r="A440" t="inlineStr">
        <is>
          <t>A 27380-2023</t>
        </is>
      </c>
      <c r="B440" s="1" t="n">
        <v>45096</v>
      </c>
      <c r="C440" s="1" t="n">
        <v>45212</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 artfynd.xlsx", "A 27380-2023")</f>
        <v/>
      </c>
      <c r="T440">
        <f>HYPERLINK("https://klasma.github.io/Logging_2281/karta/A 27380-2023 karta.png", "A 27380-2023")</f>
        <v/>
      </c>
      <c r="V440">
        <f>HYPERLINK("https://klasma.github.io/Logging_2281/klagomål/A 27380-2023 klagomål.docx", "A 27380-2023")</f>
        <v/>
      </c>
      <c r="W440">
        <f>HYPERLINK("https://klasma.github.io/Logging_2281/klagomålsmail/A 27380-2023 klagomålsmail.docx", "A 27380-2023")</f>
        <v/>
      </c>
      <c r="X440">
        <f>HYPERLINK("https://klasma.github.io/Logging_2281/tillsyn/A 27380-2023 tillsyn.docx", "A 27380-2023")</f>
        <v/>
      </c>
      <c r="Y440">
        <f>HYPERLINK("https://klasma.github.io/Logging_2281/tillsynsmail/A 27380-2023 tillsynsmail.docx", "A 27380-2023")</f>
        <v/>
      </c>
    </row>
    <row r="441" ht="15" customHeight="1">
      <c r="A441" t="inlineStr">
        <is>
          <t>A 28010-2023</t>
        </is>
      </c>
      <c r="B441" s="1" t="n">
        <v>45098</v>
      </c>
      <c r="C441" s="1" t="n">
        <v>45212</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 artfynd.xlsx", "A 28010-2023")</f>
        <v/>
      </c>
      <c r="T441">
        <f>HYPERLINK("https://klasma.github.io/Logging_2281/karta/A 28010-2023 karta.png", "A 28010-2023")</f>
        <v/>
      </c>
      <c r="V441">
        <f>HYPERLINK("https://klasma.github.io/Logging_2281/klagomål/A 28010-2023 klagomål.docx", "A 28010-2023")</f>
        <v/>
      </c>
      <c r="W441">
        <f>HYPERLINK("https://klasma.github.io/Logging_2281/klagomålsmail/A 28010-2023 klagomålsmail.docx", "A 28010-2023")</f>
        <v/>
      </c>
      <c r="X441">
        <f>HYPERLINK("https://klasma.github.io/Logging_2281/tillsyn/A 28010-2023 tillsyn.docx", "A 28010-2023")</f>
        <v/>
      </c>
      <c r="Y441">
        <f>HYPERLINK("https://klasma.github.io/Logging_2281/tillsynsmail/A 28010-2023 tillsynsmail.docx", "A 28010-2023")</f>
        <v/>
      </c>
    </row>
    <row r="442" ht="15" customHeight="1">
      <c r="A442" t="inlineStr">
        <is>
          <t>A 29325-2023</t>
        </is>
      </c>
      <c r="B442" s="1" t="n">
        <v>45105</v>
      </c>
      <c r="C442" s="1" t="n">
        <v>45212</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 artfynd.xlsx", "A 29325-2023")</f>
        <v/>
      </c>
      <c r="T442">
        <f>HYPERLINK("https://klasma.github.io/Logging_2260/karta/A 29325-2023 karta.png", "A 29325-2023")</f>
        <v/>
      </c>
      <c r="V442">
        <f>HYPERLINK("https://klasma.github.io/Logging_2260/klagomål/A 29325-2023 klagomål.docx", "A 29325-2023")</f>
        <v/>
      </c>
      <c r="W442">
        <f>HYPERLINK("https://klasma.github.io/Logging_2260/klagomålsmail/A 29325-2023 klagomålsmail.docx", "A 29325-2023")</f>
        <v/>
      </c>
      <c r="X442">
        <f>HYPERLINK("https://klasma.github.io/Logging_2260/tillsyn/A 29325-2023 tillsyn.docx", "A 29325-2023")</f>
        <v/>
      </c>
      <c r="Y442">
        <f>HYPERLINK("https://klasma.github.io/Logging_2260/tillsynsmail/A 29325-2023 tillsynsmail.docx", "A 29325-2023")</f>
        <v/>
      </c>
    </row>
    <row r="443" ht="15" customHeight="1">
      <c r="A443" t="inlineStr">
        <is>
          <t>A 31417-2023</t>
        </is>
      </c>
      <c r="B443" s="1" t="n">
        <v>45114</v>
      </c>
      <c r="C443" s="1" t="n">
        <v>45212</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 artfynd.xlsx", "A 31417-2023")</f>
        <v/>
      </c>
      <c r="T443">
        <f>HYPERLINK("https://klasma.github.io/Logging_2282/karta/A 31417-2023 karta.png", "A 31417-2023")</f>
        <v/>
      </c>
      <c r="V443">
        <f>HYPERLINK("https://klasma.github.io/Logging_2282/klagomål/A 31417-2023 klagomål.docx", "A 31417-2023")</f>
        <v/>
      </c>
      <c r="W443">
        <f>HYPERLINK("https://klasma.github.io/Logging_2282/klagomålsmail/A 31417-2023 klagomålsmail.docx", "A 31417-2023")</f>
        <v/>
      </c>
      <c r="X443">
        <f>HYPERLINK("https://klasma.github.io/Logging_2282/tillsyn/A 31417-2023 tillsyn.docx", "A 31417-2023")</f>
        <v/>
      </c>
      <c r="Y443">
        <f>HYPERLINK("https://klasma.github.io/Logging_2282/tillsynsmail/A 31417-2023 tillsynsmail.docx", "A 31417-2023")</f>
        <v/>
      </c>
    </row>
    <row r="444" ht="15" customHeight="1">
      <c r="A444" t="inlineStr">
        <is>
          <t>A 33210-2023</t>
        </is>
      </c>
      <c r="B444" s="1" t="n">
        <v>45114</v>
      </c>
      <c r="C444" s="1" t="n">
        <v>45212</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 artfynd.xlsx", "A 33210-2023")</f>
        <v/>
      </c>
      <c r="T444">
        <f>HYPERLINK("https://klasma.github.io/Logging_2282/karta/A 33210-2023 karta.png", "A 33210-2023")</f>
        <v/>
      </c>
      <c r="V444">
        <f>HYPERLINK("https://klasma.github.io/Logging_2282/klagomål/A 33210-2023 klagomål.docx", "A 33210-2023")</f>
        <v/>
      </c>
      <c r="W444">
        <f>HYPERLINK("https://klasma.github.io/Logging_2282/klagomålsmail/A 33210-2023 klagomålsmail.docx", "A 33210-2023")</f>
        <v/>
      </c>
      <c r="X444">
        <f>HYPERLINK("https://klasma.github.io/Logging_2282/tillsyn/A 33210-2023 tillsyn.docx", "A 33210-2023")</f>
        <v/>
      </c>
      <c r="Y444">
        <f>HYPERLINK("https://klasma.github.io/Logging_2282/tillsynsmail/A 33210-2023 tillsynsmail.docx", "A 33210-2023")</f>
        <v/>
      </c>
    </row>
    <row r="445" ht="15" customHeight="1">
      <c r="A445" t="inlineStr">
        <is>
          <t>A 32494-2023</t>
        </is>
      </c>
      <c r="B445" s="1" t="n">
        <v>45121</v>
      </c>
      <c r="C445" s="1" t="n">
        <v>45212</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 artfynd.xlsx", "A 32494-2023")</f>
        <v/>
      </c>
      <c r="T445">
        <f>HYPERLINK("https://klasma.github.io/Logging_2260/karta/A 32494-2023 karta.png", "A 32494-2023")</f>
        <v/>
      </c>
      <c r="V445">
        <f>HYPERLINK("https://klasma.github.io/Logging_2260/klagomål/A 32494-2023 klagomål.docx", "A 32494-2023")</f>
        <v/>
      </c>
      <c r="W445">
        <f>HYPERLINK("https://klasma.github.io/Logging_2260/klagomålsmail/A 32494-2023 klagomålsmail.docx", "A 32494-2023")</f>
        <v/>
      </c>
      <c r="X445">
        <f>HYPERLINK("https://klasma.github.io/Logging_2260/tillsyn/A 32494-2023 tillsyn.docx", "A 32494-2023")</f>
        <v/>
      </c>
      <c r="Y445">
        <f>HYPERLINK("https://klasma.github.io/Logging_2260/tillsynsmail/A 32494-2023 tillsynsmail.docx", "A 32494-2023")</f>
        <v/>
      </c>
    </row>
    <row r="446" ht="15" customHeight="1">
      <c r="A446" t="inlineStr">
        <is>
          <t>A 32559-2023</t>
        </is>
      </c>
      <c r="B446" s="1" t="n">
        <v>45121</v>
      </c>
      <c r="C446" s="1" t="n">
        <v>45212</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 artfynd.xlsx", "A 32559-2023")</f>
        <v/>
      </c>
      <c r="T446">
        <f>HYPERLINK("https://klasma.github.io/Logging_2260/karta/A 32559-2023 karta.png", "A 32559-2023")</f>
        <v/>
      </c>
      <c r="V446">
        <f>HYPERLINK("https://klasma.github.io/Logging_2260/klagomål/A 32559-2023 klagomål.docx", "A 32559-2023")</f>
        <v/>
      </c>
      <c r="W446">
        <f>HYPERLINK("https://klasma.github.io/Logging_2260/klagomålsmail/A 32559-2023 klagomålsmail.docx", "A 32559-2023")</f>
        <v/>
      </c>
      <c r="X446">
        <f>HYPERLINK("https://klasma.github.io/Logging_2260/tillsyn/A 32559-2023 tillsyn.docx", "A 32559-2023")</f>
        <v/>
      </c>
      <c r="Y446">
        <f>HYPERLINK("https://klasma.github.io/Logging_2260/tillsynsmail/A 32559-2023 tillsynsmail.docx", "A 32559-2023")</f>
        <v/>
      </c>
    </row>
    <row r="447" ht="15" customHeight="1">
      <c r="A447" t="inlineStr">
        <is>
          <t>A 33036-2023</t>
        </is>
      </c>
      <c r="B447" s="1" t="n">
        <v>45125</v>
      </c>
      <c r="C447" s="1" t="n">
        <v>45212</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 artfynd.xlsx", "A 33036-2023")</f>
        <v/>
      </c>
      <c r="T447">
        <f>HYPERLINK("https://klasma.github.io/Logging_2283/karta/A 33036-2023 karta.png", "A 33036-2023")</f>
        <v/>
      </c>
      <c r="V447">
        <f>HYPERLINK("https://klasma.github.io/Logging_2283/klagomål/A 33036-2023 klagomål.docx", "A 33036-2023")</f>
        <v/>
      </c>
      <c r="W447">
        <f>HYPERLINK("https://klasma.github.io/Logging_2283/klagomålsmail/A 33036-2023 klagomålsmail.docx", "A 33036-2023")</f>
        <v/>
      </c>
      <c r="X447">
        <f>HYPERLINK("https://klasma.github.io/Logging_2283/tillsyn/A 33036-2023 tillsyn.docx", "A 33036-2023")</f>
        <v/>
      </c>
      <c r="Y447">
        <f>HYPERLINK("https://klasma.github.io/Logging_2283/tillsynsmail/A 33036-2023 tillsynsmail.docx", "A 33036-2023")</f>
        <v/>
      </c>
    </row>
    <row r="448" ht="15" customHeight="1">
      <c r="A448" t="inlineStr">
        <is>
          <t>A 35003-2023</t>
        </is>
      </c>
      <c r="B448" s="1" t="n">
        <v>45142</v>
      </c>
      <c r="C448" s="1" t="n">
        <v>45212</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 artfynd.xlsx", "A 35003-2023")</f>
        <v/>
      </c>
      <c r="T448">
        <f>HYPERLINK("https://klasma.github.io/Logging_2262/karta/A 35003-2023 karta.png", "A 35003-2023")</f>
        <v/>
      </c>
      <c r="V448">
        <f>HYPERLINK("https://klasma.github.io/Logging_2262/klagomål/A 35003-2023 klagomål.docx", "A 35003-2023")</f>
        <v/>
      </c>
      <c r="W448">
        <f>HYPERLINK("https://klasma.github.io/Logging_2262/klagomålsmail/A 35003-2023 klagomålsmail.docx", "A 35003-2023")</f>
        <v/>
      </c>
      <c r="X448">
        <f>HYPERLINK("https://klasma.github.io/Logging_2262/tillsyn/A 35003-2023 tillsyn.docx", "A 35003-2023")</f>
        <v/>
      </c>
      <c r="Y448">
        <f>HYPERLINK("https://klasma.github.io/Logging_2262/tillsynsmail/A 35003-2023 tillsynsmail.docx", "A 35003-2023")</f>
        <v/>
      </c>
    </row>
    <row r="449" ht="15" customHeight="1">
      <c r="A449" t="inlineStr">
        <is>
          <t>A 35587-2023</t>
        </is>
      </c>
      <c r="B449" s="1" t="n">
        <v>45147</v>
      </c>
      <c r="C449" s="1" t="n">
        <v>45212</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 artfynd.xlsx", "A 35587-2023")</f>
        <v/>
      </c>
      <c r="T449">
        <f>HYPERLINK("https://klasma.github.io/Logging_2283/karta/A 35587-2023 karta.png", "A 35587-2023")</f>
        <v/>
      </c>
      <c r="V449">
        <f>HYPERLINK("https://klasma.github.io/Logging_2283/klagomål/A 35587-2023 klagomål.docx", "A 35587-2023")</f>
        <v/>
      </c>
      <c r="W449">
        <f>HYPERLINK("https://klasma.github.io/Logging_2283/klagomålsmail/A 35587-2023 klagomålsmail.docx", "A 35587-2023")</f>
        <v/>
      </c>
      <c r="X449">
        <f>HYPERLINK("https://klasma.github.io/Logging_2283/tillsyn/A 35587-2023 tillsyn.docx", "A 35587-2023")</f>
        <v/>
      </c>
      <c r="Y449">
        <f>HYPERLINK("https://klasma.github.io/Logging_2283/tillsynsmail/A 35587-2023 tillsynsmail.docx", "A 35587-2023")</f>
        <v/>
      </c>
    </row>
    <row r="450" ht="15" customHeight="1">
      <c r="A450" t="inlineStr">
        <is>
          <t>A 38977-2023</t>
        </is>
      </c>
      <c r="B450" s="1" t="n">
        <v>45161</v>
      </c>
      <c r="C450" s="1" t="n">
        <v>45212</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 artfynd.xlsx", "A 38977-2023")</f>
        <v/>
      </c>
      <c r="T450">
        <f>HYPERLINK("https://klasma.github.io/Logging_2282/karta/A 38977-2023 karta.png", "A 38977-2023")</f>
        <v/>
      </c>
      <c r="V450">
        <f>HYPERLINK("https://klasma.github.io/Logging_2282/klagomål/A 38977-2023 klagomål.docx", "A 38977-2023")</f>
        <v/>
      </c>
      <c r="W450">
        <f>HYPERLINK("https://klasma.github.io/Logging_2282/klagomålsmail/A 38977-2023 klagomålsmail.docx", "A 38977-2023")</f>
        <v/>
      </c>
      <c r="X450">
        <f>HYPERLINK("https://klasma.github.io/Logging_2282/tillsyn/A 38977-2023 tillsyn.docx", "A 38977-2023")</f>
        <v/>
      </c>
      <c r="Y450">
        <f>HYPERLINK("https://klasma.github.io/Logging_2282/tillsynsmail/A 38977-2023 tillsynsmail.docx", "A 38977-2023")</f>
        <v/>
      </c>
    </row>
    <row r="451" ht="15" customHeight="1">
      <c r="A451" t="inlineStr">
        <is>
          <t>A 37049-2018</t>
        </is>
      </c>
      <c r="B451" s="1" t="n">
        <v>43332</v>
      </c>
      <c r="C451" s="1" t="n">
        <v>45212</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 artfynd.xlsx", "A 37049-2018")</f>
        <v/>
      </c>
      <c r="T451">
        <f>HYPERLINK("https://klasma.github.io/Logging_2284/karta/A 37049-2018 karta.png", "A 37049-2018")</f>
        <v/>
      </c>
      <c r="V451">
        <f>HYPERLINK("https://klasma.github.io/Logging_2284/klagomål/A 37049-2018 klagomål.docx", "A 37049-2018")</f>
        <v/>
      </c>
      <c r="W451">
        <f>HYPERLINK("https://klasma.github.io/Logging_2284/klagomålsmail/A 37049-2018 klagomålsmail.docx", "A 37049-2018")</f>
        <v/>
      </c>
      <c r="X451">
        <f>HYPERLINK("https://klasma.github.io/Logging_2284/tillsyn/A 37049-2018 tillsyn.docx", "A 37049-2018")</f>
        <v/>
      </c>
      <c r="Y451">
        <f>HYPERLINK("https://klasma.github.io/Logging_2284/tillsynsmail/A 37049-2018 tillsynsmail.docx", "A 37049-2018")</f>
        <v/>
      </c>
    </row>
    <row r="452" ht="15" customHeight="1">
      <c r="A452" t="inlineStr">
        <is>
          <t>A 42954-2018</t>
        </is>
      </c>
      <c r="B452" s="1" t="n">
        <v>43355</v>
      </c>
      <c r="C452" s="1" t="n">
        <v>45212</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 artfynd.xlsx", "A 42954-2018")</f>
        <v/>
      </c>
      <c r="T452">
        <f>HYPERLINK("https://klasma.github.io/Logging_2281/karta/A 42954-2018 karta.png", "A 42954-2018")</f>
        <v/>
      </c>
      <c r="V452">
        <f>HYPERLINK("https://klasma.github.io/Logging_2281/klagomål/A 42954-2018 klagomål.docx", "A 42954-2018")</f>
        <v/>
      </c>
      <c r="W452">
        <f>HYPERLINK("https://klasma.github.io/Logging_2281/klagomålsmail/A 42954-2018 klagomålsmail.docx", "A 42954-2018")</f>
        <v/>
      </c>
      <c r="X452">
        <f>HYPERLINK("https://klasma.github.io/Logging_2281/tillsyn/A 42954-2018 tillsyn.docx", "A 42954-2018")</f>
        <v/>
      </c>
      <c r="Y452">
        <f>HYPERLINK("https://klasma.github.io/Logging_2281/tillsynsmail/A 42954-2018 tillsynsmail.docx", "A 42954-2018")</f>
        <v/>
      </c>
    </row>
    <row r="453" ht="15" customHeight="1">
      <c r="A453" t="inlineStr">
        <is>
          <t>A 49231-2018</t>
        </is>
      </c>
      <c r="B453" s="1" t="n">
        <v>43374</v>
      </c>
      <c r="C453" s="1" t="n">
        <v>45212</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 artfynd.xlsx", "A 49231-2018")</f>
        <v/>
      </c>
      <c r="T453">
        <f>HYPERLINK("https://klasma.github.io/Logging_2281/karta/A 49231-2018 karta.png", "A 49231-2018")</f>
        <v/>
      </c>
      <c r="V453">
        <f>HYPERLINK("https://klasma.github.io/Logging_2281/klagomål/A 49231-2018 klagomål.docx", "A 49231-2018")</f>
        <v/>
      </c>
      <c r="W453">
        <f>HYPERLINK("https://klasma.github.io/Logging_2281/klagomålsmail/A 49231-2018 klagomålsmail.docx", "A 49231-2018")</f>
        <v/>
      </c>
      <c r="X453">
        <f>HYPERLINK("https://klasma.github.io/Logging_2281/tillsyn/A 49231-2018 tillsyn.docx", "A 49231-2018")</f>
        <v/>
      </c>
      <c r="Y453">
        <f>HYPERLINK("https://klasma.github.io/Logging_2281/tillsynsmail/A 49231-2018 tillsynsmail.docx", "A 49231-2018")</f>
        <v/>
      </c>
    </row>
    <row r="454" ht="15" customHeight="1">
      <c r="A454" t="inlineStr">
        <is>
          <t>A 51889-2018</t>
        </is>
      </c>
      <c r="B454" s="1" t="n">
        <v>43385</v>
      </c>
      <c r="C454" s="1" t="n">
        <v>45212</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 artfynd.xlsx", "A 51889-2018")</f>
        <v/>
      </c>
      <c r="T454">
        <f>HYPERLINK("https://klasma.github.io/Logging_2284/karta/A 51889-2018 karta.png", "A 51889-2018")</f>
        <v/>
      </c>
      <c r="V454">
        <f>HYPERLINK("https://klasma.github.io/Logging_2284/klagomål/A 51889-2018 klagomål.docx", "A 51889-2018")</f>
        <v/>
      </c>
      <c r="W454">
        <f>HYPERLINK("https://klasma.github.io/Logging_2284/klagomålsmail/A 51889-2018 klagomålsmail.docx", "A 51889-2018")</f>
        <v/>
      </c>
      <c r="X454">
        <f>HYPERLINK("https://klasma.github.io/Logging_2284/tillsyn/A 51889-2018 tillsyn.docx", "A 51889-2018")</f>
        <v/>
      </c>
      <c r="Y454">
        <f>HYPERLINK("https://klasma.github.io/Logging_2284/tillsynsmail/A 51889-2018 tillsynsmail.docx", "A 51889-2018")</f>
        <v/>
      </c>
    </row>
    <row r="455" ht="15" customHeight="1">
      <c r="A455" t="inlineStr">
        <is>
          <t>A 58580-2018</t>
        </is>
      </c>
      <c r="B455" s="1" t="n">
        <v>43409</v>
      </c>
      <c r="C455" s="1" t="n">
        <v>45212</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 artfynd.xlsx", "A 58580-2018")</f>
        <v/>
      </c>
      <c r="T455">
        <f>HYPERLINK("https://klasma.github.io/Logging_2283/karta/A 58580-2018 karta.png", "A 58580-2018")</f>
        <v/>
      </c>
      <c r="V455">
        <f>HYPERLINK("https://klasma.github.io/Logging_2283/klagomål/A 58580-2018 klagomål.docx", "A 58580-2018")</f>
        <v/>
      </c>
      <c r="W455">
        <f>HYPERLINK("https://klasma.github.io/Logging_2283/klagomålsmail/A 58580-2018 klagomålsmail.docx", "A 58580-2018")</f>
        <v/>
      </c>
      <c r="X455">
        <f>HYPERLINK("https://klasma.github.io/Logging_2283/tillsyn/A 58580-2018 tillsyn.docx", "A 58580-2018")</f>
        <v/>
      </c>
      <c r="Y455">
        <f>HYPERLINK("https://klasma.github.io/Logging_2283/tillsynsmail/A 58580-2018 tillsynsmail.docx", "A 58580-2018")</f>
        <v/>
      </c>
    </row>
    <row r="456" ht="15" customHeight="1">
      <c r="A456" t="inlineStr">
        <is>
          <t>A 58559-2018</t>
        </is>
      </c>
      <c r="B456" s="1" t="n">
        <v>43409</v>
      </c>
      <c r="C456" s="1" t="n">
        <v>45212</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 artfynd.xlsx", "A 58559-2018")</f>
        <v/>
      </c>
      <c r="T456">
        <f>HYPERLINK("https://klasma.github.io/Logging_2260/karta/A 58559-2018 karta.png", "A 58559-2018")</f>
        <v/>
      </c>
      <c r="V456">
        <f>HYPERLINK("https://klasma.github.io/Logging_2260/klagomål/A 58559-2018 klagomål.docx", "A 58559-2018")</f>
        <v/>
      </c>
      <c r="W456">
        <f>HYPERLINK("https://klasma.github.io/Logging_2260/klagomålsmail/A 58559-2018 klagomålsmail.docx", "A 58559-2018")</f>
        <v/>
      </c>
      <c r="X456">
        <f>HYPERLINK("https://klasma.github.io/Logging_2260/tillsyn/A 58559-2018 tillsyn.docx", "A 58559-2018")</f>
        <v/>
      </c>
      <c r="Y456">
        <f>HYPERLINK("https://klasma.github.io/Logging_2260/tillsynsmail/A 58559-2018 tillsynsmail.docx", "A 58559-2018")</f>
        <v/>
      </c>
    </row>
    <row r="457" ht="15" customHeight="1">
      <c r="A457" t="inlineStr">
        <is>
          <t>A 60181-2018</t>
        </is>
      </c>
      <c r="B457" s="1" t="n">
        <v>43412</v>
      </c>
      <c r="C457" s="1" t="n">
        <v>45212</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 artfynd.xlsx", "A 60181-2018")</f>
        <v/>
      </c>
      <c r="T457">
        <f>HYPERLINK("https://klasma.github.io/Logging_2281/karta/A 60181-2018 karta.png", "A 60181-2018")</f>
        <v/>
      </c>
      <c r="V457">
        <f>HYPERLINK("https://klasma.github.io/Logging_2281/klagomål/A 60181-2018 klagomål.docx", "A 60181-2018")</f>
        <v/>
      </c>
      <c r="W457">
        <f>HYPERLINK("https://klasma.github.io/Logging_2281/klagomålsmail/A 60181-2018 klagomålsmail.docx", "A 60181-2018")</f>
        <v/>
      </c>
      <c r="X457">
        <f>HYPERLINK("https://klasma.github.io/Logging_2281/tillsyn/A 60181-2018 tillsyn.docx", "A 60181-2018")</f>
        <v/>
      </c>
      <c r="Y457">
        <f>HYPERLINK("https://klasma.github.io/Logging_2281/tillsynsmail/A 60181-2018 tillsynsmail.docx", "A 60181-2018")</f>
        <v/>
      </c>
    </row>
    <row r="458" ht="15" customHeight="1">
      <c r="A458" t="inlineStr">
        <is>
          <t>A 71019-2018</t>
        </is>
      </c>
      <c r="B458" s="1" t="n">
        <v>43451</v>
      </c>
      <c r="C458" s="1" t="n">
        <v>45212</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 artfynd.xlsx", "A 71019-2018")</f>
        <v/>
      </c>
      <c r="T458">
        <f>HYPERLINK("https://klasma.github.io/Logging_2283/karta/A 71019-2018 karta.png", "A 71019-2018")</f>
        <v/>
      </c>
      <c r="V458">
        <f>HYPERLINK("https://klasma.github.io/Logging_2283/klagomål/A 71019-2018 klagomål.docx", "A 71019-2018")</f>
        <v/>
      </c>
      <c r="W458">
        <f>HYPERLINK("https://klasma.github.io/Logging_2283/klagomålsmail/A 71019-2018 klagomålsmail.docx", "A 71019-2018")</f>
        <v/>
      </c>
      <c r="X458">
        <f>HYPERLINK("https://klasma.github.io/Logging_2283/tillsyn/A 71019-2018 tillsyn.docx", "A 71019-2018")</f>
        <v/>
      </c>
      <c r="Y458">
        <f>HYPERLINK("https://klasma.github.io/Logging_2283/tillsynsmail/A 71019-2018 tillsynsmail.docx", "A 71019-2018")</f>
        <v/>
      </c>
    </row>
    <row r="459" ht="15" customHeight="1">
      <c r="A459" t="inlineStr">
        <is>
          <t>A 70806-2018</t>
        </is>
      </c>
      <c r="B459" s="1" t="n">
        <v>43451</v>
      </c>
      <c r="C459" s="1" t="n">
        <v>45212</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 artfynd.xlsx", "A 70806-2018")</f>
        <v/>
      </c>
      <c r="T459">
        <f>HYPERLINK("https://klasma.github.io/Logging_2283/karta/A 70806-2018 karta.png", "A 70806-2018")</f>
        <v/>
      </c>
      <c r="V459">
        <f>HYPERLINK("https://klasma.github.io/Logging_2283/klagomål/A 70806-2018 klagomål.docx", "A 70806-2018")</f>
        <v/>
      </c>
      <c r="W459">
        <f>HYPERLINK("https://klasma.github.io/Logging_2283/klagomålsmail/A 70806-2018 klagomålsmail.docx", "A 70806-2018")</f>
        <v/>
      </c>
      <c r="X459">
        <f>HYPERLINK("https://klasma.github.io/Logging_2283/tillsyn/A 70806-2018 tillsyn.docx", "A 70806-2018")</f>
        <v/>
      </c>
      <c r="Y459">
        <f>HYPERLINK("https://klasma.github.io/Logging_2283/tillsynsmail/A 70806-2018 tillsynsmail.docx", "A 70806-2018")</f>
        <v/>
      </c>
    </row>
    <row r="460" ht="15" customHeight="1">
      <c r="A460" t="inlineStr">
        <is>
          <t>A 71738-2018</t>
        </is>
      </c>
      <c r="B460" s="1" t="n">
        <v>43454</v>
      </c>
      <c r="C460" s="1" t="n">
        <v>45212</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 artfynd.xlsx", "A 71738-2018")</f>
        <v/>
      </c>
      <c r="T460">
        <f>HYPERLINK("https://klasma.github.io/Logging_2284/karta/A 71738-2018 karta.png", "A 71738-2018")</f>
        <v/>
      </c>
      <c r="V460">
        <f>HYPERLINK("https://klasma.github.io/Logging_2284/klagomål/A 71738-2018 klagomål.docx", "A 71738-2018")</f>
        <v/>
      </c>
      <c r="W460">
        <f>HYPERLINK("https://klasma.github.io/Logging_2284/klagomålsmail/A 71738-2018 klagomålsmail.docx", "A 71738-2018")</f>
        <v/>
      </c>
      <c r="X460">
        <f>HYPERLINK("https://klasma.github.io/Logging_2284/tillsyn/A 71738-2018 tillsyn.docx", "A 71738-2018")</f>
        <v/>
      </c>
      <c r="Y460">
        <f>HYPERLINK("https://klasma.github.io/Logging_2284/tillsynsmail/A 71738-2018 tillsynsmail.docx", "A 71738-2018")</f>
        <v/>
      </c>
    </row>
    <row r="461" ht="15" customHeight="1">
      <c r="A461" t="inlineStr">
        <is>
          <t>A 1191-2019</t>
        </is>
      </c>
      <c r="B461" s="1" t="n">
        <v>43473</v>
      </c>
      <c r="C461" s="1" t="n">
        <v>45212</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 artfynd.xlsx", "A 1191-2019")</f>
        <v/>
      </c>
      <c r="T461">
        <f>HYPERLINK("https://klasma.github.io/Logging_2281/karta/A 1191-2019 karta.png", "A 1191-2019")</f>
        <v/>
      </c>
      <c r="V461">
        <f>HYPERLINK("https://klasma.github.io/Logging_2281/klagomål/A 1191-2019 klagomål.docx", "A 1191-2019")</f>
        <v/>
      </c>
      <c r="W461">
        <f>HYPERLINK("https://klasma.github.io/Logging_2281/klagomålsmail/A 1191-2019 klagomålsmail.docx", "A 1191-2019")</f>
        <v/>
      </c>
      <c r="X461">
        <f>HYPERLINK("https://klasma.github.io/Logging_2281/tillsyn/A 1191-2019 tillsyn.docx", "A 1191-2019")</f>
        <v/>
      </c>
      <c r="Y461">
        <f>HYPERLINK("https://klasma.github.io/Logging_2281/tillsynsmail/A 1191-2019 tillsynsmail.docx", "A 1191-2019")</f>
        <v/>
      </c>
    </row>
    <row r="462" ht="15" customHeight="1">
      <c r="A462" t="inlineStr">
        <is>
          <t>A 4918-2019</t>
        </is>
      </c>
      <c r="B462" s="1" t="n">
        <v>43479</v>
      </c>
      <c r="C462" s="1" t="n">
        <v>45212</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 artfynd.xlsx", "A 4918-2019")</f>
        <v/>
      </c>
      <c r="T462">
        <f>HYPERLINK("https://klasma.github.io/Logging_2281/karta/A 4918-2019 karta.png", "A 4918-2019")</f>
        <v/>
      </c>
      <c r="V462">
        <f>HYPERLINK("https://klasma.github.io/Logging_2281/klagomål/A 4918-2019 klagomål.docx", "A 4918-2019")</f>
        <v/>
      </c>
      <c r="W462">
        <f>HYPERLINK("https://klasma.github.io/Logging_2281/klagomålsmail/A 4918-2019 klagomålsmail.docx", "A 4918-2019")</f>
        <v/>
      </c>
      <c r="X462">
        <f>HYPERLINK("https://klasma.github.io/Logging_2281/tillsyn/A 4918-2019 tillsyn.docx", "A 4918-2019")</f>
        <v/>
      </c>
      <c r="Y462">
        <f>HYPERLINK("https://klasma.github.io/Logging_2281/tillsynsmail/A 4918-2019 tillsynsmail.docx", "A 4918-2019")</f>
        <v/>
      </c>
    </row>
    <row r="463" ht="15" customHeight="1">
      <c r="A463" t="inlineStr">
        <is>
          <t>A 4951-2019</t>
        </is>
      </c>
      <c r="B463" s="1" t="n">
        <v>43479</v>
      </c>
      <c r="C463" s="1" t="n">
        <v>45212</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 artfynd.xlsx", "A 4951-2019")</f>
        <v/>
      </c>
      <c r="T463">
        <f>HYPERLINK("https://klasma.github.io/Logging_2260/karta/A 4951-2019 karta.png", "A 4951-2019")</f>
        <v/>
      </c>
      <c r="V463">
        <f>HYPERLINK("https://klasma.github.io/Logging_2260/klagomål/A 4951-2019 klagomål.docx", "A 4951-2019")</f>
        <v/>
      </c>
      <c r="W463">
        <f>HYPERLINK("https://klasma.github.io/Logging_2260/klagomålsmail/A 4951-2019 klagomålsmail.docx", "A 4951-2019")</f>
        <v/>
      </c>
      <c r="X463">
        <f>HYPERLINK("https://klasma.github.io/Logging_2260/tillsyn/A 4951-2019 tillsyn.docx", "A 4951-2019")</f>
        <v/>
      </c>
      <c r="Y463">
        <f>HYPERLINK("https://klasma.github.io/Logging_2260/tillsynsmail/A 4951-2019 tillsynsmail.docx", "A 4951-2019")</f>
        <v/>
      </c>
    </row>
    <row r="464" ht="15" customHeight="1">
      <c r="A464" t="inlineStr">
        <is>
          <t>A 3779-2019</t>
        </is>
      </c>
      <c r="B464" s="1" t="n">
        <v>43481</v>
      </c>
      <c r="C464" s="1" t="n">
        <v>45212</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 artfynd.xlsx", "A 3779-2019")</f>
        <v/>
      </c>
      <c r="T464">
        <f>HYPERLINK("https://klasma.github.io/Logging_2283/karta/A 3779-2019 karta.png", "A 3779-2019")</f>
        <v/>
      </c>
      <c r="V464">
        <f>HYPERLINK("https://klasma.github.io/Logging_2283/klagomål/A 3779-2019 klagomål.docx", "A 3779-2019")</f>
        <v/>
      </c>
      <c r="W464">
        <f>HYPERLINK("https://klasma.github.io/Logging_2283/klagomålsmail/A 3779-2019 klagomålsmail.docx", "A 3779-2019")</f>
        <v/>
      </c>
      <c r="X464">
        <f>HYPERLINK("https://klasma.github.io/Logging_2283/tillsyn/A 3779-2019 tillsyn.docx", "A 3779-2019")</f>
        <v/>
      </c>
      <c r="Y464">
        <f>HYPERLINK("https://klasma.github.io/Logging_2283/tillsynsmail/A 3779-2019 tillsynsmail.docx", "A 3779-2019")</f>
        <v/>
      </c>
    </row>
    <row r="465" ht="15" customHeight="1">
      <c r="A465" t="inlineStr">
        <is>
          <t>A 5443-2019</t>
        </is>
      </c>
      <c r="B465" s="1" t="n">
        <v>43481</v>
      </c>
      <c r="C465" s="1" t="n">
        <v>45212</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 artfynd.xlsx", "A 5443-2019")</f>
        <v/>
      </c>
      <c r="T465">
        <f>HYPERLINK("https://klasma.github.io/Logging_2284/karta/A 5443-2019 karta.png", "A 5443-2019")</f>
        <v/>
      </c>
      <c r="V465">
        <f>HYPERLINK("https://klasma.github.io/Logging_2284/klagomål/A 5443-2019 klagomål.docx", "A 5443-2019")</f>
        <v/>
      </c>
      <c r="W465">
        <f>HYPERLINK("https://klasma.github.io/Logging_2284/klagomålsmail/A 5443-2019 klagomålsmail.docx", "A 5443-2019")</f>
        <v/>
      </c>
      <c r="X465">
        <f>HYPERLINK("https://klasma.github.io/Logging_2284/tillsyn/A 5443-2019 tillsyn.docx", "A 5443-2019")</f>
        <v/>
      </c>
      <c r="Y465">
        <f>HYPERLINK("https://klasma.github.io/Logging_2284/tillsynsmail/A 5443-2019 tillsynsmail.docx", "A 5443-2019")</f>
        <v/>
      </c>
    </row>
    <row r="466" ht="15" customHeight="1">
      <c r="A466" t="inlineStr">
        <is>
          <t>A 4339-2019</t>
        </is>
      </c>
      <c r="B466" s="1" t="n">
        <v>43483</v>
      </c>
      <c r="C466" s="1" t="n">
        <v>45212</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 artfynd.xlsx", "A 4339-2019")</f>
        <v/>
      </c>
      <c r="T466">
        <f>HYPERLINK("https://klasma.github.io/Logging_2284/karta/A 4339-2019 karta.png", "A 4339-2019")</f>
        <v/>
      </c>
      <c r="V466">
        <f>HYPERLINK("https://klasma.github.io/Logging_2284/klagomål/A 4339-2019 klagomål.docx", "A 4339-2019")</f>
        <v/>
      </c>
      <c r="W466">
        <f>HYPERLINK("https://klasma.github.io/Logging_2284/klagomålsmail/A 4339-2019 klagomålsmail.docx", "A 4339-2019")</f>
        <v/>
      </c>
      <c r="X466">
        <f>HYPERLINK("https://klasma.github.io/Logging_2284/tillsyn/A 4339-2019 tillsyn.docx", "A 4339-2019")</f>
        <v/>
      </c>
      <c r="Y466">
        <f>HYPERLINK("https://klasma.github.io/Logging_2284/tillsynsmail/A 4339-2019 tillsynsmail.docx", "A 4339-2019")</f>
        <v/>
      </c>
    </row>
    <row r="467" ht="15" customHeight="1">
      <c r="A467" t="inlineStr">
        <is>
          <t>A 8476-2019</t>
        </is>
      </c>
      <c r="B467" s="1" t="n">
        <v>43497</v>
      </c>
      <c r="C467" s="1" t="n">
        <v>45212</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 artfynd.xlsx", "A 8476-2019")</f>
        <v/>
      </c>
      <c r="T467">
        <f>HYPERLINK("https://klasma.github.io/Logging_2283/karta/A 8476-2019 karta.png", "A 8476-2019")</f>
        <v/>
      </c>
      <c r="V467">
        <f>HYPERLINK("https://klasma.github.io/Logging_2283/klagomål/A 8476-2019 klagomål.docx", "A 8476-2019")</f>
        <v/>
      </c>
      <c r="W467">
        <f>HYPERLINK("https://klasma.github.io/Logging_2283/klagomålsmail/A 8476-2019 klagomålsmail.docx", "A 8476-2019")</f>
        <v/>
      </c>
      <c r="X467">
        <f>HYPERLINK("https://klasma.github.io/Logging_2283/tillsyn/A 8476-2019 tillsyn.docx", "A 8476-2019")</f>
        <v/>
      </c>
      <c r="Y467">
        <f>HYPERLINK("https://klasma.github.io/Logging_2283/tillsynsmail/A 8476-2019 tillsynsmail.docx", "A 8476-2019")</f>
        <v/>
      </c>
    </row>
    <row r="468" ht="15" customHeight="1">
      <c r="A468" t="inlineStr">
        <is>
          <t>A 16838-2019</t>
        </is>
      </c>
      <c r="B468" s="1" t="n">
        <v>43549</v>
      </c>
      <c r="C468" s="1" t="n">
        <v>45212</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 artfynd.xlsx", "A 16838-2019")</f>
        <v/>
      </c>
      <c r="T468">
        <f>HYPERLINK("https://klasma.github.io/Logging_2283/karta/A 16838-2019 karta.png", "A 16838-2019")</f>
        <v/>
      </c>
      <c r="V468">
        <f>HYPERLINK("https://klasma.github.io/Logging_2283/klagomål/A 16838-2019 klagomål.docx", "A 16838-2019")</f>
        <v/>
      </c>
      <c r="W468">
        <f>HYPERLINK("https://klasma.github.io/Logging_2283/klagomålsmail/A 16838-2019 klagomålsmail.docx", "A 16838-2019")</f>
        <v/>
      </c>
      <c r="X468">
        <f>HYPERLINK("https://klasma.github.io/Logging_2283/tillsyn/A 16838-2019 tillsyn.docx", "A 16838-2019")</f>
        <v/>
      </c>
      <c r="Y468">
        <f>HYPERLINK("https://klasma.github.io/Logging_2283/tillsynsmail/A 16838-2019 tillsynsmail.docx", "A 16838-2019")</f>
        <v/>
      </c>
    </row>
    <row r="469" ht="15" customHeight="1">
      <c r="A469" t="inlineStr">
        <is>
          <t>A 16852-2019</t>
        </is>
      </c>
      <c r="B469" s="1" t="n">
        <v>43549</v>
      </c>
      <c r="C469" s="1" t="n">
        <v>45212</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 artfynd.xlsx", "A 16852-2019")</f>
        <v/>
      </c>
      <c r="T469">
        <f>HYPERLINK("https://klasma.github.io/Logging_2262/karta/A 16852-2019 karta.png", "A 16852-2019")</f>
        <v/>
      </c>
      <c r="V469">
        <f>HYPERLINK("https://klasma.github.io/Logging_2262/klagomål/A 16852-2019 klagomål.docx", "A 16852-2019")</f>
        <v/>
      </c>
      <c r="W469">
        <f>HYPERLINK("https://klasma.github.io/Logging_2262/klagomålsmail/A 16852-2019 klagomålsmail.docx", "A 16852-2019")</f>
        <v/>
      </c>
      <c r="X469">
        <f>HYPERLINK("https://klasma.github.io/Logging_2262/tillsyn/A 16852-2019 tillsyn.docx", "A 16852-2019")</f>
        <v/>
      </c>
      <c r="Y469">
        <f>HYPERLINK("https://klasma.github.io/Logging_2262/tillsynsmail/A 16852-2019 tillsynsmail.docx", "A 16852-2019")</f>
        <v/>
      </c>
    </row>
    <row r="470" ht="15" customHeight="1">
      <c r="A470" t="inlineStr">
        <is>
          <t>A 16858-2019</t>
        </is>
      </c>
      <c r="B470" s="1" t="n">
        <v>43549</v>
      </c>
      <c r="C470" s="1" t="n">
        <v>45212</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 artfynd.xlsx", "A 16858-2019")</f>
        <v/>
      </c>
      <c r="T470">
        <f>HYPERLINK("https://klasma.github.io/Logging_2262/karta/A 16858-2019 karta.png", "A 16858-2019")</f>
        <v/>
      </c>
      <c r="V470">
        <f>HYPERLINK("https://klasma.github.io/Logging_2262/klagomål/A 16858-2019 klagomål.docx", "A 16858-2019")</f>
        <v/>
      </c>
      <c r="W470">
        <f>HYPERLINK("https://klasma.github.io/Logging_2262/klagomålsmail/A 16858-2019 klagomålsmail.docx", "A 16858-2019")</f>
        <v/>
      </c>
      <c r="X470">
        <f>HYPERLINK("https://klasma.github.io/Logging_2262/tillsyn/A 16858-2019 tillsyn.docx", "A 16858-2019")</f>
        <v/>
      </c>
      <c r="Y470">
        <f>HYPERLINK("https://klasma.github.io/Logging_2262/tillsynsmail/A 16858-2019 tillsynsmail.docx", "A 16858-2019")</f>
        <v/>
      </c>
    </row>
    <row r="471" ht="15" customHeight="1">
      <c r="A471" t="inlineStr">
        <is>
          <t>A 16864-2019</t>
        </is>
      </c>
      <c r="B471" s="1" t="n">
        <v>43549</v>
      </c>
      <c r="C471" s="1" t="n">
        <v>45212</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 artfynd.xlsx", "A 16864-2019")</f>
        <v/>
      </c>
      <c r="T471">
        <f>HYPERLINK("https://klasma.github.io/Logging_2260/karta/A 16864-2019 karta.png", "A 16864-2019")</f>
        <v/>
      </c>
      <c r="V471">
        <f>HYPERLINK("https://klasma.github.io/Logging_2260/klagomål/A 16864-2019 klagomål.docx", "A 16864-2019")</f>
        <v/>
      </c>
      <c r="W471">
        <f>HYPERLINK("https://klasma.github.io/Logging_2260/klagomålsmail/A 16864-2019 klagomålsmail.docx", "A 16864-2019")</f>
        <v/>
      </c>
      <c r="X471">
        <f>HYPERLINK("https://klasma.github.io/Logging_2260/tillsyn/A 16864-2019 tillsyn.docx", "A 16864-2019")</f>
        <v/>
      </c>
      <c r="Y471">
        <f>HYPERLINK("https://klasma.github.io/Logging_2260/tillsynsmail/A 16864-2019 tillsynsmail.docx", "A 16864-2019")</f>
        <v/>
      </c>
    </row>
    <row r="472" ht="15" customHeight="1">
      <c r="A472" t="inlineStr">
        <is>
          <t>A 21120-2019</t>
        </is>
      </c>
      <c r="B472" s="1" t="n">
        <v>43578</v>
      </c>
      <c r="C472" s="1" t="n">
        <v>45212</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 artfynd.xlsx", "A 21120-2019")</f>
        <v/>
      </c>
      <c r="T472">
        <f>HYPERLINK("https://klasma.github.io/Logging_2283/karta/A 21120-2019 karta.png", "A 21120-2019")</f>
        <v/>
      </c>
      <c r="V472">
        <f>HYPERLINK("https://klasma.github.io/Logging_2283/klagomål/A 21120-2019 klagomål.docx", "A 21120-2019")</f>
        <v/>
      </c>
      <c r="W472">
        <f>HYPERLINK("https://klasma.github.io/Logging_2283/klagomålsmail/A 21120-2019 klagomålsmail.docx", "A 21120-2019")</f>
        <v/>
      </c>
      <c r="X472">
        <f>HYPERLINK("https://klasma.github.io/Logging_2283/tillsyn/A 21120-2019 tillsyn.docx", "A 21120-2019")</f>
        <v/>
      </c>
      <c r="Y472">
        <f>HYPERLINK("https://klasma.github.io/Logging_2283/tillsynsmail/A 21120-2019 tillsynsmail.docx", "A 21120-2019")</f>
        <v/>
      </c>
    </row>
    <row r="473" ht="15" customHeight="1">
      <c r="A473" t="inlineStr">
        <is>
          <t>A 27216-2019</t>
        </is>
      </c>
      <c r="B473" s="1" t="n">
        <v>43614</v>
      </c>
      <c r="C473" s="1" t="n">
        <v>45212</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 artfynd.xlsx", "A 27216-2019")</f>
        <v/>
      </c>
      <c r="T473">
        <f>HYPERLINK("https://klasma.github.io/Logging_2281/karta/A 27216-2019 karta.png", "A 27216-2019")</f>
        <v/>
      </c>
      <c r="V473">
        <f>HYPERLINK("https://klasma.github.io/Logging_2281/klagomål/A 27216-2019 klagomål.docx", "A 27216-2019")</f>
        <v/>
      </c>
      <c r="W473">
        <f>HYPERLINK("https://klasma.github.io/Logging_2281/klagomålsmail/A 27216-2019 klagomålsmail.docx", "A 27216-2019")</f>
        <v/>
      </c>
      <c r="X473">
        <f>HYPERLINK("https://klasma.github.io/Logging_2281/tillsyn/A 27216-2019 tillsyn.docx", "A 27216-2019")</f>
        <v/>
      </c>
      <c r="Y473">
        <f>HYPERLINK("https://klasma.github.io/Logging_2281/tillsynsmail/A 27216-2019 tillsynsmail.docx", "A 27216-2019")</f>
        <v/>
      </c>
    </row>
    <row r="474" ht="15" customHeight="1">
      <c r="A474" t="inlineStr">
        <is>
          <t>A 28600-2019</t>
        </is>
      </c>
      <c r="B474" s="1" t="n">
        <v>43626</v>
      </c>
      <c r="C474" s="1" t="n">
        <v>45212</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 artfynd.xlsx", "A 28600-2019")</f>
        <v/>
      </c>
      <c r="T474">
        <f>HYPERLINK("https://klasma.github.io/Logging_2283/karta/A 28600-2019 karta.png", "A 28600-2019")</f>
        <v/>
      </c>
      <c r="V474">
        <f>HYPERLINK("https://klasma.github.io/Logging_2283/klagomål/A 28600-2019 klagomål.docx", "A 28600-2019")</f>
        <v/>
      </c>
      <c r="W474">
        <f>HYPERLINK("https://klasma.github.io/Logging_2283/klagomålsmail/A 28600-2019 klagomålsmail.docx", "A 28600-2019")</f>
        <v/>
      </c>
      <c r="X474">
        <f>HYPERLINK("https://klasma.github.io/Logging_2283/tillsyn/A 28600-2019 tillsyn.docx", "A 28600-2019")</f>
        <v/>
      </c>
      <c r="Y474">
        <f>HYPERLINK("https://klasma.github.io/Logging_2283/tillsynsmail/A 28600-2019 tillsynsmail.docx", "A 28600-2019")</f>
        <v/>
      </c>
    </row>
    <row r="475" ht="15" customHeight="1">
      <c r="A475" t="inlineStr">
        <is>
          <t>A 36982-2019</t>
        </is>
      </c>
      <c r="B475" s="1" t="n">
        <v>43676</v>
      </c>
      <c r="C475" s="1" t="n">
        <v>45212</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 artfynd.xlsx", "A 36982-2019")</f>
        <v/>
      </c>
      <c r="T475">
        <f>HYPERLINK("https://klasma.github.io/Logging_2283/karta/A 36982-2019 karta.png", "A 36982-2019")</f>
        <v/>
      </c>
      <c r="V475">
        <f>HYPERLINK("https://klasma.github.io/Logging_2283/klagomål/A 36982-2019 klagomål.docx", "A 36982-2019")</f>
        <v/>
      </c>
      <c r="W475">
        <f>HYPERLINK("https://klasma.github.io/Logging_2283/klagomålsmail/A 36982-2019 klagomålsmail.docx", "A 36982-2019")</f>
        <v/>
      </c>
      <c r="X475">
        <f>HYPERLINK("https://klasma.github.io/Logging_2283/tillsyn/A 36982-2019 tillsyn.docx", "A 36982-2019")</f>
        <v/>
      </c>
      <c r="Y475">
        <f>HYPERLINK("https://klasma.github.io/Logging_2283/tillsynsmail/A 36982-2019 tillsynsmail.docx", "A 36982-2019")</f>
        <v/>
      </c>
    </row>
    <row r="476" ht="15" customHeight="1">
      <c r="A476" t="inlineStr">
        <is>
          <t>A 38091-2019</t>
        </is>
      </c>
      <c r="B476" s="1" t="n">
        <v>43682</v>
      </c>
      <c r="C476" s="1" t="n">
        <v>45212</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 artfynd.xlsx", "A 38091-2019")</f>
        <v/>
      </c>
      <c r="T476">
        <f>HYPERLINK("https://klasma.github.io/Logging_2283/karta/A 38091-2019 karta.png", "A 38091-2019")</f>
        <v/>
      </c>
      <c r="V476">
        <f>HYPERLINK("https://klasma.github.io/Logging_2283/klagomål/A 38091-2019 klagomål.docx", "A 38091-2019")</f>
        <v/>
      </c>
      <c r="W476">
        <f>HYPERLINK("https://klasma.github.io/Logging_2283/klagomålsmail/A 38091-2019 klagomålsmail.docx", "A 38091-2019")</f>
        <v/>
      </c>
      <c r="X476">
        <f>HYPERLINK("https://klasma.github.io/Logging_2283/tillsyn/A 38091-2019 tillsyn.docx", "A 38091-2019")</f>
        <v/>
      </c>
      <c r="Y476">
        <f>HYPERLINK("https://klasma.github.io/Logging_2283/tillsynsmail/A 38091-2019 tillsynsmail.docx", "A 38091-2019")</f>
        <v/>
      </c>
    </row>
    <row r="477" ht="15" customHeight="1">
      <c r="A477" t="inlineStr">
        <is>
          <t>A 44607-2019</t>
        </is>
      </c>
      <c r="B477" s="1" t="n">
        <v>43711</v>
      </c>
      <c r="C477" s="1" t="n">
        <v>45212</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 artfynd.xlsx", "A 44607-2019")</f>
        <v/>
      </c>
      <c r="T477">
        <f>HYPERLINK("https://klasma.github.io/Logging_2281/karta/A 44607-2019 karta.png", "A 44607-2019")</f>
        <v/>
      </c>
      <c r="V477">
        <f>HYPERLINK("https://klasma.github.io/Logging_2281/klagomål/A 44607-2019 klagomål.docx", "A 44607-2019")</f>
        <v/>
      </c>
      <c r="W477">
        <f>HYPERLINK("https://klasma.github.io/Logging_2281/klagomålsmail/A 44607-2019 klagomålsmail.docx", "A 44607-2019")</f>
        <v/>
      </c>
      <c r="X477">
        <f>HYPERLINK("https://klasma.github.io/Logging_2281/tillsyn/A 44607-2019 tillsyn.docx", "A 44607-2019")</f>
        <v/>
      </c>
      <c r="Y477">
        <f>HYPERLINK("https://klasma.github.io/Logging_2281/tillsynsmail/A 44607-2019 tillsynsmail.docx", "A 44607-2019")</f>
        <v/>
      </c>
    </row>
    <row r="478" ht="15" customHeight="1">
      <c r="A478" t="inlineStr">
        <is>
          <t>A 44732-2019</t>
        </is>
      </c>
      <c r="B478" s="1" t="n">
        <v>43712</v>
      </c>
      <c r="C478" s="1" t="n">
        <v>45212</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 artfynd.xlsx", "A 44732-2019")</f>
        <v/>
      </c>
      <c r="T478">
        <f>HYPERLINK("https://klasma.github.io/Logging_2284/karta/A 44732-2019 karta.png", "A 44732-2019")</f>
        <v/>
      </c>
      <c r="V478">
        <f>HYPERLINK("https://klasma.github.io/Logging_2284/klagomål/A 44732-2019 klagomål.docx", "A 44732-2019")</f>
        <v/>
      </c>
      <c r="W478">
        <f>HYPERLINK("https://klasma.github.io/Logging_2284/klagomålsmail/A 44732-2019 klagomålsmail.docx", "A 44732-2019")</f>
        <v/>
      </c>
      <c r="X478">
        <f>HYPERLINK("https://klasma.github.io/Logging_2284/tillsyn/A 44732-2019 tillsyn.docx", "A 44732-2019")</f>
        <v/>
      </c>
      <c r="Y478">
        <f>HYPERLINK("https://klasma.github.io/Logging_2284/tillsynsmail/A 44732-2019 tillsynsmail.docx", "A 44732-2019")</f>
        <v/>
      </c>
    </row>
    <row r="479" ht="15" customHeight="1">
      <c r="A479" t="inlineStr">
        <is>
          <t>A 51669-2019</t>
        </is>
      </c>
      <c r="B479" s="1" t="n">
        <v>43740</v>
      </c>
      <c r="C479" s="1" t="n">
        <v>45212</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 artfynd.xlsx", "A 51669-2019")</f>
        <v/>
      </c>
      <c r="T479">
        <f>HYPERLINK("https://klasma.github.io/Logging_2283/karta/A 51669-2019 karta.png", "A 51669-2019")</f>
        <v/>
      </c>
      <c r="V479">
        <f>HYPERLINK("https://klasma.github.io/Logging_2283/klagomål/A 51669-2019 klagomål.docx", "A 51669-2019")</f>
        <v/>
      </c>
      <c r="W479">
        <f>HYPERLINK("https://klasma.github.io/Logging_2283/klagomålsmail/A 51669-2019 klagomålsmail.docx", "A 51669-2019")</f>
        <v/>
      </c>
      <c r="X479">
        <f>HYPERLINK("https://klasma.github.io/Logging_2283/tillsyn/A 51669-2019 tillsyn.docx", "A 51669-2019")</f>
        <v/>
      </c>
      <c r="Y479">
        <f>HYPERLINK("https://klasma.github.io/Logging_2283/tillsynsmail/A 51669-2019 tillsynsmail.docx", "A 51669-2019")</f>
        <v/>
      </c>
    </row>
    <row r="480" ht="15" customHeight="1">
      <c r="A480" t="inlineStr">
        <is>
          <t>A 54148-2019</t>
        </is>
      </c>
      <c r="B480" s="1" t="n">
        <v>43753</v>
      </c>
      <c r="C480" s="1" t="n">
        <v>45212</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 artfynd.xlsx", "A 54148-2019")</f>
        <v/>
      </c>
      <c r="T480">
        <f>HYPERLINK("https://klasma.github.io/Logging_2284/karta/A 54148-2019 karta.png", "A 54148-2019")</f>
        <v/>
      </c>
      <c r="V480">
        <f>HYPERLINK("https://klasma.github.io/Logging_2284/klagomål/A 54148-2019 klagomål.docx", "A 54148-2019")</f>
        <v/>
      </c>
      <c r="W480">
        <f>HYPERLINK("https://klasma.github.io/Logging_2284/klagomålsmail/A 54148-2019 klagomålsmail.docx", "A 54148-2019")</f>
        <v/>
      </c>
      <c r="X480">
        <f>HYPERLINK("https://klasma.github.io/Logging_2284/tillsyn/A 54148-2019 tillsyn.docx", "A 54148-2019")</f>
        <v/>
      </c>
      <c r="Y480">
        <f>HYPERLINK("https://klasma.github.io/Logging_2284/tillsynsmail/A 54148-2019 tillsynsmail.docx", "A 54148-2019")</f>
        <v/>
      </c>
    </row>
    <row r="481" ht="15" customHeight="1">
      <c r="A481" t="inlineStr">
        <is>
          <t>A 55307-2019</t>
        </is>
      </c>
      <c r="B481" s="1" t="n">
        <v>43756</v>
      </c>
      <c r="C481" s="1" t="n">
        <v>45212</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 artfynd.xlsx", "A 55307-2019")</f>
        <v/>
      </c>
      <c r="T481">
        <f>HYPERLINK("https://klasma.github.io/Logging_2284/karta/A 55307-2019 karta.png", "A 55307-2019")</f>
        <v/>
      </c>
      <c r="V481">
        <f>HYPERLINK("https://klasma.github.io/Logging_2284/klagomål/A 55307-2019 klagomål.docx", "A 55307-2019")</f>
        <v/>
      </c>
      <c r="W481">
        <f>HYPERLINK("https://klasma.github.io/Logging_2284/klagomålsmail/A 55307-2019 klagomålsmail.docx", "A 55307-2019")</f>
        <v/>
      </c>
      <c r="X481">
        <f>HYPERLINK("https://klasma.github.io/Logging_2284/tillsyn/A 55307-2019 tillsyn.docx", "A 55307-2019")</f>
        <v/>
      </c>
      <c r="Y481">
        <f>HYPERLINK("https://klasma.github.io/Logging_2284/tillsynsmail/A 55307-2019 tillsynsmail.docx", "A 55307-2019")</f>
        <v/>
      </c>
    </row>
    <row r="482" ht="15" customHeight="1">
      <c r="A482" t="inlineStr">
        <is>
          <t>A 60489-2019</t>
        </is>
      </c>
      <c r="B482" s="1" t="n">
        <v>43780</v>
      </c>
      <c r="C482" s="1" t="n">
        <v>45212</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 artfynd.xlsx", "A 60489-2019")</f>
        <v/>
      </c>
      <c r="T482">
        <f>HYPERLINK("https://klasma.github.io/Logging_2284/karta/A 60489-2019 karta.png", "A 60489-2019")</f>
        <v/>
      </c>
      <c r="V482">
        <f>HYPERLINK("https://klasma.github.io/Logging_2284/klagomål/A 60489-2019 klagomål.docx", "A 60489-2019")</f>
        <v/>
      </c>
      <c r="W482">
        <f>HYPERLINK("https://klasma.github.io/Logging_2284/klagomålsmail/A 60489-2019 klagomålsmail.docx", "A 60489-2019")</f>
        <v/>
      </c>
      <c r="X482">
        <f>HYPERLINK("https://klasma.github.io/Logging_2284/tillsyn/A 60489-2019 tillsyn.docx", "A 60489-2019")</f>
        <v/>
      </c>
      <c r="Y482">
        <f>HYPERLINK("https://klasma.github.io/Logging_2284/tillsynsmail/A 60489-2019 tillsynsmail.docx", "A 60489-2019")</f>
        <v/>
      </c>
    </row>
    <row r="483" ht="15" customHeight="1">
      <c r="A483" t="inlineStr">
        <is>
          <t>A 61401-2019</t>
        </is>
      </c>
      <c r="B483" s="1" t="n">
        <v>43783</v>
      </c>
      <c r="C483" s="1" t="n">
        <v>45212</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 artfynd.xlsx", "A 61401-2019")</f>
        <v/>
      </c>
      <c r="T483">
        <f>HYPERLINK("https://klasma.github.io/Logging_2284/karta/A 61401-2019 karta.png", "A 61401-2019")</f>
        <v/>
      </c>
      <c r="V483">
        <f>HYPERLINK("https://klasma.github.io/Logging_2284/klagomål/A 61401-2019 klagomål.docx", "A 61401-2019")</f>
        <v/>
      </c>
      <c r="W483">
        <f>HYPERLINK("https://klasma.github.io/Logging_2284/klagomålsmail/A 61401-2019 klagomålsmail.docx", "A 61401-2019")</f>
        <v/>
      </c>
      <c r="X483">
        <f>HYPERLINK("https://klasma.github.io/Logging_2284/tillsyn/A 61401-2019 tillsyn.docx", "A 61401-2019")</f>
        <v/>
      </c>
      <c r="Y483">
        <f>HYPERLINK("https://klasma.github.io/Logging_2284/tillsynsmail/A 61401-2019 tillsynsmail.docx", "A 61401-2019")</f>
        <v/>
      </c>
    </row>
    <row r="484" ht="15" customHeight="1">
      <c r="A484" t="inlineStr">
        <is>
          <t>A 66710-2019</t>
        </is>
      </c>
      <c r="B484" s="1" t="n">
        <v>43809</v>
      </c>
      <c r="C484" s="1" t="n">
        <v>45212</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 artfynd.xlsx", "A 66710-2019")</f>
        <v/>
      </c>
      <c r="T484">
        <f>HYPERLINK("https://klasma.github.io/Logging_2262/karta/A 66710-2019 karta.png", "A 66710-2019")</f>
        <v/>
      </c>
      <c r="V484">
        <f>HYPERLINK("https://klasma.github.io/Logging_2262/klagomål/A 66710-2019 klagomål.docx", "A 66710-2019")</f>
        <v/>
      </c>
      <c r="W484">
        <f>HYPERLINK("https://klasma.github.io/Logging_2262/klagomålsmail/A 66710-2019 klagomålsmail.docx", "A 66710-2019")</f>
        <v/>
      </c>
      <c r="X484">
        <f>HYPERLINK("https://klasma.github.io/Logging_2262/tillsyn/A 66710-2019 tillsyn.docx", "A 66710-2019")</f>
        <v/>
      </c>
      <c r="Y484">
        <f>HYPERLINK("https://klasma.github.io/Logging_2262/tillsynsmail/A 66710-2019 tillsynsmail.docx", "A 66710-2019")</f>
        <v/>
      </c>
    </row>
    <row r="485" ht="15" customHeight="1">
      <c r="A485" t="inlineStr">
        <is>
          <t>A 970-2020</t>
        </is>
      </c>
      <c r="B485" s="1" t="n">
        <v>43839</v>
      </c>
      <c r="C485" s="1" t="n">
        <v>45212</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 artfynd.xlsx", "A 970-2020")</f>
        <v/>
      </c>
      <c r="T485">
        <f>HYPERLINK("https://klasma.github.io/Logging_2281/karta/A 970-2020 karta.png", "A 970-2020")</f>
        <v/>
      </c>
      <c r="V485">
        <f>HYPERLINK("https://klasma.github.io/Logging_2281/klagomål/A 970-2020 klagomål.docx", "A 970-2020")</f>
        <v/>
      </c>
      <c r="W485">
        <f>HYPERLINK("https://klasma.github.io/Logging_2281/klagomålsmail/A 970-2020 klagomålsmail.docx", "A 970-2020")</f>
        <v/>
      </c>
      <c r="X485">
        <f>HYPERLINK("https://klasma.github.io/Logging_2281/tillsyn/A 970-2020 tillsyn.docx", "A 970-2020")</f>
        <v/>
      </c>
      <c r="Y485">
        <f>HYPERLINK("https://klasma.github.io/Logging_2281/tillsynsmail/A 970-2020 tillsynsmail.docx", "A 970-2020")</f>
        <v/>
      </c>
    </row>
    <row r="486" ht="15" customHeight="1">
      <c r="A486" t="inlineStr">
        <is>
          <t>A 1431-2020</t>
        </is>
      </c>
      <c r="B486" s="1" t="n">
        <v>43843</v>
      </c>
      <c r="C486" s="1" t="n">
        <v>45212</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 artfynd.xlsx", "A 1431-2020")</f>
        <v/>
      </c>
      <c r="T486">
        <f>HYPERLINK("https://klasma.github.io/Logging_2284/karta/A 1431-2020 karta.png", "A 1431-2020")</f>
        <v/>
      </c>
      <c r="V486">
        <f>HYPERLINK("https://klasma.github.io/Logging_2284/klagomål/A 1431-2020 klagomål.docx", "A 1431-2020")</f>
        <v/>
      </c>
      <c r="W486">
        <f>HYPERLINK("https://klasma.github.io/Logging_2284/klagomålsmail/A 1431-2020 klagomålsmail.docx", "A 1431-2020")</f>
        <v/>
      </c>
      <c r="X486">
        <f>HYPERLINK("https://klasma.github.io/Logging_2284/tillsyn/A 1431-2020 tillsyn.docx", "A 1431-2020")</f>
        <v/>
      </c>
      <c r="Y486">
        <f>HYPERLINK("https://klasma.github.io/Logging_2284/tillsynsmail/A 1431-2020 tillsynsmail.docx", "A 1431-2020")</f>
        <v/>
      </c>
    </row>
    <row r="487" ht="15" customHeight="1">
      <c r="A487" t="inlineStr">
        <is>
          <t>A 3905-2020</t>
        </is>
      </c>
      <c r="B487" s="1" t="n">
        <v>43854</v>
      </c>
      <c r="C487" s="1" t="n">
        <v>45212</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 artfynd.xlsx", "A 3905-2020")</f>
        <v/>
      </c>
      <c r="T487">
        <f>HYPERLINK("https://klasma.github.io/Logging_2284/karta/A 3905-2020 karta.png", "A 3905-2020")</f>
        <v/>
      </c>
      <c r="V487">
        <f>HYPERLINK("https://klasma.github.io/Logging_2284/klagomål/A 3905-2020 klagomål.docx", "A 3905-2020")</f>
        <v/>
      </c>
      <c r="W487">
        <f>HYPERLINK("https://klasma.github.io/Logging_2284/klagomålsmail/A 3905-2020 klagomålsmail.docx", "A 3905-2020")</f>
        <v/>
      </c>
      <c r="X487">
        <f>HYPERLINK("https://klasma.github.io/Logging_2284/tillsyn/A 3905-2020 tillsyn.docx", "A 3905-2020")</f>
        <v/>
      </c>
      <c r="Y487">
        <f>HYPERLINK("https://klasma.github.io/Logging_2284/tillsynsmail/A 3905-2020 tillsynsmail.docx", "A 3905-2020")</f>
        <v/>
      </c>
    </row>
    <row r="488" ht="15" customHeight="1">
      <c r="A488" t="inlineStr">
        <is>
          <t>A 6564-2020</t>
        </is>
      </c>
      <c r="B488" s="1" t="n">
        <v>43867</v>
      </c>
      <c r="C488" s="1" t="n">
        <v>45212</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 artfynd.xlsx", "A 6564-2020")</f>
        <v/>
      </c>
      <c r="T488">
        <f>HYPERLINK("https://klasma.github.io/Logging_2260/karta/A 6564-2020 karta.png", "A 6564-2020")</f>
        <v/>
      </c>
      <c r="V488">
        <f>HYPERLINK("https://klasma.github.io/Logging_2260/klagomål/A 6564-2020 klagomål.docx", "A 6564-2020")</f>
        <v/>
      </c>
      <c r="W488">
        <f>HYPERLINK("https://klasma.github.io/Logging_2260/klagomålsmail/A 6564-2020 klagomålsmail.docx", "A 6564-2020")</f>
        <v/>
      </c>
      <c r="X488">
        <f>HYPERLINK("https://klasma.github.io/Logging_2260/tillsyn/A 6564-2020 tillsyn.docx", "A 6564-2020")</f>
        <v/>
      </c>
      <c r="Y488">
        <f>HYPERLINK("https://klasma.github.io/Logging_2260/tillsynsmail/A 6564-2020 tillsynsmail.docx", "A 6564-2020")</f>
        <v/>
      </c>
    </row>
    <row r="489" ht="15" customHeight="1">
      <c r="A489" t="inlineStr">
        <is>
          <t>A 8894-2020</t>
        </is>
      </c>
      <c r="B489" s="1" t="n">
        <v>43878</v>
      </c>
      <c r="C489" s="1" t="n">
        <v>45212</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 artfynd.xlsx", "A 8894-2020")</f>
        <v/>
      </c>
      <c r="T489">
        <f>HYPERLINK("https://klasma.github.io/Logging_2281/karta/A 8894-2020 karta.png", "A 8894-2020")</f>
        <v/>
      </c>
      <c r="V489">
        <f>HYPERLINK("https://klasma.github.io/Logging_2281/klagomål/A 8894-2020 klagomål.docx", "A 8894-2020")</f>
        <v/>
      </c>
      <c r="W489">
        <f>HYPERLINK("https://klasma.github.io/Logging_2281/klagomålsmail/A 8894-2020 klagomålsmail.docx", "A 8894-2020")</f>
        <v/>
      </c>
      <c r="X489">
        <f>HYPERLINK("https://klasma.github.io/Logging_2281/tillsyn/A 8894-2020 tillsyn.docx", "A 8894-2020")</f>
        <v/>
      </c>
      <c r="Y489">
        <f>HYPERLINK("https://klasma.github.io/Logging_2281/tillsynsmail/A 8894-2020 tillsynsmail.docx", "A 8894-2020")</f>
        <v/>
      </c>
    </row>
    <row r="490" ht="15" customHeight="1">
      <c r="A490" t="inlineStr">
        <is>
          <t>A 9178-2020</t>
        </is>
      </c>
      <c r="B490" s="1" t="n">
        <v>43879</v>
      </c>
      <c r="C490" s="1" t="n">
        <v>45212</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HYPERLINK("https://klasma.github.io/Logging_2283/karta/A 9178-2020 karta.png", "A 9178-2020")</f>
        <v/>
      </c>
      <c r="V490">
        <f>HYPERLINK("https://klasma.github.io/Logging_2283/klagomål/A 9178-2020 klagomål.docx", "A 9178-2020")</f>
        <v/>
      </c>
      <c r="W490">
        <f>HYPERLINK("https://klasma.github.io/Logging_2283/klagomålsmail/A 9178-2020 klagomålsmail.docx", "A 9178-2020")</f>
        <v/>
      </c>
      <c r="X490">
        <f>HYPERLINK("https://klasma.github.io/Logging_2283/tillsyn/A 9178-2020 tillsyn.docx", "A 9178-2020")</f>
        <v/>
      </c>
      <c r="Y490">
        <f>HYPERLINK("https://klasma.github.io/Logging_2283/tillsynsmail/A 9178-2020 tillsynsmail.docx", "A 9178-2020")</f>
        <v/>
      </c>
    </row>
    <row r="491" ht="15" customHeight="1">
      <c r="A491" t="inlineStr">
        <is>
          <t>A 16648-2020</t>
        </is>
      </c>
      <c r="B491" s="1" t="n">
        <v>43920</v>
      </c>
      <c r="C491" s="1" t="n">
        <v>45212</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HYPERLINK("https://klasma.github.io/Logging_2282/karta/A 16648-2020 karta.png", "A 16648-2020")</f>
        <v/>
      </c>
      <c r="V491">
        <f>HYPERLINK("https://klasma.github.io/Logging_2282/klagomål/A 16648-2020 klagomål.docx", "A 16648-2020")</f>
        <v/>
      </c>
      <c r="W491">
        <f>HYPERLINK("https://klasma.github.io/Logging_2282/klagomålsmail/A 16648-2020 klagomålsmail.docx", "A 16648-2020")</f>
        <v/>
      </c>
      <c r="X491">
        <f>HYPERLINK("https://klasma.github.io/Logging_2282/tillsyn/A 16648-2020 tillsyn.docx", "A 16648-2020")</f>
        <v/>
      </c>
      <c r="Y491">
        <f>HYPERLINK("https://klasma.github.io/Logging_2282/tillsynsmail/A 16648-2020 tillsynsmail.docx", "A 16648-2020")</f>
        <v/>
      </c>
    </row>
    <row r="492" ht="15" customHeight="1">
      <c r="A492" t="inlineStr">
        <is>
          <t>A 19166-2020</t>
        </is>
      </c>
      <c r="B492" s="1" t="n">
        <v>43936</v>
      </c>
      <c r="C492" s="1" t="n">
        <v>45212</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HYPERLINK("https://klasma.github.io/Logging_2283/karta/A 19166-2020 karta.png", "A 19166-2020")</f>
        <v/>
      </c>
      <c r="V492">
        <f>HYPERLINK("https://klasma.github.io/Logging_2283/klagomål/A 19166-2020 klagomål.docx", "A 19166-2020")</f>
        <v/>
      </c>
      <c r="W492">
        <f>HYPERLINK("https://klasma.github.io/Logging_2283/klagomålsmail/A 19166-2020 klagomålsmail.docx", "A 19166-2020")</f>
        <v/>
      </c>
      <c r="X492">
        <f>HYPERLINK("https://klasma.github.io/Logging_2283/tillsyn/A 19166-2020 tillsyn.docx", "A 19166-2020")</f>
        <v/>
      </c>
      <c r="Y492">
        <f>HYPERLINK("https://klasma.github.io/Logging_2283/tillsynsmail/A 19166-2020 tillsynsmail.docx", "A 19166-2020")</f>
        <v/>
      </c>
    </row>
    <row r="493" ht="15" customHeight="1">
      <c r="A493" t="inlineStr">
        <is>
          <t>A 19275-2020</t>
        </is>
      </c>
      <c r="B493" s="1" t="n">
        <v>43937</v>
      </c>
      <c r="C493" s="1" t="n">
        <v>45212</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HYPERLINK("https://klasma.github.io/Logging_2260/karta/A 19275-2020 karta.png", "A 19275-2020")</f>
        <v/>
      </c>
      <c r="V493">
        <f>HYPERLINK("https://klasma.github.io/Logging_2260/klagomål/A 19275-2020 klagomål.docx", "A 19275-2020")</f>
        <v/>
      </c>
      <c r="W493">
        <f>HYPERLINK("https://klasma.github.io/Logging_2260/klagomålsmail/A 19275-2020 klagomålsmail.docx", "A 19275-2020")</f>
        <v/>
      </c>
      <c r="X493">
        <f>HYPERLINK("https://klasma.github.io/Logging_2260/tillsyn/A 19275-2020 tillsyn.docx", "A 19275-2020")</f>
        <v/>
      </c>
      <c r="Y493">
        <f>HYPERLINK("https://klasma.github.io/Logging_2260/tillsynsmail/A 19275-2020 tillsynsmail.docx", "A 19275-2020")</f>
        <v/>
      </c>
    </row>
    <row r="494" ht="15" customHeight="1">
      <c r="A494" t="inlineStr">
        <is>
          <t>A 22692-2020</t>
        </is>
      </c>
      <c r="B494" s="1" t="n">
        <v>43963</v>
      </c>
      <c r="C494" s="1" t="n">
        <v>45212</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HYPERLINK("https://klasma.github.io/Logging_2260/karta/A 22692-2020 karta.png", "A 22692-2020")</f>
        <v/>
      </c>
      <c r="V494">
        <f>HYPERLINK("https://klasma.github.io/Logging_2260/klagomål/A 22692-2020 klagomål.docx", "A 22692-2020")</f>
        <v/>
      </c>
      <c r="W494">
        <f>HYPERLINK("https://klasma.github.io/Logging_2260/klagomålsmail/A 22692-2020 klagomålsmail.docx", "A 22692-2020")</f>
        <v/>
      </c>
      <c r="X494">
        <f>HYPERLINK("https://klasma.github.io/Logging_2260/tillsyn/A 22692-2020 tillsyn.docx", "A 22692-2020")</f>
        <v/>
      </c>
      <c r="Y494">
        <f>HYPERLINK("https://klasma.github.io/Logging_2260/tillsynsmail/A 22692-2020 tillsynsmail.docx", "A 22692-2020")</f>
        <v/>
      </c>
    </row>
    <row r="495" ht="15" customHeight="1">
      <c r="A495" t="inlineStr">
        <is>
          <t>A 24277-2020</t>
        </is>
      </c>
      <c r="B495" s="1" t="n">
        <v>43971</v>
      </c>
      <c r="C495" s="1" t="n">
        <v>45212</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HYPERLINK("https://klasma.github.io/Logging_2262/karta/A 24277-2020 karta.png", "A 24277-2020")</f>
        <v/>
      </c>
      <c r="V495">
        <f>HYPERLINK("https://klasma.github.io/Logging_2262/klagomål/A 24277-2020 klagomål.docx", "A 24277-2020")</f>
        <v/>
      </c>
      <c r="W495">
        <f>HYPERLINK("https://klasma.github.io/Logging_2262/klagomålsmail/A 24277-2020 klagomålsmail.docx", "A 24277-2020")</f>
        <v/>
      </c>
      <c r="X495">
        <f>HYPERLINK("https://klasma.github.io/Logging_2262/tillsyn/A 24277-2020 tillsyn.docx", "A 24277-2020")</f>
        <v/>
      </c>
      <c r="Y495">
        <f>HYPERLINK("https://klasma.github.io/Logging_2262/tillsynsmail/A 24277-2020 tillsynsmail.docx", "A 24277-2020")</f>
        <v/>
      </c>
    </row>
    <row r="496" ht="15" customHeight="1">
      <c r="A496" t="inlineStr">
        <is>
          <t>A 24641-2020</t>
        </is>
      </c>
      <c r="B496" s="1" t="n">
        <v>43977</v>
      </c>
      <c r="C496" s="1" t="n">
        <v>45212</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HYPERLINK("https://klasma.github.io/Logging_2283/karta/A 24641-2020 karta.png", "A 24641-2020")</f>
        <v/>
      </c>
      <c r="U496">
        <f>HYPERLINK("https://klasma.github.io/Logging_2283/knärot/A 24641-2020 knärot.png", "A 24641-2020")</f>
        <v/>
      </c>
      <c r="V496">
        <f>HYPERLINK("https://klasma.github.io/Logging_2283/klagomål/A 24641-2020 klagomål.docx", "A 24641-2020")</f>
        <v/>
      </c>
      <c r="W496">
        <f>HYPERLINK("https://klasma.github.io/Logging_2283/klagomålsmail/A 24641-2020 klagomålsmail.docx", "A 24641-2020")</f>
        <v/>
      </c>
      <c r="X496">
        <f>HYPERLINK("https://klasma.github.io/Logging_2283/tillsyn/A 24641-2020 tillsyn.docx", "A 24641-2020")</f>
        <v/>
      </c>
      <c r="Y496">
        <f>HYPERLINK("https://klasma.github.io/Logging_2283/tillsynsmail/A 24641-2020 tillsynsmail.docx", "A 24641-2020")</f>
        <v/>
      </c>
    </row>
    <row r="497" ht="15" customHeight="1">
      <c r="A497" t="inlineStr">
        <is>
          <t>A 27879-2020</t>
        </is>
      </c>
      <c r="B497" s="1" t="n">
        <v>43994</v>
      </c>
      <c r="C497" s="1" t="n">
        <v>45212</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HYPERLINK("https://klasma.github.io/Logging_2262/karta/A 27879-2020 karta.png", "A 27879-2020")</f>
        <v/>
      </c>
      <c r="V497">
        <f>HYPERLINK("https://klasma.github.io/Logging_2262/klagomål/A 27879-2020 klagomål.docx", "A 27879-2020")</f>
        <v/>
      </c>
      <c r="W497">
        <f>HYPERLINK("https://klasma.github.io/Logging_2262/klagomålsmail/A 27879-2020 klagomålsmail.docx", "A 27879-2020")</f>
        <v/>
      </c>
      <c r="X497">
        <f>HYPERLINK("https://klasma.github.io/Logging_2262/tillsyn/A 27879-2020 tillsyn.docx", "A 27879-2020")</f>
        <v/>
      </c>
      <c r="Y497">
        <f>HYPERLINK("https://klasma.github.io/Logging_2262/tillsynsmail/A 27879-2020 tillsynsmail.docx", "A 27879-2020")</f>
        <v/>
      </c>
    </row>
    <row r="498" ht="15" customHeight="1">
      <c r="A498" t="inlineStr">
        <is>
          <t>A 28764-2020</t>
        </is>
      </c>
      <c r="B498" s="1" t="n">
        <v>43999</v>
      </c>
      <c r="C498" s="1" t="n">
        <v>45212</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HYPERLINK("https://klasma.github.io/Logging_2281/karta/A 28764-2020 karta.png", "A 28764-2020")</f>
        <v/>
      </c>
      <c r="V498">
        <f>HYPERLINK("https://klasma.github.io/Logging_2281/klagomål/A 28764-2020 klagomål.docx", "A 28764-2020")</f>
        <v/>
      </c>
      <c r="W498">
        <f>HYPERLINK("https://klasma.github.io/Logging_2281/klagomålsmail/A 28764-2020 klagomålsmail.docx", "A 28764-2020")</f>
        <v/>
      </c>
      <c r="X498">
        <f>HYPERLINK("https://klasma.github.io/Logging_2281/tillsyn/A 28764-2020 tillsyn.docx", "A 28764-2020")</f>
        <v/>
      </c>
      <c r="Y498">
        <f>HYPERLINK("https://klasma.github.io/Logging_2281/tillsynsmail/A 28764-2020 tillsynsmail.docx", "A 28764-2020")</f>
        <v/>
      </c>
    </row>
    <row r="499" ht="15" customHeight="1">
      <c r="A499" t="inlineStr">
        <is>
          <t>A 28856-2020</t>
        </is>
      </c>
      <c r="B499" s="1" t="n">
        <v>44000</v>
      </c>
      <c r="C499" s="1" t="n">
        <v>45212</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HYPERLINK("https://klasma.github.io/Logging_2284/karta/A 28856-2020 karta.png", "A 28856-2020")</f>
        <v/>
      </c>
      <c r="V499">
        <f>HYPERLINK("https://klasma.github.io/Logging_2284/klagomål/A 28856-2020 klagomål.docx", "A 28856-2020")</f>
        <v/>
      </c>
      <c r="W499">
        <f>HYPERLINK("https://klasma.github.io/Logging_2284/klagomålsmail/A 28856-2020 klagomålsmail.docx", "A 28856-2020")</f>
        <v/>
      </c>
      <c r="X499">
        <f>HYPERLINK("https://klasma.github.io/Logging_2284/tillsyn/A 28856-2020 tillsyn.docx", "A 28856-2020")</f>
        <v/>
      </c>
      <c r="Y499">
        <f>HYPERLINK("https://klasma.github.io/Logging_2284/tillsynsmail/A 28856-2020 tillsynsmail.docx", "A 28856-2020")</f>
        <v/>
      </c>
    </row>
    <row r="500" ht="15" customHeight="1">
      <c r="A500" t="inlineStr">
        <is>
          <t>A 32755-2020</t>
        </is>
      </c>
      <c r="B500" s="1" t="n">
        <v>44019</v>
      </c>
      <c r="C500" s="1" t="n">
        <v>45212</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HYPERLINK("https://klasma.github.io/Logging_2260/karta/A 32755-2020 karta.png", "A 32755-2020")</f>
        <v/>
      </c>
      <c r="V500">
        <f>HYPERLINK("https://klasma.github.io/Logging_2260/klagomål/A 32755-2020 klagomål.docx", "A 32755-2020")</f>
        <v/>
      </c>
      <c r="W500">
        <f>HYPERLINK("https://klasma.github.io/Logging_2260/klagomålsmail/A 32755-2020 klagomålsmail.docx", "A 32755-2020")</f>
        <v/>
      </c>
      <c r="X500">
        <f>HYPERLINK("https://klasma.github.io/Logging_2260/tillsyn/A 32755-2020 tillsyn.docx", "A 32755-2020")</f>
        <v/>
      </c>
      <c r="Y500">
        <f>HYPERLINK("https://klasma.github.io/Logging_2260/tillsynsmail/A 32755-2020 tillsynsmail.docx", "A 32755-2020")</f>
        <v/>
      </c>
    </row>
    <row r="501" ht="15" customHeight="1">
      <c r="A501" t="inlineStr">
        <is>
          <t>A 33612-2020</t>
        </is>
      </c>
      <c r="B501" s="1" t="n">
        <v>44025</v>
      </c>
      <c r="C501" s="1" t="n">
        <v>45212</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HYPERLINK("https://klasma.github.io/Logging_2283/karta/A 33612-2020 karta.png", "A 33612-2020")</f>
        <v/>
      </c>
      <c r="V501">
        <f>HYPERLINK("https://klasma.github.io/Logging_2283/klagomål/A 33612-2020 klagomål.docx", "A 33612-2020")</f>
        <v/>
      </c>
      <c r="W501">
        <f>HYPERLINK("https://klasma.github.io/Logging_2283/klagomålsmail/A 33612-2020 klagomålsmail.docx", "A 33612-2020")</f>
        <v/>
      </c>
      <c r="X501">
        <f>HYPERLINK("https://klasma.github.io/Logging_2283/tillsyn/A 33612-2020 tillsyn.docx", "A 33612-2020")</f>
        <v/>
      </c>
      <c r="Y501">
        <f>HYPERLINK("https://klasma.github.io/Logging_2283/tillsynsmail/A 33612-2020 tillsynsmail.docx", "A 33612-2020")</f>
        <v/>
      </c>
    </row>
    <row r="502" ht="15" customHeight="1">
      <c r="A502" t="inlineStr">
        <is>
          <t>A 40407-2020</t>
        </is>
      </c>
      <c r="B502" s="1" t="n">
        <v>44068</v>
      </c>
      <c r="C502" s="1" t="n">
        <v>45212</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HYPERLINK("https://klasma.github.io/Logging_2262/karta/A 40407-2020 karta.png", "A 40407-2020")</f>
        <v/>
      </c>
      <c r="V502">
        <f>HYPERLINK("https://klasma.github.io/Logging_2262/klagomål/A 40407-2020 klagomål.docx", "A 40407-2020")</f>
        <v/>
      </c>
      <c r="W502">
        <f>HYPERLINK("https://klasma.github.io/Logging_2262/klagomålsmail/A 40407-2020 klagomålsmail.docx", "A 40407-2020")</f>
        <v/>
      </c>
      <c r="X502">
        <f>HYPERLINK("https://klasma.github.io/Logging_2262/tillsyn/A 40407-2020 tillsyn.docx", "A 40407-2020")</f>
        <v/>
      </c>
      <c r="Y502">
        <f>HYPERLINK("https://klasma.github.io/Logging_2262/tillsynsmail/A 40407-2020 tillsynsmail.docx", "A 40407-2020")</f>
        <v/>
      </c>
    </row>
    <row r="503" ht="15" customHeight="1">
      <c r="A503" t="inlineStr">
        <is>
          <t>A 40416-2020</t>
        </is>
      </c>
      <c r="B503" s="1" t="n">
        <v>44068</v>
      </c>
      <c r="C503" s="1" t="n">
        <v>45212</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HYPERLINK("https://klasma.github.io/Logging_2260/karta/A 40416-2020 karta.png", "A 40416-2020")</f>
        <v/>
      </c>
      <c r="U503">
        <f>HYPERLINK("https://klasma.github.io/Logging_2260/knärot/A 40416-2020 knärot.png", "A 40416-2020")</f>
        <v/>
      </c>
      <c r="V503">
        <f>HYPERLINK("https://klasma.github.io/Logging_2260/klagomål/A 40416-2020 klagomål.docx", "A 40416-2020")</f>
        <v/>
      </c>
      <c r="W503">
        <f>HYPERLINK("https://klasma.github.io/Logging_2260/klagomålsmail/A 40416-2020 klagomålsmail.docx", "A 40416-2020")</f>
        <v/>
      </c>
      <c r="X503">
        <f>HYPERLINK("https://klasma.github.io/Logging_2260/tillsyn/A 40416-2020 tillsyn.docx", "A 40416-2020")</f>
        <v/>
      </c>
      <c r="Y503">
        <f>HYPERLINK("https://klasma.github.io/Logging_2260/tillsynsmail/A 40416-2020 tillsynsmail.docx", "A 40416-2020")</f>
        <v/>
      </c>
    </row>
    <row r="504" ht="15" customHeight="1">
      <c r="A504" t="inlineStr">
        <is>
          <t>A 41316-2020</t>
        </is>
      </c>
      <c r="B504" s="1" t="n">
        <v>44069</v>
      </c>
      <c r="C504" s="1" t="n">
        <v>45212</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HYPERLINK("https://klasma.github.io/Logging_2284/karta/A 41316-2020 karta.png", "A 41316-2020")</f>
        <v/>
      </c>
      <c r="V504">
        <f>HYPERLINK("https://klasma.github.io/Logging_2284/klagomål/A 41316-2020 klagomål.docx", "A 41316-2020")</f>
        <v/>
      </c>
      <c r="W504">
        <f>HYPERLINK("https://klasma.github.io/Logging_2284/klagomålsmail/A 41316-2020 klagomålsmail.docx", "A 41316-2020")</f>
        <v/>
      </c>
      <c r="X504">
        <f>HYPERLINK("https://klasma.github.io/Logging_2284/tillsyn/A 41316-2020 tillsyn.docx", "A 41316-2020")</f>
        <v/>
      </c>
      <c r="Y504">
        <f>HYPERLINK("https://klasma.github.io/Logging_2284/tillsynsmail/A 41316-2020 tillsynsmail.docx", "A 41316-2020")</f>
        <v/>
      </c>
    </row>
    <row r="505" ht="15" customHeight="1">
      <c r="A505" t="inlineStr">
        <is>
          <t>A 47840-2020</t>
        </is>
      </c>
      <c r="B505" s="1" t="n">
        <v>44098</v>
      </c>
      <c r="C505" s="1" t="n">
        <v>45212</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HYPERLINK("https://klasma.github.io/Logging_2283/karta/A 47840-2020 karta.png", "A 47840-2020")</f>
        <v/>
      </c>
      <c r="U505">
        <f>HYPERLINK("https://klasma.github.io/Logging_2283/knärot/A 47840-2020 knärot.png", "A 47840-2020")</f>
        <v/>
      </c>
      <c r="V505">
        <f>HYPERLINK("https://klasma.github.io/Logging_2283/klagomål/A 47840-2020 klagomål.docx", "A 47840-2020")</f>
        <v/>
      </c>
      <c r="W505">
        <f>HYPERLINK("https://klasma.github.io/Logging_2283/klagomålsmail/A 47840-2020 klagomålsmail.docx", "A 47840-2020")</f>
        <v/>
      </c>
      <c r="X505">
        <f>HYPERLINK("https://klasma.github.io/Logging_2283/tillsyn/A 47840-2020 tillsyn.docx", "A 47840-2020")</f>
        <v/>
      </c>
      <c r="Y505">
        <f>HYPERLINK("https://klasma.github.io/Logging_2283/tillsynsmail/A 47840-2020 tillsynsmail.docx", "A 47840-2020")</f>
        <v/>
      </c>
    </row>
    <row r="506" ht="15" customHeight="1">
      <c r="A506" t="inlineStr">
        <is>
          <t>A 50469-2020</t>
        </is>
      </c>
      <c r="B506" s="1" t="n">
        <v>44104</v>
      </c>
      <c r="C506" s="1" t="n">
        <v>45212</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HYPERLINK("https://klasma.github.io/Logging_2281/karta/A 50469-2020 karta.png", "A 50469-2020")</f>
        <v/>
      </c>
      <c r="V506">
        <f>HYPERLINK("https://klasma.github.io/Logging_2281/klagomål/A 50469-2020 klagomål.docx", "A 50469-2020")</f>
        <v/>
      </c>
      <c r="W506">
        <f>HYPERLINK("https://klasma.github.io/Logging_2281/klagomålsmail/A 50469-2020 klagomålsmail.docx", "A 50469-2020")</f>
        <v/>
      </c>
      <c r="X506">
        <f>HYPERLINK("https://klasma.github.io/Logging_2281/tillsyn/A 50469-2020 tillsyn.docx", "A 50469-2020")</f>
        <v/>
      </c>
      <c r="Y506">
        <f>HYPERLINK("https://klasma.github.io/Logging_2281/tillsynsmail/A 50469-2020 tillsynsmail.docx", "A 50469-2020")</f>
        <v/>
      </c>
    </row>
    <row r="507" ht="15" customHeight="1">
      <c r="A507" t="inlineStr">
        <is>
          <t>A 51756-2020</t>
        </is>
      </c>
      <c r="B507" s="1" t="n">
        <v>44114</v>
      </c>
      <c r="C507" s="1" t="n">
        <v>45212</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HYPERLINK("https://klasma.github.io/Logging_2260/karta/A 51756-2020 karta.png", "A 51756-2020")</f>
        <v/>
      </c>
      <c r="V507">
        <f>HYPERLINK("https://klasma.github.io/Logging_2260/klagomål/A 51756-2020 klagomål.docx", "A 51756-2020")</f>
        <v/>
      </c>
      <c r="W507">
        <f>HYPERLINK("https://klasma.github.io/Logging_2260/klagomålsmail/A 51756-2020 klagomålsmail.docx", "A 51756-2020")</f>
        <v/>
      </c>
      <c r="X507">
        <f>HYPERLINK("https://klasma.github.io/Logging_2260/tillsyn/A 51756-2020 tillsyn.docx", "A 51756-2020")</f>
        <v/>
      </c>
      <c r="Y507">
        <f>HYPERLINK("https://klasma.github.io/Logging_2260/tillsynsmail/A 51756-2020 tillsynsmail.docx", "A 51756-2020")</f>
        <v/>
      </c>
    </row>
    <row r="508" ht="15" customHeight="1">
      <c r="A508" t="inlineStr">
        <is>
          <t>A 62020-2020</t>
        </is>
      </c>
      <c r="B508" s="1" t="n">
        <v>44159</v>
      </c>
      <c r="C508" s="1" t="n">
        <v>45212</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HYPERLINK("https://klasma.github.io/Logging_2284/karta/A 62020-2020 karta.png", "A 62020-2020")</f>
        <v/>
      </c>
      <c r="V508">
        <f>HYPERLINK("https://klasma.github.io/Logging_2284/klagomål/A 62020-2020 klagomål.docx", "A 62020-2020")</f>
        <v/>
      </c>
      <c r="W508">
        <f>HYPERLINK("https://klasma.github.io/Logging_2284/klagomålsmail/A 62020-2020 klagomålsmail.docx", "A 62020-2020")</f>
        <v/>
      </c>
      <c r="X508">
        <f>HYPERLINK("https://klasma.github.io/Logging_2284/tillsyn/A 62020-2020 tillsyn.docx", "A 62020-2020")</f>
        <v/>
      </c>
      <c r="Y508">
        <f>HYPERLINK("https://klasma.github.io/Logging_2284/tillsynsmail/A 62020-2020 tillsynsmail.docx", "A 62020-2020")</f>
        <v/>
      </c>
    </row>
    <row r="509" ht="15" customHeight="1">
      <c r="A509" t="inlineStr">
        <is>
          <t>A 63983-2020</t>
        </is>
      </c>
      <c r="B509" s="1" t="n">
        <v>44167</v>
      </c>
      <c r="C509" s="1" t="n">
        <v>45212</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HYPERLINK("https://klasma.github.io/Logging_2260/karta/A 63983-2020 karta.png", "A 63983-2020")</f>
        <v/>
      </c>
      <c r="U509">
        <f>HYPERLINK("https://klasma.github.io/Logging_2260/knärot/A 63983-2020 knärot.png", "A 63983-2020")</f>
        <v/>
      </c>
      <c r="V509">
        <f>HYPERLINK("https://klasma.github.io/Logging_2260/klagomål/A 63983-2020 klagomål.docx", "A 63983-2020")</f>
        <v/>
      </c>
      <c r="W509">
        <f>HYPERLINK("https://klasma.github.io/Logging_2260/klagomålsmail/A 63983-2020 klagomålsmail.docx", "A 63983-2020")</f>
        <v/>
      </c>
      <c r="X509">
        <f>HYPERLINK("https://klasma.github.io/Logging_2260/tillsyn/A 63983-2020 tillsyn.docx", "A 63983-2020")</f>
        <v/>
      </c>
      <c r="Y509">
        <f>HYPERLINK("https://klasma.github.io/Logging_2260/tillsynsmail/A 63983-2020 tillsynsmail.docx", "A 63983-2020")</f>
        <v/>
      </c>
    </row>
    <row r="510" ht="15" customHeight="1">
      <c r="A510" t="inlineStr">
        <is>
          <t>A 64596-2020</t>
        </is>
      </c>
      <c r="B510" s="1" t="n">
        <v>44169</v>
      </c>
      <c r="C510" s="1" t="n">
        <v>45212</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HYPERLINK("https://klasma.github.io/Logging_2284/karta/A 64596-2020 karta.png", "A 64596-2020")</f>
        <v/>
      </c>
      <c r="V510">
        <f>HYPERLINK("https://klasma.github.io/Logging_2284/klagomål/A 64596-2020 klagomål.docx", "A 64596-2020")</f>
        <v/>
      </c>
      <c r="W510">
        <f>HYPERLINK("https://klasma.github.io/Logging_2284/klagomålsmail/A 64596-2020 klagomålsmail.docx", "A 64596-2020")</f>
        <v/>
      </c>
      <c r="X510">
        <f>HYPERLINK("https://klasma.github.io/Logging_2284/tillsyn/A 64596-2020 tillsyn.docx", "A 64596-2020")</f>
        <v/>
      </c>
      <c r="Y510">
        <f>HYPERLINK("https://klasma.github.io/Logging_2284/tillsynsmail/A 64596-2020 tillsynsmail.docx", "A 64596-2020")</f>
        <v/>
      </c>
    </row>
    <row r="511" ht="15" customHeight="1">
      <c r="A511" t="inlineStr">
        <is>
          <t>A 65632-2020</t>
        </is>
      </c>
      <c r="B511" s="1" t="n">
        <v>44173</v>
      </c>
      <c r="C511" s="1" t="n">
        <v>45212</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HYPERLINK("https://klasma.github.io/Logging_2281/karta/A 65632-2020 karta.png", "A 65632-2020")</f>
        <v/>
      </c>
      <c r="V511">
        <f>HYPERLINK("https://klasma.github.io/Logging_2281/klagomål/A 65632-2020 klagomål.docx", "A 65632-2020")</f>
        <v/>
      </c>
      <c r="W511">
        <f>HYPERLINK("https://klasma.github.io/Logging_2281/klagomålsmail/A 65632-2020 klagomålsmail.docx", "A 65632-2020")</f>
        <v/>
      </c>
      <c r="X511">
        <f>HYPERLINK("https://klasma.github.io/Logging_2281/tillsyn/A 65632-2020 tillsyn.docx", "A 65632-2020")</f>
        <v/>
      </c>
      <c r="Y511">
        <f>HYPERLINK("https://klasma.github.io/Logging_2281/tillsynsmail/A 65632-2020 tillsynsmail.docx", "A 65632-2020")</f>
        <v/>
      </c>
    </row>
    <row r="512" ht="15" customHeight="1">
      <c r="A512" t="inlineStr">
        <is>
          <t>A 68789-2020</t>
        </is>
      </c>
      <c r="B512" s="1" t="n">
        <v>44186</v>
      </c>
      <c r="C512" s="1" t="n">
        <v>45212</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HYPERLINK("https://klasma.github.io/Logging_2283/karta/A 68789-2020 karta.png", "A 68789-2020")</f>
        <v/>
      </c>
      <c r="U512">
        <f>HYPERLINK("https://klasma.github.io/Logging_2283/knärot/A 68789-2020 knärot.png", "A 68789-2020")</f>
        <v/>
      </c>
      <c r="V512">
        <f>HYPERLINK("https://klasma.github.io/Logging_2283/klagomål/A 68789-2020 klagomål.docx", "A 68789-2020")</f>
        <v/>
      </c>
      <c r="W512">
        <f>HYPERLINK("https://klasma.github.io/Logging_2283/klagomålsmail/A 68789-2020 klagomålsmail.docx", "A 68789-2020")</f>
        <v/>
      </c>
      <c r="X512">
        <f>HYPERLINK("https://klasma.github.io/Logging_2283/tillsyn/A 68789-2020 tillsyn.docx", "A 68789-2020")</f>
        <v/>
      </c>
      <c r="Y512">
        <f>HYPERLINK("https://klasma.github.io/Logging_2283/tillsynsmail/A 68789-2020 tillsynsmail.docx", "A 68789-2020")</f>
        <v/>
      </c>
    </row>
    <row r="513" ht="15" customHeight="1">
      <c r="A513" t="inlineStr">
        <is>
          <t>A 68651-2020</t>
        </is>
      </c>
      <c r="B513" s="1" t="n">
        <v>44186</v>
      </c>
      <c r="C513" s="1" t="n">
        <v>45212</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HYPERLINK("https://klasma.github.io/Logging_2283/karta/A 68651-2020 karta.png", "A 68651-2020")</f>
        <v/>
      </c>
      <c r="V513">
        <f>HYPERLINK("https://klasma.github.io/Logging_2283/klagomål/A 68651-2020 klagomål.docx", "A 68651-2020")</f>
        <v/>
      </c>
      <c r="W513">
        <f>HYPERLINK("https://klasma.github.io/Logging_2283/klagomålsmail/A 68651-2020 klagomålsmail.docx", "A 68651-2020")</f>
        <v/>
      </c>
      <c r="X513">
        <f>HYPERLINK("https://klasma.github.io/Logging_2283/tillsyn/A 68651-2020 tillsyn.docx", "A 68651-2020")</f>
        <v/>
      </c>
      <c r="Y513">
        <f>HYPERLINK("https://klasma.github.io/Logging_2283/tillsynsmail/A 68651-2020 tillsynsmail.docx", "A 68651-2020")</f>
        <v/>
      </c>
    </row>
    <row r="514" ht="15" customHeight="1">
      <c r="A514" t="inlineStr">
        <is>
          <t>A 69202-2020</t>
        </is>
      </c>
      <c r="B514" s="1" t="n">
        <v>44191</v>
      </c>
      <c r="C514" s="1" t="n">
        <v>45212</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HYPERLINK("https://klasma.github.io/Logging_2262/karta/A 69202-2020 karta.png", "A 69202-2020")</f>
        <v/>
      </c>
      <c r="V514">
        <f>HYPERLINK("https://klasma.github.io/Logging_2262/klagomål/A 69202-2020 klagomål.docx", "A 69202-2020")</f>
        <v/>
      </c>
      <c r="W514">
        <f>HYPERLINK("https://klasma.github.io/Logging_2262/klagomålsmail/A 69202-2020 klagomålsmail.docx", "A 69202-2020")</f>
        <v/>
      </c>
      <c r="X514">
        <f>HYPERLINK("https://klasma.github.io/Logging_2262/tillsyn/A 69202-2020 tillsyn.docx", "A 69202-2020")</f>
        <v/>
      </c>
      <c r="Y514">
        <f>HYPERLINK("https://klasma.github.io/Logging_2262/tillsynsmail/A 69202-2020 tillsynsmail.docx", "A 69202-2020")</f>
        <v/>
      </c>
    </row>
    <row r="515" ht="15" customHeight="1">
      <c r="A515" t="inlineStr">
        <is>
          <t>A 5558-2021</t>
        </is>
      </c>
      <c r="B515" s="1" t="n">
        <v>44230</v>
      </c>
      <c r="C515" s="1" t="n">
        <v>45212</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HYPERLINK("https://klasma.github.io/Logging_2260/karta/A 5558-2021 karta.png", "A 5558-2021")</f>
        <v/>
      </c>
      <c r="V515">
        <f>HYPERLINK("https://klasma.github.io/Logging_2260/klagomål/A 5558-2021 klagomål.docx", "A 5558-2021")</f>
        <v/>
      </c>
      <c r="W515">
        <f>HYPERLINK("https://klasma.github.io/Logging_2260/klagomålsmail/A 5558-2021 klagomålsmail.docx", "A 5558-2021")</f>
        <v/>
      </c>
      <c r="X515">
        <f>HYPERLINK("https://klasma.github.io/Logging_2260/tillsyn/A 5558-2021 tillsyn.docx", "A 5558-2021")</f>
        <v/>
      </c>
      <c r="Y515">
        <f>HYPERLINK("https://klasma.github.io/Logging_2260/tillsynsmail/A 5558-2021 tillsynsmail.docx", "A 5558-2021")</f>
        <v/>
      </c>
    </row>
    <row r="516" ht="15" customHeight="1">
      <c r="A516" t="inlineStr">
        <is>
          <t>A 12809-2021</t>
        </is>
      </c>
      <c r="B516" s="1" t="n">
        <v>44270</v>
      </c>
      <c r="C516" s="1" t="n">
        <v>45212</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HYPERLINK("https://klasma.github.io/Logging_2280/karta/A 12809-2021 karta.png", "A 12809-2021")</f>
        <v/>
      </c>
      <c r="V516">
        <f>HYPERLINK("https://klasma.github.io/Logging_2280/klagomål/A 12809-2021 klagomål.docx", "A 12809-2021")</f>
        <v/>
      </c>
      <c r="W516">
        <f>HYPERLINK("https://klasma.github.io/Logging_2280/klagomålsmail/A 12809-2021 klagomålsmail.docx", "A 12809-2021")</f>
        <v/>
      </c>
      <c r="X516">
        <f>HYPERLINK("https://klasma.github.io/Logging_2280/tillsyn/A 12809-2021 tillsyn.docx", "A 12809-2021")</f>
        <v/>
      </c>
      <c r="Y516">
        <f>HYPERLINK("https://klasma.github.io/Logging_2280/tillsynsmail/A 12809-2021 tillsynsmail.docx", "A 12809-2021")</f>
        <v/>
      </c>
    </row>
    <row r="517" ht="15" customHeight="1">
      <c r="A517" t="inlineStr">
        <is>
          <t>A 15775-2021</t>
        </is>
      </c>
      <c r="B517" s="1" t="n">
        <v>44286</v>
      </c>
      <c r="C517" s="1" t="n">
        <v>45212</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HYPERLINK("https://klasma.github.io/Logging_2281/karta/A 15775-2021 karta.png", "A 15775-2021")</f>
        <v/>
      </c>
      <c r="V517">
        <f>HYPERLINK("https://klasma.github.io/Logging_2281/klagomål/A 15775-2021 klagomål.docx", "A 15775-2021")</f>
        <v/>
      </c>
      <c r="W517">
        <f>HYPERLINK("https://klasma.github.io/Logging_2281/klagomålsmail/A 15775-2021 klagomålsmail.docx", "A 15775-2021")</f>
        <v/>
      </c>
      <c r="X517">
        <f>HYPERLINK("https://klasma.github.io/Logging_2281/tillsyn/A 15775-2021 tillsyn.docx", "A 15775-2021")</f>
        <v/>
      </c>
      <c r="Y517">
        <f>HYPERLINK("https://klasma.github.io/Logging_2281/tillsynsmail/A 15775-2021 tillsynsmail.docx", "A 15775-2021")</f>
        <v/>
      </c>
    </row>
    <row r="518" ht="15" customHeight="1">
      <c r="A518" t="inlineStr">
        <is>
          <t>A 17333-2021</t>
        </is>
      </c>
      <c r="B518" s="1" t="n">
        <v>44298</v>
      </c>
      <c r="C518" s="1" t="n">
        <v>45212</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HYPERLINK("https://klasma.github.io/Logging_2281/karta/A 17333-2021 karta.png", "A 17333-2021")</f>
        <v/>
      </c>
      <c r="V518">
        <f>HYPERLINK("https://klasma.github.io/Logging_2281/klagomål/A 17333-2021 klagomål.docx", "A 17333-2021")</f>
        <v/>
      </c>
      <c r="W518">
        <f>HYPERLINK("https://klasma.github.io/Logging_2281/klagomålsmail/A 17333-2021 klagomålsmail.docx", "A 17333-2021")</f>
        <v/>
      </c>
      <c r="X518">
        <f>HYPERLINK("https://klasma.github.io/Logging_2281/tillsyn/A 17333-2021 tillsyn.docx", "A 17333-2021")</f>
        <v/>
      </c>
      <c r="Y518">
        <f>HYPERLINK("https://klasma.github.io/Logging_2281/tillsynsmail/A 17333-2021 tillsynsmail.docx", "A 17333-2021")</f>
        <v/>
      </c>
    </row>
    <row r="519" ht="15" customHeight="1">
      <c r="A519" t="inlineStr">
        <is>
          <t>A 17377-2021</t>
        </is>
      </c>
      <c r="B519" s="1" t="n">
        <v>44298</v>
      </c>
      <c r="C519" s="1" t="n">
        <v>45212</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HYPERLINK("https://klasma.github.io/Logging_2283/karta/A 17377-2021 karta.png", "A 17377-2021")</f>
        <v/>
      </c>
      <c r="V519">
        <f>HYPERLINK("https://klasma.github.io/Logging_2283/klagomål/A 17377-2021 klagomål.docx", "A 17377-2021")</f>
        <v/>
      </c>
      <c r="W519">
        <f>HYPERLINK("https://klasma.github.io/Logging_2283/klagomålsmail/A 17377-2021 klagomålsmail.docx", "A 17377-2021")</f>
        <v/>
      </c>
      <c r="X519">
        <f>HYPERLINK("https://klasma.github.io/Logging_2283/tillsyn/A 17377-2021 tillsyn.docx", "A 17377-2021")</f>
        <v/>
      </c>
      <c r="Y519">
        <f>HYPERLINK("https://klasma.github.io/Logging_2283/tillsynsmail/A 17377-2021 tillsynsmail.docx", "A 17377-2021")</f>
        <v/>
      </c>
    </row>
    <row r="520" ht="15" customHeight="1">
      <c r="A520" t="inlineStr">
        <is>
          <t>A 17331-2021</t>
        </is>
      </c>
      <c r="B520" s="1" t="n">
        <v>44298</v>
      </c>
      <c r="C520" s="1" t="n">
        <v>45212</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HYPERLINK("https://klasma.github.io/Logging_2281/karta/A 17331-2021 karta.png", "A 17331-2021")</f>
        <v/>
      </c>
      <c r="V520">
        <f>HYPERLINK("https://klasma.github.io/Logging_2281/klagomål/A 17331-2021 klagomål.docx", "A 17331-2021")</f>
        <v/>
      </c>
      <c r="W520">
        <f>HYPERLINK("https://klasma.github.io/Logging_2281/klagomålsmail/A 17331-2021 klagomålsmail.docx", "A 17331-2021")</f>
        <v/>
      </c>
      <c r="X520">
        <f>HYPERLINK("https://klasma.github.io/Logging_2281/tillsyn/A 17331-2021 tillsyn.docx", "A 17331-2021")</f>
        <v/>
      </c>
      <c r="Y520">
        <f>HYPERLINK("https://klasma.github.io/Logging_2281/tillsynsmail/A 17331-2021 tillsynsmail.docx", "A 17331-2021")</f>
        <v/>
      </c>
    </row>
    <row r="521" ht="15" customHeight="1">
      <c r="A521" t="inlineStr">
        <is>
          <t>A 18461-2021</t>
        </is>
      </c>
      <c r="B521" s="1" t="n">
        <v>44305</v>
      </c>
      <c r="C521" s="1" t="n">
        <v>45212</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HYPERLINK("https://klasma.github.io/Logging_2283/karta/A 18461-2021 karta.png", "A 18461-2021")</f>
        <v/>
      </c>
      <c r="V521">
        <f>HYPERLINK("https://klasma.github.io/Logging_2283/klagomål/A 18461-2021 klagomål.docx", "A 18461-2021")</f>
        <v/>
      </c>
      <c r="W521">
        <f>HYPERLINK("https://klasma.github.io/Logging_2283/klagomålsmail/A 18461-2021 klagomålsmail.docx", "A 18461-2021")</f>
        <v/>
      </c>
      <c r="X521">
        <f>HYPERLINK("https://klasma.github.io/Logging_2283/tillsyn/A 18461-2021 tillsyn.docx", "A 18461-2021")</f>
        <v/>
      </c>
      <c r="Y521">
        <f>HYPERLINK("https://klasma.github.io/Logging_2283/tillsynsmail/A 18461-2021 tillsynsmail.docx", "A 18461-2021")</f>
        <v/>
      </c>
    </row>
    <row r="522" ht="15" customHeight="1">
      <c r="A522" t="inlineStr">
        <is>
          <t>A 18969-2021</t>
        </is>
      </c>
      <c r="B522" s="1" t="n">
        <v>44308</v>
      </c>
      <c r="C522" s="1" t="n">
        <v>45212</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HYPERLINK("https://klasma.github.io/Logging_2262/karta/A 18969-2021 karta.png", "A 18969-2021")</f>
        <v/>
      </c>
      <c r="V522">
        <f>HYPERLINK("https://klasma.github.io/Logging_2262/klagomål/A 18969-2021 klagomål.docx", "A 18969-2021")</f>
        <v/>
      </c>
      <c r="W522">
        <f>HYPERLINK("https://klasma.github.io/Logging_2262/klagomålsmail/A 18969-2021 klagomålsmail.docx", "A 18969-2021")</f>
        <v/>
      </c>
      <c r="X522">
        <f>HYPERLINK("https://klasma.github.io/Logging_2262/tillsyn/A 18969-2021 tillsyn.docx", "A 18969-2021")</f>
        <v/>
      </c>
      <c r="Y522">
        <f>HYPERLINK("https://klasma.github.io/Logging_2262/tillsynsmail/A 18969-2021 tillsynsmail.docx", "A 18969-2021")</f>
        <v/>
      </c>
    </row>
    <row r="523" ht="15" customHeight="1">
      <c r="A523" t="inlineStr">
        <is>
          <t>A 21740-2021</t>
        </is>
      </c>
      <c r="B523" s="1" t="n">
        <v>44321</v>
      </c>
      <c r="C523" s="1" t="n">
        <v>45212</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HYPERLINK("https://klasma.github.io/Logging_2280/karta/A 21740-2021 karta.png", "A 21740-2021")</f>
        <v/>
      </c>
      <c r="V523">
        <f>HYPERLINK("https://klasma.github.io/Logging_2280/klagomål/A 21740-2021 klagomål.docx", "A 21740-2021")</f>
        <v/>
      </c>
      <c r="W523">
        <f>HYPERLINK("https://klasma.github.io/Logging_2280/klagomålsmail/A 21740-2021 klagomålsmail.docx", "A 21740-2021")</f>
        <v/>
      </c>
      <c r="X523">
        <f>HYPERLINK("https://klasma.github.io/Logging_2280/tillsyn/A 21740-2021 tillsyn.docx", "A 21740-2021")</f>
        <v/>
      </c>
      <c r="Y523">
        <f>HYPERLINK("https://klasma.github.io/Logging_2280/tillsynsmail/A 21740-2021 tillsynsmail.docx", "A 21740-2021")</f>
        <v/>
      </c>
    </row>
    <row r="524" ht="15" customHeight="1">
      <c r="A524" t="inlineStr">
        <is>
          <t>A 25455-2021</t>
        </is>
      </c>
      <c r="B524" s="1" t="n">
        <v>44342</v>
      </c>
      <c r="C524" s="1" t="n">
        <v>45212</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HYPERLINK("https://klasma.github.io/Logging_2284/karta/A 25455-2021 karta.png", "A 25455-2021")</f>
        <v/>
      </c>
      <c r="V524">
        <f>HYPERLINK("https://klasma.github.io/Logging_2284/klagomål/A 25455-2021 klagomål.docx", "A 25455-2021")</f>
        <v/>
      </c>
      <c r="W524">
        <f>HYPERLINK("https://klasma.github.io/Logging_2284/klagomålsmail/A 25455-2021 klagomålsmail.docx", "A 25455-2021")</f>
        <v/>
      </c>
      <c r="X524">
        <f>HYPERLINK("https://klasma.github.io/Logging_2284/tillsyn/A 25455-2021 tillsyn.docx", "A 25455-2021")</f>
        <v/>
      </c>
      <c r="Y524">
        <f>HYPERLINK("https://klasma.github.io/Logging_2284/tillsynsmail/A 25455-2021 tillsynsmail.docx", "A 25455-2021")</f>
        <v/>
      </c>
    </row>
    <row r="525" ht="15" customHeight="1">
      <c r="A525" t="inlineStr">
        <is>
          <t>A 32102-2021</t>
        </is>
      </c>
      <c r="B525" s="1" t="n">
        <v>44370</v>
      </c>
      <c r="C525" s="1" t="n">
        <v>45212</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HYPERLINK("https://klasma.github.io/Logging_2280/karta/A 32102-2021 karta.png", "A 32102-2021")</f>
        <v/>
      </c>
      <c r="V525">
        <f>HYPERLINK("https://klasma.github.io/Logging_2280/klagomål/A 32102-2021 klagomål.docx", "A 32102-2021")</f>
        <v/>
      </c>
      <c r="W525">
        <f>HYPERLINK("https://klasma.github.io/Logging_2280/klagomålsmail/A 32102-2021 klagomålsmail.docx", "A 32102-2021")</f>
        <v/>
      </c>
      <c r="X525">
        <f>HYPERLINK("https://klasma.github.io/Logging_2280/tillsyn/A 32102-2021 tillsyn.docx", "A 32102-2021")</f>
        <v/>
      </c>
      <c r="Y525">
        <f>HYPERLINK("https://klasma.github.io/Logging_2280/tillsynsmail/A 32102-2021 tillsynsmail.docx", "A 32102-2021")</f>
        <v/>
      </c>
    </row>
    <row r="526" ht="15" customHeight="1">
      <c r="A526" t="inlineStr">
        <is>
          <t>A 35913-2021</t>
        </is>
      </c>
      <c r="B526" s="1" t="n">
        <v>44387</v>
      </c>
      <c r="C526" s="1" t="n">
        <v>45212</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HYPERLINK("https://klasma.github.io/Logging_2281/karta/A 35913-2021 karta.png", "A 35913-2021")</f>
        <v/>
      </c>
      <c r="V526">
        <f>HYPERLINK("https://klasma.github.io/Logging_2281/klagomål/A 35913-2021 klagomål.docx", "A 35913-2021")</f>
        <v/>
      </c>
      <c r="W526">
        <f>HYPERLINK("https://klasma.github.io/Logging_2281/klagomålsmail/A 35913-2021 klagomålsmail.docx", "A 35913-2021")</f>
        <v/>
      </c>
      <c r="X526">
        <f>HYPERLINK("https://klasma.github.io/Logging_2281/tillsyn/A 35913-2021 tillsyn.docx", "A 35913-2021")</f>
        <v/>
      </c>
      <c r="Y526">
        <f>HYPERLINK("https://klasma.github.io/Logging_2281/tillsynsmail/A 35913-2021 tillsynsmail.docx", "A 35913-2021")</f>
        <v/>
      </c>
    </row>
    <row r="527" ht="15" customHeight="1">
      <c r="A527" t="inlineStr">
        <is>
          <t>A 37614-2021</t>
        </is>
      </c>
      <c r="B527" s="1" t="n">
        <v>44399</v>
      </c>
      <c r="C527" s="1" t="n">
        <v>45212</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HYPERLINK("https://klasma.github.io/Logging_2281/karta/A 37614-2021 karta.png", "A 37614-2021")</f>
        <v/>
      </c>
      <c r="V527">
        <f>HYPERLINK("https://klasma.github.io/Logging_2281/klagomål/A 37614-2021 klagomål.docx", "A 37614-2021")</f>
        <v/>
      </c>
      <c r="W527">
        <f>HYPERLINK("https://klasma.github.io/Logging_2281/klagomålsmail/A 37614-2021 klagomålsmail.docx", "A 37614-2021")</f>
        <v/>
      </c>
      <c r="X527">
        <f>HYPERLINK("https://klasma.github.io/Logging_2281/tillsyn/A 37614-2021 tillsyn.docx", "A 37614-2021")</f>
        <v/>
      </c>
      <c r="Y527">
        <f>HYPERLINK("https://klasma.github.io/Logging_2281/tillsynsmail/A 37614-2021 tillsynsmail.docx", "A 37614-2021")</f>
        <v/>
      </c>
    </row>
    <row r="528" ht="15" customHeight="1">
      <c r="A528" t="inlineStr">
        <is>
          <t>A 38088-2021</t>
        </is>
      </c>
      <c r="B528" s="1" t="n">
        <v>44404</v>
      </c>
      <c r="C528" s="1" t="n">
        <v>45212</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HYPERLINK("https://klasma.github.io/Logging_2284/karta/A 38088-2021 karta.png", "A 38088-2021")</f>
        <v/>
      </c>
      <c r="V528">
        <f>HYPERLINK("https://klasma.github.io/Logging_2284/klagomål/A 38088-2021 klagomål.docx", "A 38088-2021")</f>
        <v/>
      </c>
      <c r="W528">
        <f>HYPERLINK("https://klasma.github.io/Logging_2284/klagomålsmail/A 38088-2021 klagomålsmail.docx", "A 38088-2021")</f>
        <v/>
      </c>
      <c r="X528">
        <f>HYPERLINK("https://klasma.github.io/Logging_2284/tillsyn/A 38088-2021 tillsyn.docx", "A 38088-2021")</f>
        <v/>
      </c>
      <c r="Y528">
        <f>HYPERLINK("https://klasma.github.io/Logging_2284/tillsynsmail/A 38088-2021 tillsynsmail.docx", "A 38088-2021")</f>
        <v/>
      </c>
    </row>
    <row r="529" ht="15" customHeight="1">
      <c r="A529" t="inlineStr">
        <is>
          <t>A 40123-2021</t>
        </is>
      </c>
      <c r="B529" s="1" t="n">
        <v>44418</v>
      </c>
      <c r="C529" s="1" t="n">
        <v>45212</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HYPERLINK("https://klasma.github.io/Logging_2281/karta/A 40123-2021 karta.png", "A 40123-2021")</f>
        <v/>
      </c>
      <c r="V529">
        <f>HYPERLINK("https://klasma.github.io/Logging_2281/klagomål/A 40123-2021 klagomål.docx", "A 40123-2021")</f>
        <v/>
      </c>
      <c r="W529">
        <f>HYPERLINK("https://klasma.github.io/Logging_2281/klagomålsmail/A 40123-2021 klagomålsmail.docx", "A 40123-2021")</f>
        <v/>
      </c>
      <c r="X529">
        <f>HYPERLINK("https://klasma.github.io/Logging_2281/tillsyn/A 40123-2021 tillsyn.docx", "A 40123-2021")</f>
        <v/>
      </c>
      <c r="Y529">
        <f>HYPERLINK("https://klasma.github.io/Logging_2281/tillsynsmail/A 40123-2021 tillsynsmail.docx", "A 40123-2021")</f>
        <v/>
      </c>
    </row>
    <row r="530" ht="15" customHeight="1">
      <c r="A530" t="inlineStr">
        <is>
          <t>A 41493-2021</t>
        </is>
      </c>
      <c r="B530" s="1" t="n">
        <v>44424</v>
      </c>
      <c r="C530" s="1" t="n">
        <v>45212</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HYPERLINK("https://klasma.github.io/Logging_2260/karta/A 41493-2021 karta.png", "A 41493-2021")</f>
        <v/>
      </c>
      <c r="U530">
        <f>HYPERLINK("https://klasma.github.io/Logging_2260/knärot/A 41493-2021 knärot.png", "A 41493-2021")</f>
        <v/>
      </c>
      <c r="V530">
        <f>HYPERLINK("https://klasma.github.io/Logging_2260/klagomål/A 41493-2021 klagomål.docx", "A 41493-2021")</f>
        <v/>
      </c>
      <c r="W530">
        <f>HYPERLINK("https://klasma.github.io/Logging_2260/klagomålsmail/A 41493-2021 klagomålsmail.docx", "A 41493-2021")</f>
        <v/>
      </c>
      <c r="X530">
        <f>HYPERLINK("https://klasma.github.io/Logging_2260/tillsyn/A 41493-2021 tillsyn.docx", "A 41493-2021")</f>
        <v/>
      </c>
      <c r="Y530">
        <f>HYPERLINK("https://klasma.github.io/Logging_2260/tillsynsmail/A 41493-2021 tillsynsmail.docx", "A 41493-2021")</f>
        <v/>
      </c>
    </row>
    <row r="531" ht="15" customHeight="1">
      <c r="A531" t="inlineStr">
        <is>
          <t>A 42224-2021</t>
        </is>
      </c>
      <c r="B531" s="1" t="n">
        <v>44426</v>
      </c>
      <c r="C531" s="1" t="n">
        <v>45212</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HYPERLINK("https://klasma.github.io/Logging_2283/karta/A 42224-2021 karta.png", "A 42224-2021")</f>
        <v/>
      </c>
      <c r="V531">
        <f>HYPERLINK("https://klasma.github.io/Logging_2283/klagomål/A 42224-2021 klagomål.docx", "A 42224-2021")</f>
        <v/>
      </c>
      <c r="W531">
        <f>HYPERLINK("https://klasma.github.io/Logging_2283/klagomålsmail/A 42224-2021 klagomålsmail.docx", "A 42224-2021")</f>
        <v/>
      </c>
      <c r="X531">
        <f>HYPERLINK("https://klasma.github.io/Logging_2283/tillsyn/A 42224-2021 tillsyn.docx", "A 42224-2021")</f>
        <v/>
      </c>
      <c r="Y531">
        <f>HYPERLINK("https://klasma.github.io/Logging_2283/tillsynsmail/A 42224-2021 tillsynsmail.docx", "A 42224-2021")</f>
        <v/>
      </c>
    </row>
    <row r="532" ht="15" customHeight="1">
      <c r="A532" t="inlineStr">
        <is>
          <t>A 45355-2021</t>
        </is>
      </c>
      <c r="B532" s="1" t="n">
        <v>44439</v>
      </c>
      <c r="C532" s="1" t="n">
        <v>45212</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HYPERLINK("https://klasma.github.io/Logging_2260/karta/A 45355-2021 karta.png", "A 45355-2021")</f>
        <v/>
      </c>
      <c r="V532">
        <f>HYPERLINK("https://klasma.github.io/Logging_2260/klagomål/A 45355-2021 klagomål.docx", "A 45355-2021")</f>
        <v/>
      </c>
      <c r="W532">
        <f>HYPERLINK("https://klasma.github.io/Logging_2260/klagomålsmail/A 45355-2021 klagomålsmail.docx", "A 45355-2021")</f>
        <v/>
      </c>
      <c r="X532">
        <f>HYPERLINK("https://klasma.github.io/Logging_2260/tillsyn/A 45355-2021 tillsyn.docx", "A 45355-2021")</f>
        <v/>
      </c>
      <c r="Y532">
        <f>HYPERLINK("https://klasma.github.io/Logging_2260/tillsynsmail/A 45355-2021 tillsynsmail.docx", "A 45355-2021")</f>
        <v/>
      </c>
    </row>
    <row r="533" ht="15" customHeight="1">
      <c r="A533" t="inlineStr">
        <is>
          <t>A 50661-2021</t>
        </is>
      </c>
      <c r="B533" s="1" t="n">
        <v>44459</v>
      </c>
      <c r="C533" s="1" t="n">
        <v>45212</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HYPERLINK("https://klasma.github.io/Logging_2281/karta/A 50661-2021 karta.png", "A 50661-2021")</f>
        <v/>
      </c>
      <c r="V533">
        <f>HYPERLINK("https://klasma.github.io/Logging_2281/klagomål/A 50661-2021 klagomål.docx", "A 50661-2021")</f>
        <v/>
      </c>
      <c r="W533">
        <f>HYPERLINK("https://klasma.github.io/Logging_2281/klagomålsmail/A 50661-2021 klagomålsmail.docx", "A 50661-2021")</f>
        <v/>
      </c>
      <c r="X533">
        <f>HYPERLINK("https://klasma.github.io/Logging_2281/tillsyn/A 50661-2021 tillsyn.docx", "A 50661-2021")</f>
        <v/>
      </c>
      <c r="Y533">
        <f>HYPERLINK("https://klasma.github.io/Logging_2281/tillsynsmail/A 50661-2021 tillsynsmail.docx", "A 50661-2021")</f>
        <v/>
      </c>
    </row>
    <row r="534" ht="15" customHeight="1">
      <c r="A534" t="inlineStr">
        <is>
          <t>A 51019-2021</t>
        </is>
      </c>
      <c r="B534" s="1" t="n">
        <v>44460</v>
      </c>
      <c r="C534" s="1" t="n">
        <v>45212</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HYPERLINK("https://klasma.github.io/Logging_2283/karta/A 51019-2021 karta.png", "A 51019-2021")</f>
        <v/>
      </c>
      <c r="V534">
        <f>HYPERLINK("https://klasma.github.io/Logging_2283/klagomål/A 51019-2021 klagomål.docx", "A 51019-2021")</f>
        <v/>
      </c>
      <c r="W534">
        <f>HYPERLINK("https://klasma.github.io/Logging_2283/klagomålsmail/A 51019-2021 klagomålsmail.docx", "A 51019-2021")</f>
        <v/>
      </c>
      <c r="X534">
        <f>HYPERLINK("https://klasma.github.io/Logging_2283/tillsyn/A 51019-2021 tillsyn.docx", "A 51019-2021")</f>
        <v/>
      </c>
      <c r="Y534">
        <f>HYPERLINK("https://klasma.github.io/Logging_2283/tillsynsmail/A 51019-2021 tillsynsmail.docx", "A 51019-2021")</f>
        <v/>
      </c>
    </row>
    <row r="535" ht="15" customHeight="1">
      <c r="A535" t="inlineStr">
        <is>
          <t>A 54751-2021</t>
        </is>
      </c>
      <c r="B535" s="1" t="n">
        <v>44473</v>
      </c>
      <c r="C535" s="1" t="n">
        <v>45212</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HYPERLINK("https://klasma.github.io/Logging_2260/karta/A 54751-2021 karta.png", "A 54751-2021")</f>
        <v/>
      </c>
      <c r="V535">
        <f>HYPERLINK("https://klasma.github.io/Logging_2260/klagomål/A 54751-2021 klagomål.docx", "A 54751-2021")</f>
        <v/>
      </c>
      <c r="W535">
        <f>HYPERLINK("https://klasma.github.io/Logging_2260/klagomålsmail/A 54751-2021 klagomålsmail.docx", "A 54751-2021")</f>
        <v/>
      </c>
      <c r="X535">
        <f>HYPERLINK("https://klasma.github.io/Logging_2260/tillsyn/A 54751-2021 tillsyn.docx", "A 54751-2021")</f>
        <v/>
      </c>
      <c r="Y535">
        <f>HYPERLINK("https://klasma.github.io/Logging_2260/tillsynsmail/A 54751-2021 tillsynsmail.docx", "A 54751-2021")</f>
        <v/>
      </c>
    </row>
    <row r="536" ht="15" customHeight="1">
      <c r="A536" t="inlineStr">
        <is>
          <t>A 57562-2021</t>
        </is>
      </c>
      <c r="B536" s="1" t="n">
        <v>44483</v>
      </c>
      <c r="C536" s="1" t="n">
        <v>45212</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HYPERLINK("https://klasma.github.io/Logging_2260/karta/A 57562-2021 karta.png", "A 57562-2021")</f>
        <v/>
      </c>
      <c r="V536">
        <f>HYPERLINK("https://klasma.github.io/Logging_2260/klagomål/A 57562-2021 klagomål.docx", "A 57562-2021")</f>
        <v/>
      </c>
      <c r="W536">
        <f>HYPERLINK("https://klasma.github.io/Logging_2260/klagomålsmail/A 57562-2021 klagomålsmail.docx", "A 57562-2021")</f>
        <v/>
      </c>
      <c r="X536">
        <f>HYPERLINK("https://klasma.github.io/Logging_2260/tillsyn/A 57562-2021 tillsyn.docx", "A 57562-2021")</f>
        <v/>
      </c>
      <c r="Y536">
        <f>HYPERLINK("https://klasma.github.io/Logging_2260/tillsynsmail/A 57562-2021 tillsynsmail.docx", "A 57562-2021")</f>
        <v/>
      </c>
    </row>
    <row r="537" ht="15" customHeight="1">
      <c r="A537" t="inlineStr">
        <is>
          <t>A 58147-2021</t>
        </is>
      </c>
      <c r="B537" s="1" t="n">
        <v>44487</v>
      </c>
      <c r="C537" s="1" t="n">
        <v>45212</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HYPERLINK("https://klasma.github.io/Logging_2284/karta/A 58147-2021 karta.png", "A 58147-2021")</f>
        <v/>
      </c>
      <c r="V537">
        <f>HYPERLINK("https://klasma.github.io/Logging_2284/klagomål/A 58147-2021 klagomål.docx", "A 58147-2021")</f>
        <v/>
      </c>
      <c r="W537">
        <f>HYPERLINK("https://klasma.github.io/Logging_2284/klagomålsmail/A 58147-2021 klagomålsmail.docx", "A 58147-2021")</f>
        <v/>
      </c>
      <c r="X537">
        <f>HYPERLINK("https://klasma.github.io/Logging_2284/tillsyn/A 58147-2021 tillsyn.docx", "A 58147-2021")</f>
        <v/>
      </c>
      <c r="Y537">
        <f>HYPERLINK("https://klasma.github.io/Logging_2284/tillsynsmail/A 58147-2021 tillsynsmail.docx", "A 58147-2021")</f>
        <v/>
      </c>
    </row>
    <row r="538" ht="15" customHeight="1">
      <c r="A538" t="inlineStr">
        <is>
          <t>A 58162-2021</t>
        </is>
      </c>
      <c r="B538" s="1" t="n">
        <v>44487</v>
      </c>
      <c r="C538" s="1" t="n">
        <v>45212</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HYPERLINK("https://klasma.github.io/Logging_2284/karta/A 58162-2021 karta.png", "A 58162-2021")</f>
        <v/>
      </c>
      <c r="V538">
        <f>HYPERLINK("https://klasma.github.io/Logging_2284/klagomål/A 58162-2021 klagomål.docx", "A 58162-2021")</f>
        <v/>
      </c>
      <c r="W538">
        <f>HYPERLINK("https://klasma.github.io/Logging_2284/klagomålsmail/A 58162-2021 klagomålsmail.docx", "A 58162-2021")</f>
        <v/>
      </c>
      <c r="X538">
        <f>HYPERLINK("https://klasma.github.io/Logging_2284/tillsyn/A 58162-2021 tillsyn.docx", "A 58162-2021")</f>
        <v/>
      </c>
      <c r="Y538">
        <f>HYPERLINK("https://klasma.github.io/Logging_2284/tillsynsmail/A 58162-2021 tillsynsmail.docx", "A 58162-2021")</f>
        <v/>
      </c>
    </row>
    <row r="539" ht="15" customHeight="1">
      <c r="A539" t="inlineStr">
        <is>
          <t>A 60137-2021</t>
        </is>
      </c>
      <c r="B539" s="1" t="n">
        <v>44494</v>
      </c>
      <c r="C539" s="1" t="n">
        <v>45212</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HYPERLINK("https://klasma.github.io/Logging_2284/karta/A 60137-2021 karta.png", "A 60137-2021")</f>
        <v/>
      </c>
      <c r="V539">
        <f>HYPERLINK("https://klasma.github.io/Logging_2284/klagomål/A 60137-2021 klagomål.docx", "A 60137-2021")</f>
        <v/>
      </c>
      <c r="W539">
        <f>HYPERLINK("https://klasma.github.io/Logging_2284/klagomålsmail/A 60137-2021 klagomålsmail.docx", "A 60137-2021")</f>
        <v/>
      </c>
      <c r="X539">
        <f>HYPERLINK("https://klasma.github.io/Logging_2284/tillsyn/A 60137-2021 tillsyn.docx", "A 60137-2021")</f>
        <v/>
      </c>
      <c r="Y539">
        <f>HYPERLINK("https://klasma.github.io/Logging_2284/tillsynsmail/A 60137-2021 tillsynsmail.docx", "A 60137-2021")</f>
        <v/>
      </c>
    </row>
    <row r="540" ht="15" customHeight="1">
      <c r="A540" t="inlineStr">
        <is>
          <t>A 60767-2021</t>
        </is>
      </c>
      <c r="B540" s="1" t="n">
        <v>44496</v>
      </c>
      <c r="C540" s="1" t="n">
        <v>45212</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HYPERLINK("https://klasma.github.io/Logging_2260/karta/A 60767-2021 karta.png", "A 60767-2021")</f>
        <v/>
      </c>
      <c r="U540">
        <f>HYPERLINK("https://klasma.github.io/Logging_2260/knärot/A 60767-2021 knärot.png", "A 60767-2021")</f>
        <v/>
      </c>
      <c r="V540">
        <f>HYPERLINK("https://klasma.github.io/Logging_2260/klagomål/A 60767-2021 klagomål.docx", "A 60767-2021")</f>
        <v/>
      </c>
      <c r="W540">
        <f>HYPERLINK("https://klasma.github.io/Logging_2260/klagomålsmail/A 60767-2021 klagomålsmail.docx", "A 60767-2021")</f>
        <v/>
      </c>
      <c r="X540">
        <f>HYPERLINK("https://klasma.github.io/Logging_2260/tillsyn/A 60767-2021 tillsyn.docx", "A 60767-2021")</f>
        <v/>
      </c>
      <c r="Y540">
        <f>HYPERLINK("https://klasma.github.io/Logging_2260/tillsynsmail/A 60767-2021 tillsynsmail.docx", "A 60767-2021")</f>
        <v/>
      </c>
    </row>
    <row r="541" ht="15" customHeight="1">
      <c r="A541" t="inlineStr">
        <is>
          <t>A 61458-2021</t>
        </is>
      </c>
      <c r="B541" s="1" t="n">
        <v>44500</v>
      </c>
      <c r="C541" s="1" t="n">
        <v>45212</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HYPERLINK("https://klasma.github.io/Logging_2260/karta/A 61458-2021 karta.png", "A 61458-2021")</f>
        <v/>
      </c>
      <c r="U541">
        <f>HYPERLINK("https://klasma.github.io/Logging_2260/knärot/A 61458-2021 knärot.png", "A 61458-2021")</f>
        <v/>
      </c>
      <c r="V541">
        <f>HYPERLINK("https://klasma.github.io/Logging_2260/klagomål/A 61458-2021 klagomål.docx", "A 61458-2021")</f>
        <v/>
      </c>
      <c r="W541">
        <f>HYPERLINK("https://klasma.github.io/Logging_2260/klagomålsmail/A 61458-2021 klagomålsmail.docx", "A 61458-2021")</f>
        <v/>
      </c>
      <c r="X541">
        <f>HYPERLINK("https://klasma.github.io/Logging_2260/tillsyn/A 61458-2021 tillsyn.docx", "A 61458-2021")</f>
        <v/>
      </c>
      <c r="Y541">
        <f>HYPERLINK("https://klasma.github.io/Logging_2260/tillsynsmail/A 61458-2021 tillsynsmail.docx", "A 61458-2021")</f>
        <v/>
      </c>
    </row>
    <row r="542" ht="15" customHeight="1">
      <c r="A542" t="inlineStr">
        <is>
          <t>A 61479-2021</t>
        </is>
      </c>
      <c r="B542" s="1" t="n">
        <v>44500</v>
      </c>
      <c r="C542" s="1" t="n">
        <v>45212</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HYPERLINK("https://klasma.github.io/Logging_2260/karta/A 61479-2021 karta.png", "A 61479-2021")</f>
        <v/>
      </c>
      <c r="U542">
        <f>HYPERLINK("https://klasma.github.io/Logging_2260/knärot/A 61479-2021 knärot.png", "A 61479-2021")</f>
        <v/>
      </c>
      <c r="V542">
        <f>HYPERLINK("https://klasma.github.io/Logging_2260/klagomål/A 61479-2021 klagomål.docx", "A 61479-2021")</f>
        <v/>
      </c>
      <c r="W542">
        <f>HYPERLINK("https://klasma.github.io/Logging_2260/klagomålsmail/A 61479-2021 klagomålsmail.docx", "A 61479-2021")</f>
        <v/>
      </c>
      <c r="X542">
        <f>HYPERLINK("https://klasma.github.io/Logging_2260/tillsyn/A 61479-2021 tillsyn.docx", "A 61479-2021")</f>
        <v/>
      </c>
      <c r="Y542">
        <f>HYPERLINK("https://klasma.github.io/Logging_2260/tillsynsmail/A 61479-2021 tillsynsmail.docx", "A 61479-2021")</f>
        <v/>
      </c>
    </row>
    <row r="543" ht="15" customHeight="1">
      <c r="A543" t="inlineStr">
        <is>
          <t>A 63612-2021</t>
        </is>
      </c>
      <c r="B543" s="1" t="n">
        <v>44508</v>
      </c>
      <c r="C543" s="1" t="n">
        <v>45212</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HYPERLINK("https://klasma.github.io/Logging_2283/karta/A 63612-2021 karta.png", "A 63612-2021")</f>
        <v/>
      </c>
      <c r="V543">
        <f>HYPERLINK("https://klasma.github.io/Logging_2283/klagomål/A 63612-2021 klagomål.docx", "A 63612-2021")</f>
        <v/>
      </c>
      <c r="W543">
        <f>HYPERLINK("https://klasma.github.io/Logging_2283/klagomålsmail/A 63612-2021 klagomålsmail.docx", "A 63612-2021")</f>
        <v/>
      </c>
      <c r="X543">
        <f>HYPERLINK("https://klasma.github.io/Logging_2283/tillsyn/A 63612-2021 tillsyn.docx", "A 63612-2021")</f>
        <v/>
      </c>
      <c r="Y543">
        <f>HYPERLINK("https://klasma.github.io/Logging_2283/tillsynsmail/A 63612-2021 tillsynsmail.docx", "A 63612-2021")</f>
        <v/>
      </c>
    </row>
    <row r="544" ht="15" customHeight="1">
      <c r="A544" t="inlineStr">
        <is>
          <t>A 66478-2021</t>
        </is>
      </c>
      <c r="B544" s="1" t="n">
        <v>44518</v>
      </c>
      <c r="C544" s="1" t="n">
        <v>45212</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HYPERLINK("https://klasma.github.io/Logging_2280/karta/A 66478-2021 karta.png", "A 66478-2021")</f>
        <v/>
      </c>
      <c r="V544">
        <f>HYPERLINK("https://klasma.github.io/Logging_2280/klagomål/A 66478-2021 klagomål.docx", "A 66478-2021")</f>
        <v/>
      </c>
      <c r="W544">
        <f>HYPERLINK("https://klasma.github.io/Logging_2280/klagomålsmail/A 66478-2021 klagomålsmail.docx", "A 66478-2021")</f>
        <v/>
      </c>
      <c r="X544">
        <f>HYPERLINK("https://klasma.github.io/Logging_2280/tillsyn/A 66478-2021 tillsyn.docx", "A 66478-2021")</f>
        <v/>
      </c>
      <c r="Y544">
        <f>HYPERLINK("https://klasma.github.io/Logging_2280/tillsynsmail/A 66478-2021 tillsynsmail.docx", "A 66478-2021")</f>
        <v/>
      </c>
    </row>
    <row r="545" ht="15" customHeight="1">
      <c r="A545" t="inlineStr">
        <is>
          <t>A 66531-2021</t>
        </is>
      </c>
      <c r="B545" s="1" t="n">
        <v>44518</v>
      </c>
      <c r="C545" s="1" t="n">
        <v>45212</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HYPERLINK("https://klasma.github.io/Logging_2284/karta/A 66531-2021 karta.png", "A 66531-2021")</f>
        <v/>
      </c>
      <c r="V545">
        <f>HYPERLINK("https://klasma.github.io/Logging_2284/klagomål/A 66531-2021 klagomål.docx", "A 66531-2021")</f>
        <v/>
      </c>
      <c r="W545">
        <f>HYPERLINK("https://klasma.github.io/Logging_2284/klagomålsmail/A 66531-2021 klagomålsmail.docx", "A 66531-2021")</f>
        <v/>
      </c>
      <c r="X545">
        <f>HYPERLINK("https://klasma.github.io/Logging_2284/tillsyn/A 66531-2021 tillsyn.docx", "A 66531-2021")</f>
        <v/>
      </c>
      <c r="Y545">
        <f>HYPERLINK("https://klasma.github.io/Logging_2284/tillsynsmail/A 66531-2021 tillsynsmail.docx", "A 66531-2021")</f>
        <v/>
      </c>
    </row>
    <row r="546" ht="15" customHeight="1">
      <c r="A546" t="inlineStr">
        <is>
          <t>A 67402-2021</t>
        </is>
      </c>
      <c r="B546" s="1" t="n">
        <v>44523</v>
      </c>
      <c r="C546" s="1" t="n">
        <v>45212</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HYPERLINK("https://klasma.github.io/Logging_2283/karta/A 67402-2021 karta.png", "A 67402-2021")</f>
        <v/>
      </c>
      <c r="U546">
        <f>HYPERLINK("https://klasma.github.io/Logging_2283/knärot/A 67402-2021 knärot.png", "A 67402-2021")</f>
        <v/>
      </c>
      <c r="V546">
        <f>HYPERLINK("https://klasma.github.io/Logging_2283/klagomål/A 67402-2021 klagomål.docx", "A 67402-2021")</f>
        <v/>
      </c>
      <c r="W546">
        <f>HYPERLINK("https://klasma.github.io/Logging_2283/klagomålsmail/A 67402-2021 klagomålsmail.docx", "A 67402-2021")</f>
        <v/>
      </c>
      <c r="X546">
        <f>HYPERLINK("https://klasma.github.io/Logging_2283/tillsyn/A 67402-2021 tillsyn.docx", "A 67402-2021")</f>
        <v/>
      </c>
      <c r="Y546">
        <f>HYPERLINK("https://klasma.github.io/Logging_2283/tillsynsmail/A 67402-2021 tillsynsmail.docx", "A 67402-2021")</f>
        <v/>
      </c>
    </row>
    <row r="547" ht="15" customHeight="1">
      <c r="A547" t="inlineStr">
        <is>
          <t>A 67492-2021</t>
        </is>
      </c>
      <c r="B547" s="1" t="n">
        <v>44524</v>
      </c>
      <c r="C547" s="1" t="n">
        <v>45212</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HYPERLINK("https://klasma.github.io/Logging_2284/karta/A 67492-2021 karta.png", "A 67492-2021")</f>
        <v/>
      </c>
      <c r="V547">
        <f>HYPERLINK("https://klasma.github.io/Logging_2284/klagomål/A 67492-2021 klagomål.docx", "A 67492-2021")</f>
        <v/>
      </c>
      <c r="W547">
        <f>HYPERLINK("https://klasma.github.io/Logging_2284/klagomålsmail/A 67492-2021 klagomålsmail.docx", "A 67492-2021")</f>
        <v/>
      </c>
      <c r="X547">
        <f>HYPERLINK("https://klasma.github.io/Logging_2284/tillsyn/A 67492-2021 tillsyn.docx", "A 67492-2021")</f>
        <v/>
      </c>
      <c r="Y547">
        <f>HYPERLINK("https://klasma.github.io/Logging_2284/tillsynsmail/A 67492-2021 tillsynsmail.docx", "A 67492-2021")</f>
        <v/>
      </c>
    </row>
    <row r="548" ht="15" customHeight="1">
      <c r="A548" t="inlineStr">
        <is>
          <t>A 68781-2021</t>
        </is>
      </c>
      <c r="B548" s="1" t="n">
        <v>44529</v>
      </c>
      <c r="C548" s="1" t="n">
        <v>45212</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HYPERLINK("https://klasma.github.io/Logging_2283/karta/A 68781-2021 karta.png", "A 68781-2021")</f>
        <v/>
      </c>
      <c r="V548">
        <f>HYPERLINK("https://klasma.github.io/Logging_2283/klagomål/A 68781-2021 klagomål.docx", "A 68781-2021")</f>
        <v/>
      </c>
      <c r="W548">
        <f>HYPERLINK("https://klasma.github.io/Logging_2283/klagomålsmail/A 68781-2021 klagomålsmail.docx", "A 68781-2021")</f>
        <v/>
      </c>
      <c r="X548">
        <f>HYPERLINK("https://klasma.github.io/Logging_2283/tillsyn/A 68781-2021 tillsyn.docx", "A 68781-2021")</f>
        <v/>
      </c>
      <c r="Y548">
        <f>HYPERLINK("https://klasma.github.io/Logging_2283/tillsynsmail/A 68781-2021 tillsynsmail.docx", "A 68781-2021")</f>
        <v/>
      </c>
    </row>
    <row r="549" ht="15" customHeight="1">
      <c r="A549" t="inlineStr">
        <is>
          <t>A 71349-2021</t>
        </is>
      </c>
      <c r="B549" s="1" t="n">
        <v>44539</v>
      </c>
      <c r="C549" s="1" t="n">
        <v>45212</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HYPERLINK("https://klasma.github.io/Logging_2283/karta/A 71349-2021 karta.png", "A 71349-2021")</f>
        <v/>
      </c>
      <c r="V549">
        <f>HYPERLINK("https://klasma.github.io/Logging_2283/klagomål/A 71349-2021 klagomål.docx", "A 71349-2021")</f>
        <v/>
      </c>
      <c r="W549">
        <f>HYPERLINK("https://klasma.github.io/Logging_2283/klagomålsmail/A 71349-2021 klagomålsmail.docx", "A 71349-2021")</f>
        <v/>
      </c>
      <c r="X549">
        <f>HYPERLINK("https://klasma.github.io/Logging_2283/tillsyn/A 71349-2021 tillsyn.docx", "A 71349-2021")</f>
        <v/>
      </c>
      <c r="Y549">
        <f>HYPERLINK("https://klasma.github.io/Logging_2283/tillsynsmail/A 71349-2021 tillsynsmail.docx", "A 71349-2021")</f>
        <v/>
      </c>
    </row>
    <row r="550" ht="15" customHeight="1">
      <c r="A550" t="inlineStr">
        <is>
          <t>A 71366-2021</t>
        </is>
      </c>
      <c r="B550" s="1" t="n">
        <v>44539</v>
      </c>
      <c r="C550" s="1" t="n">
        <v>45212</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HYPERLINK("https://klasma.github.io/Logging_2260/karta/A 71366-2021 karta.png", "A 71366-2021")</f>
        <v/>
      </c>
      <c r="U550">
        <f>HYPERLINK("https://klasma.github.io/Logging_2260/knärot/A 71366-2021 knärot.png", "A 71366-2021")</f>
        <v/>
      </c>
      <c r="V550">
        <f>HYPERLINK("https://klasma.github.io/Logging_2260/klagomål/A 71366-2021 klagomål.docx", "A 71366-2021")</f>
        <v/>
      </c>
      <c r="W550">
        <f>HYPERLINK("https://klasma.github.io/Logging_2260/klagomålsmail/A 71366-2021 klagomålsmail.docx", "A 71366-2021")</f>
        <v/>
      </c>
      <c r="X550">
        <f>HYPERLINK("https://klasma.github.io/Logging_2260/tillsyn/A 71366-2021 tillsyn.docx", "A 71366-2021")</f>
        <v/>
      </c>
      <c r="Y550">
        <f>HYPERLINK("https://klasma.github.io/Logging_2260/tillsynsmail/A 71366-2021 tillsynsmail.docx", "A 71366-2021")</f>
        <v/>
      </c>
    </row>
    <row r="551" ht="15" customHeight="1">
      <c r="A551" t="inlineStr">
        <is>
          <t>A 74325-2021</t>
        </is>
      </c>
      <c r="B551" s="1" t="n">
        <v>44559</v>
      </c>
      <c r="C551" s="1" t="n">
        <v>45212</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HYPERLINK("https://klasma.github.io/Logging_2280/karta/A 74325-2021 karta.png", "A 74325-2021")</f>
        <v/>
      </c>
      <c r="V551">
        <f>HYPERLINK("https://klasma.github.io/Logging_2280/klagomål/A 74325-2021 klagomål.docx", "A 74325-2021")</f>
        <v/>
      </c>
      <c r="W551">
        <f>HYPERLINK("https://klasma.github.io/Logging_2280/klagomålsmail/A 74325-2021 klagomålsmail.docx", "A 74325-2021")</f>
        <v/>
      </c>
      <c r="X551">
        <f>HYPERLINK("https://klasma.github.io/Logging_2280/tillsyn/A 74325-2021 tillsyn.docx", "A 74325-2021")</f>
        <v/>
      </c>
      <c r="Y551">
        <f>HYPERLINK("https://klasma.github.io/Logging_2280/tillsynsmail/A 74325-2021 tillsynsmail.docx", "A 74325-2021")</f>
        <v/>
      </c>
    </row>
    <row r="552" ht="15" customHeight="1">
      <c r="A552" t="inlineStr">
        <is>
          <t>A 4908-2022</t>
        </is>
      </c>
      <c r="B552" s="1" t="n">
        <v>44593</v>
      </c>
      <c r="C552" s="1" t="n">
        <v>45212</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HYPERLINK("https://klasma.github.io/Logging_2280/karta/A 4908-2022 karta.png", "A 4908-2022")</f>
        <v/>
      </c>
      <c r="V552">
        <f>HYPERLINK("https://klasma.github.io/Logging_2280/klagomål/A 4908-2022 klagomål.docx", "A 4908-2022")</f>
        <v/>
      </c>
      <c r="W552">
        <f>HYPERLINK("https://klasma.github.io/Logging_2280/klagomålsmail/A 4908-2022 klagomålsmail.docx", "A 4908-2022")</f>
        <v/>
      </c>
      <c r="X552">
        <f>HYPERLINK("https://klasma.github.io/Logging_2280/tillsyn/A 4908-2022 tillsyn.docx", "A 4908-2022")</f>
        <v/>
      </c>
      <c r="Y552">
        <f>HYPERLINK("https://klasma.github.io/Logging_2280/tillsynsmail/A 4908-2022 tillsynsmail.docx", "A 4908-2022")</f>
        <v/>
      </c>
    </row>
    <row r="553" ht="15" customHeight="1">
      <c r="A553" t="inlineStr">
        <is>
          <t>A 12753-2022</t>
        </is>
      </c>
      <c r="B553" s="1" t="n">
        <v>44641</v>
      </c>
      <c r="C553" s="1" t="n">
        <v>45212</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HYPERLINK("https://klasma.github.io/Logging_2262/karta/A 12753-2022 karta.png", "A 12753-2022")</f>
        <v/>
      </c>
      <c r="V553">
        <f>HYPERLINK("https://klasma.github.io/Logging_2262/klagomål/A 12753-2022 klagomål.docx", "A 12753-2022")</f>
        <v/>
      </c>
      <c r="W553">
        <f>HYPERLINK("https://klasma.github.io/Logging_2262/klagomålsmail/A 12753-2022 klagomålsmail.docx", "A 12753-2022")</f>
        <v/>
      </c>
      <c r="X553">
        <f>HYPERLINK("https://klasma.github.io/Logging_2262/tillsyn/A 12753-2022 tillsyn.docx", "A 12753-2022")</f>
        <v/>
      </c>
      <c r="Y553">
        <f>HYPERLINK("https://klasma.github.io/Logging_2262/tillsynsmail/A 12753-2022 tillsynsmail.docx", "A 12753-2022")</f>
        <v/>
      </c>
    </row>
    <row r="554" ht="15" customHeight="1">
      <c r="A554" t="inlineStr">
        <is>
          <t>A 12785-2022</t>
        </is>
      </c>
      <c r="B554" s="1" t="n">
        <v>44641</v>
      </c>
      <c r="C554" s="1" t="n">
        <v>45212</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HYPERLINK("https://klasma.github.io/Logging_2262/karta/A 12785-2022 karta.png", "A 12785-2022")</f>
        <v/>
      </c>
      <c r="V554">
        <f>HYPERLINK("https://klasma.github.io/Logging_2262/klagomål/A 12785-2022 klagomål.docx", "A 12785-2022")</f>
        <v/>
      </c>
      <c r="W554">
        <f>HYPERLINK("https://klasma.github.io/Logging_2262/klagomålsmail/A 12785-2022 klagomålsmail.docx", "A 12785-2022")</f>
        <v/>
      </c>
      <c r="X554">
        <f>HYPERLINK("https://klasma.github.io/Logging_2262/tillsyn/A 12785-2022 tillsyn.docx", "A 12785-2022")</f>
        <v/>
      </c>
      <c r="Y554">
        <f>HYPERLINK("https://klasma.github.io/Logging_2262/tillsynsmail/A 12785-2022 tillsynsmail.docx", "A 12785-2022")</f>
        <v/>
      </c>
    </row>
    <row r="555" ht="15" customHeight="1">
      <c r="A555" t="inlineStr">
        <is>
          <t>A 14676-2022</t>
        </is>
      </c>
      <c r="B555" s="1" t="n">
        <v>44655</v>
      </c>
      <c r="C555" s="1" t="n">
        <v>45212</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HYPERLINK("https://klasma.github.io/Logging_2281/karta/A 14676-2022 karta.png", "A 14676-2022")</f>
        <v/>
      </c>
      <c r="V555">
        <f>HYPERLINK("https://klasma.github.io/Logging_2281/klagomål/A 14676-2022 klagomål.docx", "A 14676-2022")</f>
        <v/>
      </c>
      <c r="W555">
        <f>HYPERLINK("https://klasma.github.io/Logging_2281/klagomålsmail/A 14676-2022 klagomålsmail.docx", "A 14676-2022")</f>
        <v/>
      </c>
      <c r="X555">
        <f>HYPERLINK("https://klasma.github.io/Logging_2281/tillsyn/A 14676-2022 tillsyn.docx", "A 14676-2022")</f>
        <v/>
      </c>
      <c r="Y555">
        <f>HYPERLINK("https://klasma.github.io/Logging_2281/tillsynsmail/A 14676-2022 tillsynsmail.docx", "A 14676-2022")</f>
        <v/>
      </c>
    </row>
    <row r="556" ht="15" customHeight="1">
      <c r="A556" t="inlineStr">
        <is>
          <t>A 15669-2022</t>
        </is>
      </c>
      <c r="B556" s="1" t="n">
        <v>44662</v>
      </c>
      <c r="C556" s="1" t="n">
        <v>45212</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HYPERLINK("https://klasma.github.io/Logging_2283/karta/A 15669-2022 karta.png", "A 15669-2022")</f>
        <v/>
      </c>
      <c r="V556">
        <f>HYPERLINK("https://klasma.github.io/Logging_2283/klagomål/A 15669-2022 klagomål.docx", "A 15669-2022")</f>
        <v/>
      </c>
      <c r="W556">
        <f>HYPERLINK("https://klasma.github.io/Logging_2283/klagomålsmail/A 15669-2022 klagomålsmail.docx", "A 15669-2022")</f>
        <v/>
      </c>
      <c r="X556">
        <f>HYPERLINK("https://klasma.github.io/Logging_2283/tillsyn/A 15669-2022 tillsyn.docx", "A 15669-2022")</f>
        <v/>
      </c>
      <c r="Y556">
        <f>HYPERLINK("https://klasma.github.io/Logging_2283/tillsynsmail/A 15669-2022 tillsynsmail.docx", "A 15669-2022")</f>
        <v/>
      </c>
    </row>
    <row r="557" ht="15" customHeight="1">
      <c r="A557" t="inlineStr">
        <is>
          <t>A 15846-2022</t>
        </is>
      </c>
      <c r="B557" s="1" t="n">
        <v>44664</v>
      </c>
      <c r="C557" s="1" t="n">
        <v>45212</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HYPERLINK("https://klasma.github.io/Logging_2280/karta/A 15846-2022 karta.png", "A 15846-2022")</f>
        <v/>
      </c>
      <c r="V557">
        <f>HYPERLINK("https://klasma.github.io/Logging_2280/klagomål/A 15846-2022 klagomål.docx", "A 15846-2022")</f>
        <v/>
      </c>
      <c r="W557">
        <f>HYPERLINK("https://klasma.github.io/Logging_2280/klagomålsmail/A 15846-2022 klagomålsmail.docx", "A 15846-2022")</f>
        <v/>
      </c>
      <c r="X557">
        <f>HYPERLINK("https://klasma.github.io/Logging_2280/tillsyn/A 15846-2022 tillsyn.docx", "A 15846-2022")</f>
        <v/>
      </c>
      <c r="Y557">
        <f>HYPERLINK("https://klasma.github.io/Logging_2280/tillsynsmail/A 15846-2022 tillsynsmail.docx", "A 15846-2022")</f>
        <v/>
      </c>
    </row>
    <row r="558" ht="15" customHeight="1">
      <c r="A558" t="inlineStr">
        <is>
          <t>A 16269-2022</t>
        </is>
      </c>
      <c r="B558" s="1" t="n">
        <v>44670</v>
      </c>
      <c r="C558" s="1" t="n">
        <v>45212</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HYPERLINK("https://klasma.github.io/Logging_2283/karta/A 16269-2022 karta.png", "A 16269-2022")</f>
        <v/>
      </c>
      <c r="V558">
        <f>HYPERLINK("https://klasma.github.io/Logging_2283/klagomål/A 16269-2022 klagomål.docx", "A 16269-2022")</f>
        <v/>
      </c>
      <c r="W558">
        <f>HYPERLINK("https://klasma.github.io/Logging_2283/klagomålsmail/A 16269-2022 klagomålsmail.docx", "A 16269-2022")</f>
        <v/>
      </c>
      <c r="X558">
        <f>HYPERLINK("https://klasma.github.io/Logging_2283/tillsyn/A 16269-2022 tillsyn.docx", "A 16269-2022")</f>
        <v/>
      </c>
      <c r="Y558">
        <f>HYPERLINK("https://klasma.github.io/Logging_2283/tillsynsmail/A 16269-2022 tillsynsmail.docx", "A 16269-2022")</f>
        <v/>
      </c>
    </row>
    <row r="559" ht="15" customHeight="1">
      <c r="A559" t="inlineStr">
        <is>
          <t>A 19305-2022</t>
        </is>
      </c>
      <c r="B559" s="1" t="n">
        <v>44692</v>
      </c>
      <c r="C559" s="1" t="n">
        <v>45212</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HYPERLINK("https://klasma.github.io/Logging_2281/karta/A 19305-2022 karta.png", "A 19305-2022")</f>
        <v/>
      </c>
      <c r="V559">
        <f>HYPERLINK("https://klasma.github.io/Logging_2281/klagomål/A 19305-2022 klagomål.docx", "A 19305-2022")</f>
        <v/>
      </c>
      <c r="W559">
        <f>HYPERLINK("https://klasma.github.io/Logging_2281/klagomålsmail/A 19305-2022 klagomålsmail.docx", "A 19305-2022")</f>
        <v/>
      </c>
      <c r="X559">
        <f>HYPERLINK("https://klasma.github.io/Logging_2281/tillsyn/A 19305-2022 tillsyn.docx", "A 19305-2022")</f>
        <v/>
      </c>
      <c r="Y559">
        <f>HYPERLINK("https://klasma.github.io/Logging_2281/tillsynsmail/A 19305-2022 tillsynsmail.docx", "A 19305-2022")</f>
        <v/>
      </c>
    </row>
    <row r="560" ht="15" customHeight="1">
      <c r="A560" t="inlineStr">
        <is>
          <t>A 19827-2022</t>
        </is>
      </c>
      <c r="B560" s="1" t="n">
        <v>44694</v>
      </c>
      <c r="C560" s="1" t="n">
        <v>45212</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HYPERLINK("https://klasma.github.io/Logging_2280/karta/A 19827-2022 karta.png", "A 19827-2022")</f>
        <v/>
      </c>
      <c r="V560">
        <f>HYPERLINK("https://klasma.github.io/Logging_2280/klagomål/A 19827-2022 klagomål.docx", "A 19827-2022")</f>
        <v/>
      </c>
      <c r="W560">
        <f>HYPERLINK("https://klasma.github.io/Logging_2280/klagomålsmail/A 19827-2022 klagomålsmail.docx", "A 19827-2022")</f>
        <v/>
      </c>
      <c r="X560">
        <f>HYPERLINK("https://klasma.github.io/Logging_2280/tillsyn/A 19827-2022 tillsyn.docx", "A 19827-2022")</f>
        <v/>
      </c>
      <c r="Y560">
        <f>HYPERLINK("https://klasma.github.io/Logging_2280/tillsynsmail/A 19827-2022 tillsynsmail.docx", "A 19827-2022")</f>
        <v/>
      </c>
    </row>
    <row r="561" ht="15" customHeight="1">
      <c r="A561" t="inlineStr">
        <is>
          <t>A 20367-2022</t>
        </is>
      </c>
      <c r="B561" s="1" t="n">
        <v>44699</v>
      </c>
      <c r="C561" s="1" t="n">
        <v>45212</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HYPERLINK("https://klasma.github.io/Logging_2260/karta/A 20367-2022 karta.png", "A 20367-2022")</f>
        <v/>
      </c>
      <c r="V561">
        <f>HYPERLINK("https://klasma.github.io/Logging_2260/klagomål/A 20367-2022 klagomål.docx", "A 20367-2022")</f>
        <v/>
      </c>
      <c r="W561">
        <f>HYPERLINK("https://klasma.github.io/Logging_2260/klagomålsmail/A 20367-2022 klagomålsmail.docx", "A 20367-2022")</f>
        <v/>
      </c>
      <c r="X561">
        <f>HYPERLINK("https://klasma.github.io/Logging_2260/tillsyn/A 20367-2022 tillsyn.docx", "A 20367-2022")</f>
        <v/>
      </c>
      <c r="Y561">
        <f>HYPERLINK("https://klasma.github.io/Logging_2260/tillsynsmail/A 20367-2022 tillsynsmail.docx", "A 20367-2022")</f>
        <v/>
      </c>
    </row>
    <row r="562" ht="15" customHeight="1">
      <c r="A562" t="inlineStr">
        <is>
          <t>A 21708-2022</t>
        </is>
      </c>
      <c r="B562" s="1" t="n">
        <v>44707</v>
      </c>
      <c r="C562" s="1" t="n">
        <v>45212</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HYPERLINK("https://klasma.github.io/Logging_2283/karta/A 21708-2022 karta.png", "A 21708-2022")</f>
        <v/>
      </c>
      <c r="V562">
        <f>HYPERLINK("https://klasma.github.io/Logging_2283/klagomål/A 21708-2022 klagomål.docx", "A 21708-2022")</f>
        <v/>
      </c>
      <c r="W562">
        <f>HYPERLINK("https://klasma.github.io/Logging_2283/klagomålsmail/A 21708-2022 klagomålsmail.docx", "A 21708-2022")</f>
        <v/>
      </c>
      <c r="X562">
        <f>HYPERLINK("https://klasma.github.io/Logging_2283/tillsyn/A 21708-2022 tillsyn.docx", "A 21708-2022")</f>
        <v/>
      </c>
      <c r="Y562">
        <f>HYPERLINK("https://klasma.github.io/Logging_2283/tillsynsmail/A 21708-2022 tillsynsmail.docx", "A 21708-2022")</f>
        <v/>
      </c>
    </row>
    <row r="563" ht="15" customHeight="1">
      <c r="A563" t="inlineStr">
        <is>
          <t>A 23222-2022</t>
        </is>
      </c>
      <c r="B563" s="1" t="n">
        <v>44719</v>
      </c>
      <c r="C563" s="1" t="n">
        <v>45212</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HYPERLINK("https://klasma.github.io/Logging_2262/karta/A 23222-2022 karta.png", "A 23222-2022")</f>
        <v/>
      </c>
      <c r="V563">
        <f>HYPERLINK("https://klasma.github.io/Logging_2262/klagomål/A 23222-2022 klagomål.docx", "A 23222-2022")</f>
        <v/>
      </c>
      <c r="W563">
        <f>HYPERLINK("https://klasma.github.io/Logging_2262/klagomålsmail/A 23222-2022 klagomålsmail.docx", "A 23222-2022")</f>
        <v/>
      </c>
      <c r="X563">
        <f>HYPERLINK("https://klasma.github.io/Logging_2262/tillsyn/A 23222-2022 tillsyn.docx", "A 23222-2022")</f>
        <v/>
      </c>
      <c r="Y563">
        <f>HYPERLINK("https://klasma.github.io/Logging_2262/tillsynsmail/A 23222-2022 tillsynsmail.docx", "A 23222-2022")</f>
        <v/>
      </c>
    </row>
    <row r="564" ht="15" customHeight="1">
      <c r="A564" t="inlineStr">
        <is>
          <t>A 23711-2022</t>
        </is>
      </c>
      <c r="B564" s="1" t="n">
        <v>44722</v>
      </c>
      <c r="C564" s="1" t="n">
        <v>45212</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HYPERLINK("https://klasma.github.io/Logging_2281/karta/A 23711-2022 karta.png", "A 23711-2022")</f>
        <v/>
      </c>
      <c r="V564">
        <f>HYPERLINK("https://klasma.github.io/Logging_2281/klagomål/A 23711-2022 klagomål.docx", "A 23711-2022")</f>
        <v/>
      </c>
      <c r="W564">
        <f>HYPERLINK("https://klasma.github.io/Logging_2281/klagomålsmail/A 23711-2022 klagomålsmail.docx", "A 23711-2022")</f>
        <v/>
      </c>
      <c r="X564">
        <f>HYPERLINK("https://klasma.github.io/Logging_2281/tillsyn/A 23711-2022 tillsyn.docx", "A 23711-2022")</f>
        <v/>
      </c>
      <c r="Y564">
        <f>HYPERLINK("https://klasma.github.io/Logging_2281/tillsynsmail/A 23711-2022 tillsynsmail.docx", "A 23711-2022")</f>
        <v/>
      </c>
    </row>
    <row r="565" ht="15" customHeight="1">
      <c r="A565" t="inlineStr">
        <is>
          <t>A 25250-2022</t>
        </is>
      </c>
      <c r="B565" s="1" t="n">
        <v>44729</v>
      </c>
      <c r="C565" s="1" t="n">
        <v>45212</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HYPERLINK("https://klasma.github.io/Logging_2281/karta/A 25250-2022 karta.png", "A 25250-2022")</f>
        <v/>
      </c>
      <c r="V565">
        <f>HYPERLINK("https://klasma.github.io/Logging_2281/klagomål/A 25250-2022 klagomål.docx", "A 25250-2022")</f>
        <v/>
      </c>
      <c r="W565">
        <f>HYPERLINK("https://klasma.github.io/Logging_2281/klagomålsmail/A 25250-2022 klagomålsmail.docx", "A 25250-2022")</f>
        <v/>
      </c>
      <c r="X565">
        <f>HYPERLINK("https://klasma.github.io/Logging_2281/tillsyn/A 25250-2022 tillsyn.docx", "A 25250-2022")</f>
        <v/>
      </c>
      <c r="Y565">
        <f>HYPERLINK("https://klasma.github.io/Logging_2281/tillsynsmail/A 25250-2022 tillsynsmail.docx", "A 25250-2022")</f>
        <v/>
      </c>
    </row>
    <row r="566" ht="15" customHeight="1">
      <c r="A566" t="inlineStr">
        <is>
          <t>A 26121-2022</t>
        </is>
      </c>
      <c r="B566" s="1" t="n">
        <v>44734</v>
      </c>
      <c r="C566" s="1" t="n">
        <v>45212</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HYPERLINK("https://klasma.github.io/Logging_2283/karta/A 26121-2022 karta.png", "A 26121-2022")</f>
        <v/>
      </c>
      <c r="V566">
        <f>HYPERLINK("https://klasma.github.io/Logging_2283/klagomål/A 26121-2022 klagomål.docx", "A 26121-2022")</f>
        <v/>
      </c>
      <c r="W566">
        <f>HYPERLINK("https://klasma.github.io/Logging_2283/klagomålsmail/A 26121-2022 klagomålsmail.docx", "A 26121-2022")</f>
        <v/>
      </c>
      <c r="X566">
        <f>HYPERLINK("https://klasma.github.io/Logging_2283/tillsyn/A 26121-2022 tillsyn.docx", "A 26121-2022")</f>
        <v/>
      </c>
      <c r="Y566">
        <f>HYPERLINK("https://klasma.github.io/Logging_2283/tillsynsmail/A 26121-2022 tillsynsmail.docx", "A 26121-2022")</f>
        <v/>
      </c>
    </row>
    <row r="567" ht="15" customHeight="1">
      <c r="A567" t="inlineStr">
        <is>
          <t>A 27106-2022</t>
        </is>
      </c>
      <c r="B567" s="1" t="n">
        <v>44741</v>
      </c>
      <c r="C567" s="1" t="n">
        <v>45212</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HYPERLINK("https://klasma.github.io/Logging_2283/karta/A 27106-2022 karta.png", "A 27106-2022")</f>
        <v/>
      </c>
      <c r="V567">
        <f>HYPERLINK("https://klasma.github.io/Logging_2283/klagomål/A 27106-2022 klagomål.docx", "A 27106-2022")</f>
        <v/>
      </c>
      <c r="W567">
        <f>HYPERLINK("https://klasma.github.io/Logging_2283/klagomålsmail/A 27106-2022 klagomålsmail.docx", "A 27106-2022")</f>
        <v/>
      </c>
      <c r="X567">
        <f>HYPERLINK("https://klasma.github.io/Logging_2283/tillsyn/A 27106-2022 tillsyn.docx", "A 27106-2022")</f>
        <v/>
      </c>
      <c r="Y567">
        <f>HYPERLINK("https://klasma.github.io/Logging_2283/tillsynsmail/A 27106-2022 tillsynsmail.docx", "A 27106-2022")</f>
        <v/>
      </c>
    </row>
    <row r="568" ht="15" customHeight="1">
      <c r="A568" t="inlineStr">
        <is>
          <t>A 28715-2022</t>
        </is>
      </c>
      <c r="B568" s="1" t="n">
        <v>44748</v>
      </c>
      <c r="C568" s="1" t="n">
        <v>45212</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HYPERLINK("https://klasma.github.io/Logging_2280/karta/A 28715-2022 karta.png", "A 28715-2022")</f>
        <v/>
      </c>
      <c r="V568">
        <f>HYPERLINK("https://klasma.github.io/Logging_2280/klagomål/A 28715-2022 klagomål.docx", "A 28715-2022")</f>
        <v/>
      </c>
      <c r="W568">
        <f>HYPERLINK("https://klasma.github.io/Logging_2280/klagomålsmail/A 28715-2022 klagomålsmail.docx", "A 28715-2022")</f>
        <v/>
      </c>
      <c r="X568">
        <f>HYPERLINK("https://klasma.github.io/Logging_2280/tillsyn/A 28715-2022 tillsyn.docx", "A 28715-2022")</f>
        <v/>
      </c>
      <c r="Y568">
        <f>HYPERLINK("https://klasma.github.io/Logging_2280/tillsynsmail/A 28715-2022 tillsynsmail.docx", "A 28715-2022")</f>
        <v/>
      </c>
    </row>
    <row r="569" ht="15" customHeight="1">
      <c r="A569" t="inlineStr">
        <is>
          <t>A 29037-2022</t>
        </is>
      </c>
      <c r="B569" s="1" t="n">
        <v>44749</v>
      </c>
      <c r="C569" s="1" t="n">
        <v>45212</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HYPERLINK("https://klasma.github.io/Logging_2283/karta/A 29037-2022 karta.png", "A 29037-2022")</f>
        <v/>
      </c>
      <c r="V569">
        <f>HYPERLINK("https://klasma.github.io/Logging_2283/klagomål/A 29037-2022 klagomål.docx", "A 29037-2022")</f>
        <v/>
      </c>
      <c r="W569">
        <f>HYPERLINK("https://klasma.github.io/Logging_2283/klagomålsmail/A 29037-2022 klagomålsmail.docx", "A 29037-2022")</f>
        <v/>
      </c>
      <c r="X569">
        <f>HYPERLINK("https://klasma.github.io/Logging_2283/tillsyn/A 29037-2022 tillsyn.docx", "A 29037-2022")</f>
        <v/>
      </c>
      <c r="Y569">
        <f>HYPERLINK("https://klasma.github.io/Logging_2283/tillsynsmail/A 29037-2022 tillsynsmail.docx", "A 29037-2022")</f>
        <v/>
      </c>
    </row>
    <row r="570" ht="15" customHeight="1">
      <c r="A570" t="inlineStr">
        <is>
          <t>A 32122-2022</t>
        </is>
      </c>
      <c r="B570" s="1" t="n">
        <v>44778</v>
      </c>
      <c r="C570" s="1" t="n">
        <v>45212</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HYPERLINK("https://klasma.github.io/Logging_2284/karta/A 32122-2022 karta.png", "A 32122-2022")</f>
        <v/>
      </c>
      <c r="V570">
        <f>HYPERLINK("https://klasma.github.io/Logging_2284/klagomål/A 32122-2022 klagomål.docx", "A 32122-2022")</f>
        <v/>
      </c>
      <c r="W570">
        <f>HYPERLINK("https://klasma.github.io/Logging_2284/klagomålsmail/A 32122-2022 klagomålsmail.docx", "A 32122-2022")</f>
        <v/>
      </c>
      <c r="X570">
        <f>HYPERLINK("https://klasma.github.io/Logging_2284/tillsyn/A 32122-2022 tillsyn.docx", "A 32122-2022")</f>
        <v/>
      </c>
      <c r="Y570">
        <f>HYPERLINK("https://klasma.github.io/Logging_2284/tillsynsmail/A 32122-2022 tillsynsmail.docx", "A 32122-2022")</f>
        <v/>
      </c>
    </row>
    <row r="571" ht="15" customHeight="1">
      <c r="A571" t="inlineStr">
        <is>
          <t>A 33216-2022</t>
        </is>
      </c>
      <c r="B571" s="1" t="n">
        <v>44785</v>
      </c>
      <c r="C571" s="1" t="n">
        <v>45212</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HYPERLINK("https://klasma.github.io/Logging_2283/karta/A 33216-2022 karta.png", "A 33216-2022")</f>
        <v/>
      </c>
      <c r="V571">
        <f>HYPERLINK("https://klasma.github.io/Logging_2283/klagomål/A 33216-2022 klagomål.docx", "A 33216-2022")</f>
        <v/>
      </c>
      <c r="W571">
        <f>HYPERLINK("https://klasma.github.io/Logging_2283/klagomålsmail/A 33216-2022 klagomålsmail.docx", "A 33216-2022")</f>
        <v/>
      </c>
      <c r="X571">
        <f>HYPERLINK("https://klasma.github.io/Logging_2283/tillsyn/A 33216-2022 tillsyn.docx", "A 33216-2022")</f>
        <v/>
      </c>
      <c r="Y571">
        <f>HYPERLINK("https://klasma.github.io/Logging_2283/tillsynsmail/A 33216-2022 tillsynsmail.docx", "A 33216-2022")</f>
        <v/>
      </c>
    </row>
    <row r="572" ht="15" customHeight="1">
      <c r="A572" t="inlineStr">
        <is>
          <t>A 33504-2022</t>
        </is>
      </c>
      <c r="B572" s="1" t="n">
        <v>44788</v>
      </c>
      <c r="C572" s="1" t="n">
        <v>45212</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HYPERLINK("https://klasma.github.io/Logging_2283/karta/A 33504-2022 karta.png", "A 33504-2022")</f>
        <v/>
      </c>
      <c r="U572">
        <f>HYPERLINK("https://klasma.github.io/Logging_2283/knärot/A 33504-2022 knärot.png", "A 33504-2022")</f>
        <v/>
      </c>
      <c r="V572">
        <f>HYPERLINK("https://klasma.github.io/Logging_2283/klagomål/A 33504-2022 klagomål.docx", "A 33504-2022")</f>
        <v/>
      </c>
      <c r="W572">
        <f>HYPERLINK("https://klasma.github.io/Logging_2283/klagomålsmail/A 33504-2022 klagomålsmail.docx", "A 33504-2022")</f>
        <v/>
      </c>
      <c r="X572">
        <f>HYPERLINK("https://klasma.github.io/Logging_2283/tillsyn/A 33504-2022 tillsyn.docx", "A 33504-2022")</f>
        <v/>
      </c>
      <c r="Y572">
        <f>HYPERLINK("https://klasma.github.io/Logging_2283/tillsynsmail/A 33504-2022 tillsynsmail.docx", "A 33504-2022")</f>
        <v/>
      </c>
    </row>
    <row r="573" ht="15" customHeight="1">
      <c r="A573" t="inlineStr">
        <is>
          <t>A 34166-2022</t>
        </is>
      </c>
      <c r="B573" s="1" t="n">
        <v>44791</v>
      </c>
      <c r="C573" s="1" t="n">
        <v>45212</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HYPERLINK("https://klasma.github.io/Logging_2284/karta/A 34166-2022 karta.png", "A 34166-2022")</f>
        <v/>
      </c>
      <c r="V573">
        <f>HYPERLINK("https://klasma.github.io/Logging_2284/klagomål/A 34166-2022 klagomål.docx", "A 34166-2022")</f>
        <v/>
      </c>
      <c r="W573">
        <f>HYPERLINK("https://klasma.github.io/Logging_2284/klagomålsmail/A 34166-2022 klagomålsmail.docx", "A 34166-2022")</f>
        <v/>
      </c>
      <c r="X573">
        <f>HYPERLINK("https://klasma.github.io/Logging_2284/tillsyn/A 34166-2022 tillsyn.docx", "A 34166-2022")</f>
        <v/>
      </c>
      <c r="Y573">
        <f>HYPERLINK("https://klasma.github.io/Logging_2284/tillsynsmail/A 34166-2022 tillsynsmail.docx", "A 34166-2022")</f>
        <v/>
      </c>
    </row>
    <row r="574" ht="15" customHeight="1">
      <c r="A574" t="inlineStr">
        <is>
          <t>A 35013-2022</t>
        </is>
      </c>
      <c r="B574" s="1" t="n">
        <v>44796</v>
      </c>
      <c r="C574" s="1" t="n">
        <v>45212</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HYPERLINK("https://klasma.github.io/Logging_2283/karta/A 35013-2022 karta.png", "A 35013-2022")</f>
        <v/>
      </c>
      <c r="V574">
        <f>HYPERLINK("https://klasma.github.io/Logging_2283/klagomål/A 35013-2022 klagomål.docx", "A 35013-2022")</f>
        <v/>
      </c>
      <c r="W574">
        <f>HYPERLINK("https://klasma.github.io/Logging_2283/klagomålsmail/A 35013-2022 klagomålsmail.docx", "A 35013-2022")</f>
        <v/>
      </c>
      <c r="X574">
        <f>HYPERLINK("https://klasma.github.io/Logging_2283/tillsyn/A 35013-2022 tillsyn.docx", "A 35013-2022")</f>
        <v/>
      </c>
      <c r="Y574">
        <f>HYPERLINK("https://klasma.github.io/Logging_2283/tillsynsmail/A 35013-2022 tillsynsmail.docx", "A 35013-2022")</f>
        <v/>
      </c>
    </row>
    <row r="575" ht="15" customHeight="1">
      <c r="A575" t="inlineStr">
        <is>
          <t>A 38367-2022</t>
        </is>
      </c>
      <c r="B575" s="1" t="n">
        <v>44812</v>
      </c>
      <c r="C575" s="1" t="n">
        <v>45212</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HYPERLINK("https://klasma.github.io/Logging_2283/karta/A 38367-2022 karta.png", "A 38367-2022")</f>
        <v/>
      </c>
      <c r="V575">
        <f>HYPERLINK("https://klasma.github.io/Logging_2283/klagomål/A 38367-2022 klagomål.docx", "A 38367-2022")</f>
        <v/>
      </c>
      <c r="W575">
        <f>HYPERLINK("https://klasma.github.io/Logging_2283/klagomålsmail/A 38367-2022 klagomålsmail.docx", "A 38367-2022")</f>
        <v/>
      </c>
      <c r="X575">
        <f>HYPERLINK("https://klasma.github.io/Logging_2283/tillsyn/A 38367-2022 tillsyn.docx", "A 38367-2022")</f>
        <v/>
      </c>
      <c r="Y575">
        <f>HYPERLINK("https://klasma.github.io/Logging_2283/tillsynsmail/A 38367-2022 tillsynsmail.docx", "A 38367-2022")</f>
        <v/>
      </c>
    </row>
    <row r="576" ht="15" customHeight="1">
      <c r="A576" t="inlineStr">
        <is>
          <t>A 38363-2022</t>
        </is>
      </c>
      <c r="B576" s="1" t="n">
        <v>44812</v>
      </c>
      <c r="C576" s="1" t="n">
        <v>45212</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HYPERLINK("https://klasma.github.io/Logging_2283/karta/A 38363-2022 karta.png", "A 38363-2022")</f>
        <v/>
      </c>
      <c r="V576">
        <f>HYPERLINK("https://klasma.github.io/Logging_2283/klagomål/A 38363-2022 klagomål.docx", "A 38363-2022")</f>
        <v/>
      </c>
      <c r="W576">
        <f>HYPERLINK("https://klasma.github.io/Logging_2283/klagomålsmail/A 38363-2022 klagomålsmail.docx", "A 38363-2022")</f>
        <v/>
      </c>
      <c r="X576">
        <f>HYPERLINK("https://klasma.github.io/Logging_2283/tillsyn/A 38363-2022 tillsyn.docx", "A 38363-2022")</f>
        <v/>
      </c>
      <c r="Y576">
        <f>HYPERLINK("https://klasma.github.io/Logging_2283/tillsynsmail/A 38363-2022 tillsynsmail.docx", "A 38363-2022")</f>
        <v/>
      </c>
    </row>
    <row r="577" ht="15" customHeight="1">
      <c r="A577" t="inlineStr">
        <is>
          <t>A 39933-2022</t>
        </is>
      </c>
      <c r="B577" s="1" t="n">
        <v>44819</v>
      </c>
      <c r="C577" s="1" t="n">
        <v>45212</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HYPERLINK("https://klasma.github.io/Logging_2260/karta/A 39933-2022 karta.png", "A 39933-2022")</f>
        <v/>
      </c>
      <c r="U577">
        <f>HYPERLINK("https://klasma.github.io/Logging_2260/knärot/A 39933-2022 knärot.png", "A 39933-2022")</f>
        <v/>
      </c>
      <c r="V577">
        <f>HYPERLINK("https://klasma.github.io/Logging_2260/klagomål/A 39933-2022 klagomål.docx", "A 39933-2022")</f>
        <v/>
      </c>
      <c r="W577">
        <f>HYPERLINK("https://klasma.github.io/Logging_2260/klagomålsmail/A 39933-2022 klagomålsmail.docx", "A 39933-2022")</f>
        <v/>
      </c>
      <c r="X577">
        <f>HYPERLINK("https://klasma.github.io/Logging_2260/tillsyn/A 39933-2022 tillsyn.docx", "A 39933-2022")</f>
        <v/>
      </c>
      <c r="Y577">
        <f>HYPERLINK("https://klasma.github.io/Logging_2260/tillsynsmail/A 39933-2022 tillsynsmail.docx", "A 39933-2022")</f>
        <v/>
      </c>
    </row>
    <row r="578" ht="15" customHeight="1">
      <c r="A578" t="inlineStr">
        <is>
          <t>A 40636-2022</t>
        </is>
      </c>
      <c r="B578" s="1" t="n">
        <v>44824</v>
      </c>
      <c r="C578" s="1" t="n">
        <v>45212</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HYPERLINK("https://klasma.github.io/Logging_2284/karta/A 40636-2022 karta.png", "A 40636-2022")</f>
        <v/>
      </c>
      <c r="V578">
        <f>HYPERLINK("https://klasma.github.io/Logging_2284/klagomål/A 40636-2022 klagomål.docx", "A 40636-2022")</f>
        <v/>
      </c>
      <c r="W578">
        <f>HYPERLINK("https://klasma.github.io/Logging_2284/klagomålsmail/A 40636-2022 klagomålsmail.docx", "A 40636-2022")</f>
        <v/>
      </c>
      <c r="X578">
        <f>HYPERLINK("https://klasma.github.io/Logging_2284/tillsyn/A 40636-2022 tillsyn.docx", "A 40636-2022")</f>
        <v/>
      </c>
      <c r="Y578">
        <f>HYPERLINK("https://klasma.github.io/Logging_2284/tillsynsmail/A 40636-2022 tillsynsmail.docx", "A 40636-2022")</f>
        <v/>
      </c>
    </row>
    <row r="579" ht="15" customHeight="1">
      <c r="A579" t="inlineStr">
        <is>
          <t>A 44760-2022</t>
        </is>
      </c>
      <c r="B579" s="1" t="n">
        <v>44840</v>
      </c>
      <c r="C579" s="1" t="n">
        <v>45212</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HYPERLINK("https://klasma.github.io/Logging_2281/karta/A 44760-2022 karta.png", "A 44760-2022")</f>
        <v/>
      </c>
      <c r="V579">
        <f>HYPERLINK("https://klasma.github.io/Logging_2281/klagomål/A 44760-2022 klagomål.docx", "A 44760-2022")</f>
        <v/>
      </c>
      <c r="W579">
        <f>HYPERLINK("https://klasma.github.io/Logging_2281/klagomålsmail/A 44760-2022 klagomålsmail.docx", "A 44760-2022")</f>
        <v/>
      </c>
      <c r="X579">
        <f>HYPERLINK("https://klasma.github.io/Logging_2281/tillsyn/A 44760-2022 tillsyn.docx", "A 44760-2022")</f>
        <v/>
      </c>
      <c r="Y579">
        <f>HYPERLINK("https://klasma.github.io/Logging_2281/tillsynsmail/A 44760-2022 tillsynsmail.docx", "A 44760-2022")</f>
        <v/>
      </c>
    </row>
    <row r="580" ht="15" customHeight="1">
      <c r="A580" t="inlineStr">
        <is>
          <t>A 44763-2022</t>
        </is>
      </c>
      <c r="B580" s="1" t="n">
        <v>44840</v>
      </c>
      <c r="C580" s="1" t="n">
        <v>45212</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HYPERLINK("https://klasma.github.io/Logging_2283/karta/A 44763-2022 karta.png", "A 44763-2022")</f>
        <v/>
      </c>
      <c r="V580">
        <f>HYPERLINK("https://klasma.github.io/Logging_2283/klagomål/A 44763-2022 klagomål.docx", "A 44763-2022")</f>
        <v/>
      </c>
      <c r="W580">
        <f>HYPERLINK("https://klasma.github.io/Logging_2283/klagomålsmail/A 44763-2022 klagomålsmail.docx", "A 44763-2022")</f>
        <v/>
      </c>
      <c r="X580">
        <f>HYPERLINK("https://klasma.github.io/Logging_2283/tillsyn/A 44763-2022 tillsyn.docx", "A 44763-2022")</f>
        <v/>
      </c>
      <c r="Y580">
        <f>HYPERLINK("https://klasma.github.io/Logging_2283/tillsynsmail/A 44763-2022 tillsynsmail.docx", "A 44763-2022")</f>
        <v/>
      </c>
    </row>
    <row r="581" ht="15" customHeight="1">
      <c r="A581" t="inlineStr">
        <is>
          <t>A 45698-2022</t>
        </is>
      </c>
      <c r="B581" s="1" t="n">
        <v>44845</v>
      </c>
      <c r="C581" s="1" t="n">
        <v>45212</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HYPERLINK("https://klasma.github.io/Logging_2281/karta/A 45698-2022 karta.png", "A 45698-2022")</f>
        <v/>
      </c>
      <c r="V581">
        <f>HYPERLINK("https://klasma.github.io/Logging_2281/klagomål/A 45698-2022 klagomål.docx", "A 45698-2022")</f>
        <v/>
      </c>
      <c r="W581">
        <f>HYPERLINK("https://klasma.github.io/Logging_2281/klagomålsmail/A 45698-2022 klagomålsmail.docx", "A 45698-2022")</f>
        <v/>
      </c>
      <c r="X581">
        <f>HYPERLINK("https://klasma.github.io/Logging_2281/tillsyn/A 45698-2022 tillsyn.docx", "A 45698-2022")</f>
        <v/>
      </c>
      <c r="Y581">
        <f>HYPERLINK("https://klasma.github.io/Logging_2281/tillsynsmail/A 45698-2022 tillsynsmail.docx", "A 45698-2022")</f>
        <v/>
      </c>
    </row>
    <row r="582" ht="15" customHeight="1">
      <c r="A582" t="inlineStr">
        <is>
          <t>A 46041-2022</t>
        </is>
      </c>
      <c r="B582" s="1" t="n">
        <v>44846</v>
      </c>
      <c r="C582" s="1" t="n">
        <v>45212</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HYPERLINK("https://klasma.github.io/Logging_2283/karta/A 46041-2022 karta.png", "A 46041-2022")</f>
        <v/>
      </c>
      <c r="V582">
        <f>HYPERLINK("https://klasma.github.io/Logging_2283/klagomål/A 46041-2022 klagomål.docx", "A 46041-2022")</f>
        <v/>
      </c>
      <c r="W582">
        <f>HYPERLINK("https://klasma.github.io/Logging_2283/klagomålsmail/A 46041-2022 klagomålsmail.docx", "A 46041-2022")</f>
        <v/>
      </c>
      <c r="X582">
        <f>HYPERLINK("https://klasma.github.io/Logging_2283/tillsyn/A 46041-2022 tillsyn.docx", "A 46041-2022")</f>
        <v/>
      </c>
      <c r="Y582">
        <f>HYPERLINK("https://klasma.github.io/Logging_2283/tillsynsmail/A 46041-2022 tillsynsmail.docx", "A 46041-2022")</f>
        <v/>
      </c>
    </row>
    <row r="583" ht="15" customHeight="1">
      <c r="A583" t="inlineStr">
        <is>
          <t>A 46376-2022</t>
        </is>
      </c>
      <c r="B583" s="1" t="n">
        <v>44848</v>
      </c>
      <c r="C583" s="1" t="n">
        <v>45212</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HYPERLINK("https://klasma.github.io/Logging_2283/karta/A 46376-2022 karta.png", "A 46376-2022")</f>
        <v/>
      </c>
      <c r="V583">
        <f>HYPERLINK("https://klasma.github.io/Logging_2283/klagomål/A 46376-2022 klagomål.docx", "A 46376-2022")</f>
        <v/>
      </c>
      <c r="W583">
        <f>HYPERLINK("https://klasma.github.io/Logging_2283/klagomålsmail/A 46376-2022 klagomålsmail.docx", "A 46376-2022")</f>
        <v/>
      </c>
      <c r="X583">
        <f>HYPERLINK("https://klasma.github.io/Logging_2283/tillsyn/A 46376-2022 tillsyn.docx", "A 46376-2022")</f>
        <v/>
      </c>
      <c r="Y583">
        <f>HYPERLINK("https://klasma.github.io/Logging_2283/tillsynsmail/A 46376-2022 tillsynsmail.docx", "A 46376-2022")</f>
        <v/>
      </c>
    </row>
    <row r="584" ht="15" customHeight="1">
      <c r="A584" t="inlineStr">
        <is>
          <t>A 46629-2022</t>
        </is>
      </c>
      <c r="B584" s="1" t="n">
        <v>44848</v>
      </c>
      <c r="C584" s="1" t="n">
        <v>45212</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HYPERLINK("https://klasma.github.io/Logging_2283/karta/A 46629-2022 karta.png", "A 46629-2022")</f>
        <v/>
      </c>
      <c r="U584">
        <f>HYPERLINK("https://klasma.github.io/Logging_2283/knärot/A 46629-2022 knärot.png", "A 46629-2022")</f>
        <v/>
      </c>
      <c r="V584">
        <f>HYPERLINK("https://klasma.github.io/Logging_2283/klagomål/A 46629-2022 klagomål.docx", "A 46629-2022")</f>
        <v/>
      </c>
      <c r="W584">
        <f>HYPERLINK("https://klasma.github.io/Logging_2283/klagomålsmail/A 46629-2022 klagomålsmail.docx", "A 46629-2022")</f>
        <v/>
      </c>
      <c r="X584">
        <f>HYPERLINK("https://klasma.github.io/Logging_2283/tillsyn/A 46629-2022 tillsyn.docx", "A 46629-2022")</f>
        <v/>
      </c>
      <c r="Y584">
        <f>HYPERLINK("https://klasma.github.io/Logging_2283/tillsynsmail/A 46629-2022 tillsynsmail.docx", "A 46629-2022")</f>
        <v/>
      </c>
    </row>
    <row r="585" ht="15" customHeight="1">
      <c r="A585" t="inlineStr">
        <is>
          <t>A 46630-2022</t>
        </is>
      </c>
      <c r="B585" s="1" t="n">
        <v>44848</v>
      </c>
      <c r="C585" s="1" t="n">
        <v>45212</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HYPERLINK("https://klasma.github.io/Logging_2283/karta/A 46630-2022 karta.png", "A 46630-2022")</f>
        <v/>
      </c>
      <c r="U585">
        <f>HYPERLINK("https://klasma.github.io/Logging_2283/knärot/A 46630-2022 knärot.png", "A 46630-2022")</f>
        <v/>
      </c>
      <c r="V585">
        <f>HYPERLINK("https://klasma.github.io/Logging_2283/klagomål/A 46630-2022 klagomål.docx", "A 46630-2022")</f>
        <v/>
      </c>
      <c r="W585">
        <f>HYPERLINK("https://klasma.github.io/Logging_2283/klagomålsmail/A 46630-2022 klagomålsmail.docx", "A 46630-2022")</f>
        <v/>
      </c>
      <c r="X585">
        <f>HYPERLINK("https://klasma.github.io/Logging_2283/tillsyn/A 46630-2022 tillsyn.docx", "A 46630-2022")</f>
        <v/>
      </c>
      <c r="Y585">
        <f>HYPERLINK("https://klasma.github.io/Logging_2283/tillsynsmail/A 46630-2022 tillsynsmail.docx", "A 46630-2022")</f>
        <v/>
      </c>
    </row>
    <row r="586" ht="15" customHeight="1">
      <c r="A586" t="inlineStr">
        <is>
          <t>A 47067-2022</t>
        </is>
      </c>
      <c r="B586" s="1" t="n">
        <v>44852</v>
      </c>
      <c r="C586" s="1" t="n">
        <v>45212</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HYPERLINK("https://klasma.github.io/Logging_2284/karta/A 47067-2022 karta.png", "A 47067-2022")</f>
        <v/>
      </c>
      <c r="V586">
        <f>HYPERLINK("https://klasma.github.io/Logging_2284/klagomål/A 47067-2022 klagomål.docx", "A 47067-2022")</f>
        <v/>
      </c>
      <c r="W586">
        <f>HYPERLINK("https://klasma.github.io/Logging_2284/klagomålsmail/A 47067-2022 klagomålsmail.docx", "A 47067-2022")</f>
        <v/>
      </c>
      <c r="X586">
        <f>HYPERLINK("https://klasma.github.io/Logging_2284/tillsyn/A 47067-2022 tillsyn.docx", "A 47067-2022")</f>
        <v/>
      </c>
      <c r="Y586">
        <f>HYPERLINK("https://klasma.github.io/Logging_2284/tillsynsmail/A 47067-2022 tillsynsmail.docx", "A 47067-2022")</f>
        <v/>
      </c>
    </row>
    <row r="587" ht="15" customHeight="1">
      <c r="A587" t="inlineStr">
        <is>
          <t>A 47784-2022</t>
        </is>
      </c>
      <c r="B587" s="1" t="n">
        <v>44854</v>
      </c>
      <c r="C587" s="1" t="n">
        <v>45212</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HYPERLINK("https://klasma.github.io/Logging_2260/karta/A 47784-2022 karta.png", "A 47784-2022")</f>
        <v/>
      </c>
      <c r="V587">
        <f>HYPERLINK("https://klasma.github.io/Logging_2260/klagomål/A 47784-2022 klagomål.docx", "A 47784-2022")</f>
        <v/>
      </c>
      <c r="W587">
        <f>HYPERLINK("https://klasma.github.io/Logging_2260/klagomålsmail/A 47784-2022 klagomålsmail.docx", "A 47784-2022")</f>
        <v/>
      </c>
      <c r="X587">
        <f>HYPERLINK("https://klasma.github.io/Logging_2260/tillsyn/A 47784-2022 tillsyn.docx", "A 47784-2022")</f>
        <v/>
      </c>
      <c r="Y587">
        <f>HYPERLINK("https://klasma.github.io/Logging_2260/tillsynsmail/A 47784-2022 tillsynsmail.docx", "A 47784-2022")</f>
        <v/>
      </c>
    </row>
    <row r="588" ht="15" customHeight="1">
      <c r="A588" t="inlineStr">
        <is>
          <t>A 47807-2022</t>
        </is>
      </c>
      <c r="B588" s="1" t="n">
        <v>44854</v>
      </c>
      <c r="C588" s="1" t="n">
        <v>45212</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HYPERLINK("https://klasma.github.io/Logging_2281/karta/A 47807-2022 karta.png", "A 47807-2022")</f>
        <v/>
      </c>
      <c r="V588">
        <f>HYPERLINK("https://klasma.github.io/Logging_2281/klagomål/A 47807-2022 klagomål.docx", "A 47807-2022")</f>
        <v/>
      </c>
      <c r="W588">
        <f>HYPERLINK("https://klasma.github.io/Logging_2281/klagomålsmail/A 47807-2022 klagomålsmail.docx", "A 47807-2022")</f>
        <v/>
      </c>
      <c r="X588">
        <f>HYPERLINK("https://klasma.github.io/Logging_2281/tillsyn/A 47807-2022 tillsyn.docx", "A 47807-2022")</f>
        <v/>
      </c>
      <c r="Y588">
        <f>HYPERLINK("https://klasma.github.io/Logging_2281/tillsynsmail/A 47807-2022 tillsynsmail.docx", "A 47807-2022")</f>
        <v/>
      </c>
    </row>
    <row r="589" ht="15" customHeight="1">
      <c r="A589" t="inlineStr">
        <is>
          <t>A 49850-2022</t>
        </is>
      </c>
      <c r="B589" s="1" t="n">
        <v>44862</v>
      </c>
      <c r="C589" s="1" t="n">
        <v>45212</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HYPERLINK("https://klasma.github.io/Logging_2281/karta/A 49850-2022 karta.png", "A 49850-2022")</f>
        <v/>
      </c>
      <c r="V589">
        <f>HYPERLINK("https://klasma.github.io/Logging_2281/klagomål/A 49850-2022 klagomål.docx", "A 49850-2022")</f>
        <v/>
      </c>
      <c r="W589">
        <f>HYPERLINK("https://klasma.github.io/Logging_2281/klagomålsmail/A 49850-2022 klagomålsmail.docx", "A 49850-2022")</f>
        <v/>
      </c>
      <c r="X589">
        <f>HYPERLINK("https://klasma.github.io/Logging_2281/tillsyn/A 49850-2022 tillsyn.docx", "A 49850-2022")</f>
        <v/>
      </c>
      <c r="Y589">
        <f>HYPERLINK("https://klasma.github.io/Logging_2281/tillsynsmail/A 49850-2022 tillsynsmail.docx", "A 49850-2022")</f>
        <v/>
      </c>
    </row>
    <row r="590" ht="15" customHeight="1">
      <c r="A590" t="inlineStr">
        <is>
          <t>A 51183-2022</t>
        </is>
      </c>
      <c r="B590" s="1" t="n">
        <v>44868</v>
      </c>
      <c r="C590" s="1" t="n">
        <v>45212</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HYPERLINK("https://klasma.github.io/Logging_2284/karta/A 51183-2022 karta.png", "A 51183-2022")</f>
        <v/>
      </c>
      <c r="V590">
        <f>HYPERLINK("https://klasma.github.io/Logging_2284/klagomål/A 51183-2022 klagomål.docx", "A 51183-2022")</f>
        <v/>
      </c>
      <c r="W590">
        <f>HYPERLINK("https://klasma.github.io/Logging_2284/klagomålsmail/A 51183-2022 klagomålsmail.docx", "A 51183-2022")</f>
        <v/>
      </c>
      <c r="X590">
        <f>HYPERLINK("https://klasma.github.io/Logging_2284/tillsyn/A 51183-2022 tillsyn.docx", "A 51183-2022")</f>
        <v/>
      </c>
      <c r="Y590">
        <f>HYPERLINK("https://klasma.github.io/Logging_2284/tillsynsmail/A 51183-2022 tillsynsmail.docx", "A 51183-2022")</f>
        <v/>
      </c>
    </row>
    <row r="591" ht="15" customHeight="1">
      <c r="A591" t="inlineStr">
        <is>
          <t>A 51565-2022</t>
        </is>
      </c>
      <c r="B591" s="1" t="n">
        <v>44869</v>
      </c>
      <c r="C591" s="1" t="n">
        <v>45212</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HYPERLINK("https://klasma.github.io/Logging_2280/karta/A 51565-2022 karta.png", "A 51565-2022")</f>
        <v/>
      </c>
      <c r="U591">
        <f>HYPERLINK("https://klasma.github.io/Logging_2280/knärot/A 51565-2022 knärot.png", "A 51565-2022")</f>
        <v/>
      </c>
      <c r="V591">
        <f>HYPERLINK("https://klasma.github.io/Logging_2280/klagomål/A 51565-2022 klagomål.docx", "A 51565-2022")</f>
        <v/>
      </c>
      <c r="W591">
        <f>HYPERLINK("https://klasma.github.io/Logging_2280/klagomålsmail/A 51565-2022 klagomålsmail.docx", "A 51565-2022")</f>
        <v/>
      </c>
      <c r="X591">
        <f>HYPERLINK("https://klasma.github.io/Logging_2280/tillsyn/A 51565-2022 tillsyn.docx", "A 51565-2022")</f>
        <v/>
      </c>
      <c r="Y591">
        <f>HYPERLINK("https://klasma.github.io/Logging_2280/tillsynsmail/A 51565-2022 tillsynsmail.docx", "A 51565-2022")</f>
        <v/>
      </c>
    </row>
    <row r="592" ht="15" customHeight="1">
      <c r="A592" t="inlineStr">
        <is>
          <t>A 52736-2022</t>
        </is>
      </c>
      <c r="B592" s="1" t="n">
        <v>44874</v>
      </c>
      <c r="C592" s="1" t="n">
        <v>45212</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HYPERLINK("https://klasma.github.io/Logging_2283/karta/A 52736-2022 karta.png", "A 52736-2022")</f>
        <v/>
      </c>
      <c r="V592">
        <f>HYPERLINK("https://klasma.github.io/Logging_2283/klagomål/A 52736-2022 klagomål.docx", "A 52736-2022")</f>
        <v/>
      </c>
      <c r="W592">
        <f>HYPERLINK("https://klasma.github.io/Logging_2283/klagomålsmail/A 52736-2022 klagomålsmail.docx", "A 52736-2022")</f>
        <v/>
      </c>
      <c r="X592">
        <f>HYPERLINK("https://klasma.github.io/Logging_2283/tillsyn/A 52736-2022 tillsyn.docx", "A 52736-2022")</f>
        <v/>
      </c>
      <c r="Y592">
        <f>HYPERLINK("https://klasma.github.io/Logging_2283/tillsynsmail/A 52736-2022 tillsynsmail.docx", "A 52736-2022")</f>
        <v/>
      </c>
    </row>
    <row r="593" ht="15" customHeight="1">
      <c r="A593" t="inlineStr">
        <is>
          <t>A 57242-2022</t>
        </is>
      </c>
      <c r="B593" s="1" t="n">
        <v>44889</v>
      </c>
      <c r="C593" s="1" t="n">
        <v>45212</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HYPERLINK("https://klasma.github.io/Logging_2262/karta/A 57242-2022 karta.png", "A 57242-2022")</f>
        <v/>
      </c>
      <c r="V593">
        <f>HYPERLINK("https://klasma.github.io/Logging_2262/klagomål/A 57242-2022 klagomål.docx", "A 57242-2022")</f>
        <v/>
      </c>
      <c r="W593">
        <f>HYPERLINK("https://klasma.github.io/Logging_2262/klagomålsmail/A 57242-2022 klagomålsmail.docx", "A 57242-2022")</f>
        <v/>
      </c>
      <c r="X593">
        <f>HYPERLINK("https://klasma.github.io/Logging_2262/tillsyn/A 57242-2022 tillsyn.docx", "A 57242-2022")</f>
        <v/>
      </c>
      <c r="Y593">
        <f>HYPERLINK("https://klasma.github.io/Logging_2262/tillsynsmail/A 57242-2022 tillsynsmail.docx", "A 57242-2022")</f>
        <v/>
      </c>
    </row>
    <row r="594" ht="15" customHeight="1">
      <c r="A594" t="inlineStr">
        <is>
          <t>A 58070-2022</t>
        </is>
      </c>
      <c r="B594" s="1" t="n">
        <v>44893</v>
      </c>
      <c r="C594" s="1" t="n">
        <v>45212</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HYPERLINK("https://klasma.github.io/Logging_2284/karta/A 58070-2022 karta.png", "A 58070-2022")</f>
        <v/>
      </c>
      <c r="V594">
        <f>HYPERLINK("https://klasma.github.io/Logging_2284/klagomål/A 58070-2022 klagomål.docx", "A 58070-2022")</f>
        <v/>
      </c>
      <c r="W594">
        <f>HYPERLINK("https://klasma.github.io/Logging_2284/klagomålsmail/A 58070-2022 klagomålsmail.docx", "A 58070-2022")</f>
        <v/>
      </c>
      <c r="X594">
        <f>HYPERLINK("https://klasma.github.io/Logging_2284/tillsyn/A 58070-2022 tillsyn.docx", "A 58070-2022")</f>
        <v/>
      </c>
      <c r="Y594">
        <f>HYPERLINK("https://klasma.github.io/Logging_2284/tillsynsmail/A 58070-2022 tillsynsmail.docx", "A 58070-2022")</f>
        <v/>
      </c>
    </row>
    <row r="595" ht="15" customHeight="1">
      <c r="A595" t="inlineStr">
        <is>
          <t>A 57281-2022</t>
        </is>
      </c>
      <c r="B595" s="1" t="n">
        <v>44895</v>
      </c>
      <c r="C595" s="1" t="n">
        <v>45212</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HYPERLINK("https://klasma.github.io/Logging_2281/karta/A 57281-2022 karta.png", "A 57281-2022")</f>
        <v/>
      </c>
      <c r="V595">
        <f>HYPERLINK("https://klasma.github.io/Logging_2281/klagomål/A 57281-2022 klagomål.docx", "A 57281-2022")</f>
        <v/>
      </c>
      <c r="W595">
        <f>HYPERLINK("https://klasma.github.io/Logging_2281/klagomålsmail/A 57281-2022 klagomålsmail.docx", "A 57281-2022")</f>
        <v/>
      </c>
      <c r="X595">
        <f>HYPERLINK("https://klasma.github.io/Logging_2281/tillsyn/A 57281-2022 tillsyn.docx", "A 57281-2022")</f>
        <v/>
      </c>
      <c r="Y595">
        <f>HYPERLINK("https://klasma.github.io/Logging_2281/tillsynsmail/A 57281-2022 tillsynsmail.docx", "A 57281-2022")</f>
        <v/>
      </c>
    </row>
    <row r="596" ht="15" customHeight="1">
      <c r="A596" t="inlineStr">
        <is>
          <t>A 58186-2022</t>
        </is>
      </c>
      <c r="B596" s="1" t="n">
        <v>44900</v>
      </c>
      <c r="C596" s="1" t="n">
        <v>45212</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HYPERLINK("https://klasma.github.io/Logging_2281/karta/A 58186-2022 karta.png", "A 58186-2022")</f>
        <v/>
      </c>
      <c r="V596">
        <f>HYPERLINK("https://klasma.github.io/Logging_2281/klagomål/A 58186-2022 klagomål.docx", "A 58186-2022")</f>
        <v/>
      </c>
      <c r="W596">
        <f>HYPERLINK("https://klasma.github.io/Logging_2281/klagomålsmail/A 58186-2022 klagomålsmail.docx", "A 58186-2022")</f>
        <v/>
      </c>
      <c r="X596">
        <f>HYPERLINK("https://klasma.github.io/Logging_2281/tillsyn/A 58186-2022 tillsyn.docx", "A 58186-2022")</f>
        <v/>
      </c>
      <c r="Y596">
        <f>HYPERLINK("https://klasma.github.io/Logging_2281/tillsynsmail/A 58186-2022 tillsynsmail.docx", "A 58186-2022")</f>
        <v/>
      </c>
    </row>
    <row r="597" ht="15" customHeight="1">
      <c r="A597" t="inlineStr">
        <is>
          <t>A 58340-2022</t>
        </is>
      </c>
      <c r="B597" s="1" t="n">
        <v>44901</v>
      </c>
      <c r="C597" s="1" t="n">
        <v>45212</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HYPERLINK("https://klasma.github.io/Logging_2284/karta/A 58340-2022 karta.png", "A 58340-2022")</f>
        <v/>
      </c>
      <c r="V597">
        <f>HYPERLINK("https://klasma.github.io/Logging_2284/klagomål/A 58340-2022 klagomål.docx", "A 58340-2022")</f>
        <v/>
      </c>
      <c r="W597">
        <f>HYPERLINK("https://klasma.github.io/Logging_2284/klagomålsmail/A 58340-2022 klagomålsmail.docx", "A 58340-2022")</f>
        <v/>
      </c>
      <c r="X597">
        <f>HYPERLINK("https://klasma.github.io/Logging_2284/tillsyn/A 58340-2022 tillsyn.docx", "A 58340-2022")</f>
        <v/>
      </c>
      <c r="Y597">
        <f>HYPERLINK("https://klasma.github.io/Logging_2284/tillsynsmail/A 58340-2022 tillsynsmail.docx", "A 58340-2022")</f>
        <v/>
      </c>
    </row>
    <row r="598" ht="15" customHeight="1">
      <c r="A598" t="inlineStr">
        <is>
          <t>A 59042-2022</t>
        </is>
      </c>
      <c r="B598" s="1" t="n">
        <v>44903</v>
      </c>
      <c r="C598" s="1" t="n">
        <v>45212</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HYPERLINK("https://klasma.github.io/Logging_2280/karta/A 59042-2022 karta.png", "A 59042-2022")</f>
        <v/>
      </c>
      <c r="V598">
        <f>HYPERLINK("https://klasma.github.io/Logging_2280/klagomål/A 59042-2022 klagomål.docx", "A 59042-2022")</f>
        <v/>
      </c>
      <c r="W598">
        <f>HYPERLINK("https://klasma.github.io/Logging_2280/klagomålsmail/A 59042-2022 klagomålsmail.docx", "A 59042-2022")</f>
        <v/>
      </c>
      <c r="X598">
        <f>HYPERLINK("https://klasma.github.io/Logging_2280/tillsyn/A 59042-2022 tillsyn.docx", "A 59042-2022")</f>
        <v/>
      </c>
      <c r="Y598">
        <f>HYPERLINK("https://klasma.github.io/Logging_2280/tillsynsmail/A 59042-2022 tillsynsmail.docx", "A 59042-2022")</f>
        <v/>
      </c>
    </row>
    <row r="599" ht="15" customHeight="1">
      <c r="A599" t="inlineStr">
        <is>
          <t>A 60833-2022</t>
        </is>
      </c>
      <c r="B599" s="1" t="n">
        <v>44907</v>
      </c>
      <c r="C599" s="1" t="n">
        <v>45212</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HYPERLINK("https://klasma.github.io/Logging_2283/karta/A 60833-2022 karta.png", "A 60833-2022")</f>
        <v/>
      </c>
      <c r="V599">
        <f>HYPERLINK("https://klasma.github.io/Logging_2283/klagomål/A 60833-2022 klagomål.docx", "A 60833-2022")</f>
        <v/>
      </c>
      <c r="W599">
        <f>HYPERLINK("https://klasma.github.io/Logging_2283/klagomålsmail/A 60833-2022 klagomålsmail.docx", "A 60833-2022")</f>
        <v/>
      </c>
      <c r="X599">
        <f>HYPERLINK("https://klasma.github.io/Logging_2283/tillsyn/A 60833-2022 tillsyn.docx", "A 60833-2022")</f>
        <v/>
      </c>
      <c r="Y599">
        <f>HYPERLINK("https://klasma.github.io/Logging_2283/tillsynsmail/A 60833-2022 tillsynsmail.docx", "A 60833-2022")</f>
        <v/>
      </c>
    </row>
    <row r="600" ht="15" customHeight="1">
      <c r="A600" t="inlineStr">
        <is>
          <t>A 60939-2022</t>
        </is>
      </c>
      <c r="B600" s="1" t="n">
        <v>44908</v>
      </c>
      <c r="C600" s="1" t="n">
        <v>45212</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HYPERLINK("https://klasma.github.io/Logging_2283/karta/A 60939-2022 karta.png", "A 60939-2022")</f>
        <v/>
      </c>
      <c r="V600">
        <f>HYPERLINK("https://klasma.github.io/Logging_2283/klagomål/A 60939-2022 klagomål.docx", "A 60939-2022")</f>
        <v/>
      </c>
      <c r="W600">
        <f>HYPERLINK("https://klasma.github.io/Logging_2283/klagomålsmail/A 60939-2022 klagomålsmail.docx", "A 60939-2022")</f>
        <v/>
      </c>
      <c r="X600">
        <f>HYPERLINK("https://klasma.github.io/Logging_2283/tillsyn/A 60939-2022 tillsyn.docx", "A 60939-2022")</f>
        <v/>
      </c>
      <c r="Y600">
        <f>HYPERLINK("https://klasma.github.io/Logging_2283/tillsynsmail/A 60939-2022 tillsynsmail.docx", "A 60939-2022")</f>
        <v/>
      </c>
    </row>
    <row r="601" ht="15" customHeight="1">
      <c r="A601" t="inlineStr">
        <is>
          <t>A 61109-2022</t>
        </is>
      </c>
      <c r="B601" s="1" t="n">
        <v>44908</v>
      </c>
      <c r="C601" s="1" t="n">
        <v>45212</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HYPERLINK("https://klasma.github.io/Logging_2284/karta/A 61109-2022 karta.png", "A 61109-2022")</f>
        <v/>
      </c>
      <c r="V601">
        <f>HYPERLINK("https://klasma.github.io/Logging_2284/klagomål/A 61109-2022 klagomål.docx", "A 61109-2022")</f>
        <v/>
      </c>
      <c r="W601">
        <f>HYPERLINK("https://klasma.github.io/Logging_2284/klagomålsmail/A 61109-2022 klagomålsmail.docx", "A 61109-2022")</f>
        <v/>
      </c>
      <c r="X601">
        <f>HYPERLINK("https://klasma.github.io/Logging_2284/tillsyn/A 61109-2022 tillsyn.docx", "A 61109-2022")</f>
        <v/>
      </c>
      <c r="Y601">
        <f>HYPERLINK("https://klasma.github.io/Logging_2284/tillsynsmail/A 61109-2022 tillsynsmail.docx", "A 61109-2022")</f>
        <v/>
      </c>
    </row>
    <row r="602" ht="15" customHeight="1">
      <c r="A602" t="inlineStr">
        <is>
          <t>A 61234-2022</t>
        </is>
      </c>
      <c r="B602" s="1" t="n">
        <v>44915</v>
      </c>
      <c r="C602" s="1" t="n">
        <v>45212</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HYPERLINK("https://klasma.github.io/Logging_2284/karta/A 61234-2022 karta.png", "A 61234-2022")</f>
        <v/>
      </c>
      <c r="V602">
        <f>HYPERLINK("https://klasma.github.io/Logging_2284/klagomål/A 61234-2022 klagomål.docx", "A 61234-2022")</f>
        <v/>
      </c>
      <c r="W602">
        <f>HYPERLINK("https://klasma.github.io/Logging_2284/klagomålsmail/A 61234-2022 klagomålsmail.docx", "A 61234-2022")</f>
        <v/>
      </c>
      <c r="X602">
        <f>HYPERLINK("https://klasma.github.io/Logging_2284/tillsyn/A 61234-2022 tillsyn.docx", "A 61234-2022")</f>
        <v/>
      </c>
      <c r="Y602">
        <f>HYPERLINK("https://klasma.github.io/Logging_2284/tillsynsmail/A 61234-2022 tillsynsmail.docx", "A 61234-2022")</f>
        <v/>
      </c>
    </row>
    <row r="603" ht="15" customHeight="1">
      <c r="A603" t="inlineStr">
        <is>
          <t>A 986-2023</t>
        </is>
      </c>
      <c r="B603" s="1" t="n">
        <v>44935</v>
      </c>
      <c r="C603" s="1" t="n">
        <v>45212</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HYPERLINK("https://klasma.github.io/Logging_2283/karta/A 986-2023 karta.png", "A 986-2023")</f>
        <v/>
      </c>
      <c r="V603">
        <f>HYPERLINK("https://klasma.github.io/Logging_2283/klagomål/A 986-2023 klagomål.docx", "A 986-2023")</f>
        <v/>
      </c>
      <c r="W603">
        <f>HYPERLINK("https://klasma.github.io/Logging_2283/klagomålsmail/A 986-2023 klagomålsmail.docx", "A 986-2023")</f>
        <v/>
      </c>
      <c r="X603">
        <f>HYPERLINK("https://klasma.github.io/Logging_2283/tillsyn/A 986-2023 tillsyn.docx", "A 986-2023")</f>
        <v/>
      </c>
      <c r="Y603">
        <f>HYPERLINK("https://klasma.github.io/Logging_2283/tillsynsmail/A 986-2023 tillsynsmail.docx", "A 986-2023")</f>
        <v/>
      </c>
    </row>
    <row r="604" ht="15" customHeight="1">
      <c r="A604" t="inlineStr">
        <is>
          <t>A 7485-2023</t>
        </is>
      </c>
      <c r="B604" s="1" t="n">
        <v>44964</v>
      </c>
      <c r="C604" s="1" t="n">
        <v>45212</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HYPERLINK("https://klasma.github.io/Logging_2260/karta/A 7485-2023 karta.png", "A 7485-2023")</f>
        <v/>
      </c>
      <c r="V604">
        <f>HYPERLINK("https://klasma.github.io/Logging_2260/klagomål/A 7485-2023 klagomål.docx", "A 7485-2023")</f>
        <v/>
      </c>
      <c r="W604">
        <f>HYPERLINK("https://klasma.github.io/Logging_2260/klagomålsmail/A 7485-2023 klagomålsmail.docx", "A 7485-2023")</f>
        <v/>
      </c>
      <c r="X604">
        <f>HYPERLINK("https://klasma.github.io/Logging_2260/tillsyn/A 7485-2023 tillsyn.docx", "A 7485-2023")</f>
        <v/>
      </c>
      <c r="Y604">
        <f>HYPERLINK("https://klasma.github.io/Logging_2260/tillsynsmail/A 7485-2023 tillsynsmail.docx", "A 7485-2023")</f>
        <v/>
      </c>
    </row>
    <row r="605" ht="15" customHeight="1">
      <c r="A605" t="inlineStr">
        <is>
          <t>A 7323-2023</t>
        </is>
      </c>
      <c r="B605" s="1" t="n">
        <v>44970</v>
      </c>
      <c r="C605" s="1" t="n">
        <v>45212</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HYPERLINK("https://klasma.github.io/Logging_2284/karta/A 7323-2023 karta.png", "A 7323-2023")</f>
        <v/>
      </c>
      <c r="V605">
        <f>HYPERLINK("https://klasma.github.io/Logging_2284/klagomål/A 7323-2023 klagomål.docx", "A 7323-2023")</f>
        <v/>
      </c>
      <c r="W605">
        <f>HYPERLINK("https://klasma.github.io/Logging_2284/klagomålsmail/A 7323-2023 klagomålsmail.docx", "A 7323-2023")</f>
        <v/>
      </c>
      <c r="X605">
        <f>HYPERLINK("https://klasma.github.io/Logging_2284/tillsyn/A 7323-2023 tillsyn.docx", "A 7323-2023")</f>
        <v/>
      </c>
      <c r="Y605">
        <f>HYPERLINK("https://klasma.github.io/Logging_2284/tillsynsmail/A 7323-2023 tillsynsmail.docx", "A 7323-2023")</f>
        <v/>
      </c>
    </row>
    <row r="606" ht="15" customHeight="1">
      <c r="A606" t="inlineStr">
        <is>
          <t>A 7524-2023</t>
        </is>
      </c>
      <c r="B606" s="1" t="n">
        <v>44971</v>
      </c>
      <c r="C606" s="1" t="n">
        <v>45212</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HYPERLINK("https://klasma.github.io/Logging_2281/karta/A 7524-2023 karta.png", "A 7524-2023")</f>
        <v/>
      </c>
      <c r="V606">
        <f>HYPERLINK("https://klasma.github.io/Logging_2281/klagomål/A 7524-2023 klagomål.docx", "A 7524-2023")</f>
        <v/>
      </c>
      <c r="W606">
        <f>HYPERLINK("https://klasma.github.io/Logging_2281/klagomålsmail/A 7524-2023 klagomålsmail.docx", "A 7524-2023")</f>
        <v/>
      </c>
      <c r="X606">
        <f>HYPERLINK("https://klasma.github.io/Logging_2281/tillsyn/A 7524-2023 tillsyn.docx", "A 7524-2023")</f>
        <v/>
      </c>
      <c r="Y606">
        <f>HYPERLINK("https://klasma.github.io/Logging_2281/tillsynsmail/A 7524-2023 tillsynsmail.docx", "A 7524-2023")</f>
        <v/>
      </c>
    </row>
    <row r="607" ht="15" customHeight="1">
      <c r="A607" t="inlineStr">
        <is>
          <t>A 8677-2023</t>
        </is>
      </c>
      <c r="B607" s="1" t="n">
        <v>44977</v>
      </c>
      <c r="C607" s="1" t="n">
        <v>45212</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HYPERLINK("https://klasma.github.io/Logging_2284/karta/A 8677-2023 karta.png", "A 8677-2023")</f>
        <v/>
      </c>
      <c r="V607">
        <f>HYPERLINK("https://klasma.github.io/Logging_2284/klagomål/A 8677-2023 klagomål.docx", "A 8677-2023")</f>
        <v/>
      </c>
      <c r="W607">
        <f>HYPERLINK("https://klasma.github.io/Logging_2284/klagomålsmail/A 8677-2023 klagomålsmail.docx", "A 8677-2023")</f>
        <v/>
      </c>
      <c r="X607">
        <f>HYPERLINK("https://klasma.github.io/Logging_2284/tillsyn/A 8677-2023 tillsyn.docx", "A 8677-2023")</f>
        <v/>
      </c>
      <c r="Y607">
        <f>HYPERLINK("https://klasma.github.io/Logging_2284/tillsynsmail/A 8677-2023 tillsynsmail.docx", "A 8677-2023")</f>
        <v/>
      </c>
    </row>
    <row r="608" ht="15" customHeight="1">
      <c r="A608" t="inlineStr">
        <is>
          <t>A 10313-2023</t>
        </is>
      </c>
      <c r="B608" s="1" t="n">
        <v>44986</v>
      </c>
      <c r="C608" s="1" t="n">
        <v>45212</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HYPERLINK("https://klasma.github.io/Logging_2262/karta/A 10313-2023 karta.png", "A 10313-2023")</f>
        <v/>
      </c>
      <c r="V608">
        <f>HYPERLINK("https://klasma.github.io/Logging_2262/klagomål/A 10313-2023 klagomål.docx", "A 10313-2023")</f>
        <v/>
      </c>
      <c r="W608">
        <f>HYPERLINK("https://klasma.github.io/Logging_2262/klagomålsmail/A 10313-2023 klagomålsmail.docx", "A 10313-2023")</f>
        <v/>
      </c>
      <c r="X608">
        <f>HYPERLINK("https://klasma.github.io/Logging_2262/tillsyn/A 10313-2023 tillsyn.docx", "A 10313-2023")</f>
        <v/>
      </c>
      <c r="Y608">
        <f>HYPERLINK("https://klasma.github.io/Logging_2262/tillsynsmail/A 10313-2023 tillsynsmail.docx", "A 10313-2023")</f>
        <v/>
      </c>
    </row>
    <row r="609" ht="15" customHeight="1">
      <c r="A609" t="inlineStr">
        <is>
          <t>A 11854-2023</t>
        </is>
      </c>
      <c r="B609" s="1" t="n">
        <v>44993</v>
      </c>
      <c r="C609" s="1" t="n">
        <v>45212</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HYPERLINK("https://klasma.github.io/Logging_2282/karta/A 11854-2023 karta.png", "A 11854-2023")</f>
        <v/>
      </c>
      <c r="V609">
        <f>HYPERLINK("https://klasma.github.io/Logging_2282/klagomål/A 11854-2023 klagomål.docx", "A 11854-2023")</f>
        <v/>
      </c>
      <c r="W609">
        <f>HYPERLINK("https://klasma.github.io/Logging_2282/klagomålsmail/A 11854-2023 klagomålsmail.docx", "A 11854-2023")</f>
        <v/>
      </c>
      <c r="X609">
        <f>HYPERLINK("https://klasma.github.io/Logging_2282/tillsyn/A 11854-2023 tillsyn.docx", "A 11854-2023")</f>
        <v/>
      </c>
      <c r="Y609">
        <f>HYPERLINK("https://klasma.github.io/Logging_2282/tillsynsmail/A 11854-2023 tillsynsmail.docx", "A 11854-2023")</f>
        <v/>
      </c>
    </row>
    <row r="610" ht="15" customHeight="1">
      <c r="A610" t="inlineStr">
        <is>
          <t>A 12058-2023</t>
        </is>
      </c>
      <c r="B610" s="1" t="n">
        <v>44995</v>
      </c>
      <c r="C610" s="1" t="n">
        <v>45212</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HYPERLINK("https://klasma.github.io/Logging_2281/karta/A 12058-2023 karta.png", "A 12058-2023")</f>
        <v/>
      </c>
      <c r="V610">
        <f>HYPERLINK("https://klasma.github.io/Logging_2281/klagomål/A 12058-2023 klagomål.docx", "A 12058-2023")</f>
        <v/>
      </c>
      <c r="W610">
        <f>HYPERLINK("https://klasma.github.io/Logging_2281/klagomålsmail/A 12058-2023 klagomålsmail.docx", "A 12058-2023")</f>
        <v/>
      </c>
      <c r="X610">
        <f>HYPERLINK("https://klasma.github.io/Logging_2281/tillsyn/A 12058-2023 tillsyn.docx", "A 12058-2023")</f>
        <v/>
      </c>
      <c r="Y610">
        <f>HYPERLINK("https://klasma.github.io/Logging_2281/tillsynsmail/A 12058-2023 tillsynsmail.docx", "A 12058-2023")</f>
        <v/>
      </c>
    </row>
    <row r="611" ht="15" customHeight="1">
      <c r="A611" t="inlineStr">
        <is>
          <t>A 12352-2023</t>
        </is>
      </c>
      <c r="B611" s="1" t="n">
        <v>44998</v>
      </c>
      <c r="C611" s="1" t="n">
        <v>45212</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HYPERLINK("https://klasma.github.io/Logging_2284/karta/A 12352-2023 karta.png", "A 12352-2023")</f>
        <v/>
      </c>
      <c r="V611">
        <f>HYPERLINK("https://klasma.github.io/Logging_2284/klagomål/A 12352-2023 klagomål.docx", "A 12352-2023")</f>
        <v/>
      </c>
      <c r="W611">
        <f>HYPERLINK("https://klasma.github.io/Logging_2284/klagomålsmail/A 12352-2023 klagomålsmail.docx", "A 12352-2023")</f>
        <v/>
      </c>
      <c r="X611">
        <f>HYPERLINK("https://klasma.github.io/Logging_2284/tillsyn/A 12352-2023 tillsyn.docx", "A 12352-2023")</f>
        <v/>
      </c>
      <c r="Y611">
        <f>HYPERLINK("https://klasma.github.io/Logging_2284/tillsynsmail/A 12352-2023 tillsynsmail.docx", "A 12352-2023")</f>
        <v/>
      </c>
    </row>
    <row r="612" ht="15" customHeight="1">
      <c r="A612" t="inlineStr">
        <is>
          <t>A 12862-2023</t>
        </is>
      </c>
      <c r="B612" s="1" t="n">
        <v>45001</v>
      </c>
      <c r="C612" s="1" t="n">
        <v>45212</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HYPERLINK("https://klasma.github.io/Logging_2283/karta/A 12862-2023 karta.png", "A 12862-2023")</f>
        <v/>
      </c>
      <c r="V612">
        <f>HYPERLINK("https://klasma.github.io/Logging_2283/klagomål/A 12862-2023 klagomål.docx", "A 12862-2023")</f>
        <v/>
      </c>
      <c r="W612">
        <f>HYPERLINK("https://klasma.github.io/Logging_2283/klagomålsmail/A 12862-2023 klagomålsmail.docx", "A 12862-2023")</f>
        <v/>
      </c>
      <c r="X612">
        <f>HYPERLINK("https://klasma.github.io/Logging_2283/tillsyn/A 12862-2023 tillsyn.docx", "A 12862-2023")</f>
        <v/>
      </c>
      <c r="Y612">
        <f>HYPERLINK("https://klasma.github.io/Logging_2283/tillsynsmail/A 12862-2023 tillsynsmail.docx", "A 12862-2023")</f>
        <v/>
      </c>
    </row>
    <row r="613" ht="15" customHeight="1">
      <c r="A613" t="inlineStr">
        <is>
          <t>A 13220-2023</t>
        </is>
      </c>
      <c r="B613" s="1" t="n">
        <v>45002</v>
      </c>
      <c r="C613" s="1" t="n">
        <v>45212</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HYPERLINK("https://klasma.github.io/Logging_2284/karta/A 13220-2023 karta.png", "A 13220-2023")</f>
        <v/>
      </c>
      <c r="V613">
        <f>HYPERLINK("https://klasma.github.io/Logging_2284/klagomål/A 13220-2023 klagomål.docx", "A 13220-2023")</f>
        <v/>
      </c>
      <c r="W613">
        <f>HYPERLINK("https://klasma.github.io/Logging_2284/klagomålsmail/A 13220-2023 klagomålsmail.docx", "A 13220-2023")</f>
        <v/>
      </c>
      <c r="X613">
        <f>HYPERLINK("https://klasma.github.io/Logging_2284/tillsyn/A 13220-2023 tillsyn.docx", "A 13220-2023")</f>
        <v/>
      </c>
      <c r="Y613">
        <f>HYPERLINK("https://klasma.github.io/Logging_2284/tillsynsmail/A 13220-2023 tillsynsmail.docx", "A 13220-2023")</f>
        <v/>
      </c>
    </row>
    <row r="614" ht="15" customHeight="1">
      <c r="A614" t="inlineStr">
        <is>
          <t>A 13692-2023</t>
        </is>
      </c>
      <c r="B614" s="1" t="n">
        <v>45006</v>
      </c>
      <c r="C614" s="1" t="n">
        <v>45212</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HYPERLINK("https://klasma.github.io/Logging_2281/karta/A 13692-2023 karta.png", "A 13692-2023")</f>
        <v/>
      </c>
      <c r="V614">
        <f>HYPERLINK("https://klasma.github.io/Logging_2281/klagomål/A 13692-2023 klagomål.docx", "A 13692-2023")</f>
        <v/>
      </c>
      <c r="W614">
        <f>HYPERLINK("https://klasma.github.io/Logging_2281/klagomålsmail/A 13692-2023 klagomålsmail.docx", "A 13692-2023")</f>
        <v/>
      </c>
      <c r="X614">
        <f>HYPERLINK("https://klasma.github.io/Logging_2281/tillsyn/A 13692-2023 tillsyn.docx", "A 13692-2023")</f>
        <v/>
      </c>
      <c r="Y614">
        <f>HYPERLINK("https://klasma.github.io/Logging_2281/tillsynsmail/A 13692-2023 tillsynsmail.docx", "A 13692-2023")</f>
        <v/>
      </c>
    </row>
    <row r="615" ht="15" customHeight="1">
      <c r="A615" t="inlineStr">
        <is>
          <t>A 13984-2023</t>
        </is>
      </c>
      <c r="B615" s="1" t="n">
        <v>45008</v>
      </c>
      <c r="C615" s="1" t="n">
        <v>45212</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HYPERLINK("https://klasma.github.io/Logging_2280/karta/A 13984-2023 karta.png", "A 13984-2023")</f>
        <v/>
      </c>
      <c r="V615">
        <f>HYPERLINK("https://klasma.github.io/Logging_2280/klagomål/A 13984-2023 klagomål.docx", "A 13984-2023")</f>
        <v/>
      </c>
      <c r="W615">
        <f>HYPERLINK("https://klasma.github.io/Logging_2280/klagomålsmail/A 13984-2023 klagomålsmail.docx", "A 13984-2023")</f>
        <v/>
      </c>
      <c r="X615">
        <f>HYPERLINK("https://klasma.github.io/Logging_2280/tillsyn/A 13984-2023 tillsyn.docx", "A 13984-2023")</f>
        <v/>
      </c>
      <c r="Y615">
        <f>HYPERLINK("https://klasma.github.io/Logging_2280/tillsynsmail/A 13984-2023 tillsynsmail.docx", "A 13984-2023")</f>
        <v/>
      </c>
    </row>
    <row r="616" ht="15" customHeight="1">
      <c r="A616" t="inlineStr">
        <is>
          <t>A 15346-2023</t>
        </is>
      </c>
      <c r="B616" s="1" t="n">
        <v>45016</v>
      </c>
      <c r="C616" s="1" t="n">
        <v>45212</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HYPERLINK("https://klasma.github.io/Logging_2281/karta/A 15346-2023 karta.png", "A 15346-2023")</f>
        <v/>
      </c>
      <c r="V616">
        <f>HYPERLINK("https://klasma.github.io/Logging_2281/klagomål/A 15346-2023 klagomål.docx", "A 15346-2023")</f>
        <v/>
      </c>
      <c r="W616">
        <f>HYPERLINK("https://klasma.github.io/Logging_2281/klagomålsmail/A 15346-2023 klagomålsmail.docx", "A 15346-2023")</f>
        <v/>
      </c>
      <c r="X616">
        <f>HYPERLINK("https://klasma.github.io/Logging_2281/tillsyn/A 15346-2023 tillsyn.docx", "A 15346-2023")</f>
        <v/>
      </c>
      <c r="Y616">
        <f>HYPERLINK("https://klasma.github.io/Logging_2281/tillsynsmail/A 15346-2023 tillsynsmail.docx", "A 15346-2023")</f>
        <v/>
      </c>
    </row>
    <row r="617" ht="15" customHeight="1">
      <c r="A617" t="inlineStr">
        <is>
          <t>A 17772-2023</t>
        </is>
      </c>
      <c r="B617" s="1" t="n">
        <v>45036</v>
      </c>
      <c r="C617" s="1" t="n">
        <v>45212</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HYPERLINK("https://klasma.github.io/Logging_2281/karta/A 17772-2023 karta.png", "A 17772-2023")</f>
        <v/>
      </c>
      <c r="V617">
        <f>HYPERLINK("https://klasma.github.io/Logging_2281/klagomål/A 17772-2023 klagomål.docx", "A 17772-2023")</f>
        <v/>
      </c>
      <c r="W617">
        <f>HYPERLINK("https://klasma.github.io/Logging_2281/klagomålsmail/A 17772-2023 klagomålsmail.docx", "A 17772-2023")</f>
        <v/>
      </c>
      <c r="X617">
        <f>HYPERLINK("https://klasma.github.io/Logging_2281/tillsyn/A 17772-2023 tillsyn.docx", "A 17772-2023")</f>
        <v/>
      </c>
      <c r="Y617">
        <f>HYPERLINK("https://klasma.github.io/Logging_2281/tillsynsmail/A 17772-2023 tillsynsmail.docx", "A 17772-2023")</f>
        <v/>
      </c>
    </row>
    <row r="618" ht="15" customHeight="1">
      <c r="A618" t="inlineStr">
        <is>
          <t>A 17876-2023</t>
        </is>
      </c>
      <c r="B618" s="1" t="n">
        <v>45038</v>
      </c>
      <c r="C618" s="1" t="n">
        <v>45212</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HYPERLINK("https://klasma.github.io/Logging_2280/karta/A 17876-2023 karta.png", "A 17876-2023")</f>
        <v/>
      </c>
      <c r="V618">
        <f>HYPERLINK("https://klasma.github.io/Logging_2280/klagomål/A 17876-2023 klagomål.docx", "A 17876-2023")</f>
        <v/>
      </c>
      <c r="W618">
        <f>HYPERLINK("https://klasma.github.io/Logging_2280/klagomålsmail/A 17876-2023 klagomålsmail.docx", "A 17876-2023")</f>
        <v/>
      </c>
      <c r="X618">
        <f>HYPERLINK("https://klasma.github.io/Logging_2280/tillsyn/A 17876-2023 tillsyn.docx", "A 17876-2023")</f>
        <v/>
      </c>
      <c r="Y618">
        <f>HYPERLINK("https://klasma.github.io/Logging_2280/tillsynsmail/A 17876-2023 tillsynsmail.docx", "A 17876-2023")</f>
        <v/>
      </c>
    </row>
    <row r="619" ht="15" customHeight="1">
      <c r="A619" t="inlineStr">
        <is>
          <t>A 19441-2023</t>
        </is>
      </c>
      <c r="B619" s="1" t="n">
        <v>45049</v>
      </c>
      <c r="C619" s="1" t="n">
        <v>45212</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HYPERLINK("https://klasma.github.io/Logging_2281/karta/A 19441-2023 karta.png", "A 19441-2023")</f>
        <v/>
      </c>
      <c r="V619">
        <f>HYPERLINK("https://klasma.github.io/Logging_2281/klagomål/A 19441-2023 klagomål.docx", "A 19441-2023")</f>
        <v/>
      </c>
      <c r="W619">
        <f>HYPERLINK("https://klasma.github.io/Logging_2281/klagomålsmail/A 19441-2023 klagomålsmail.docx", "A 19441-2023")</f>
        <v/>
      </c>
      <c r="X619">
        <f>HYPERLINK("https://klasma.github.io/Logging_2281/tillsyn/A 19441-2023 tillsyn.docx", "A 19441-2023")</f>
        <v/>
      </c>
      <c r="Y619">
        <f>HYPERLINK("https://klasma.github.io/Logging_2281/tillsynsmail/A 19441-2023 tillsynsmail.docx", "A 19441-2023")</f>
        <v/>
      </c>
    </row>
    <row r="620" ht="15" customHeight="1">
      <c r="A620" t="inlineStr">
        <is>
          <t>A 21885-2023</t>
        </is>
      </c>
      <c r="B620" s="1" t="n">
        <v>45065</v>
      </c>
      <c r="C620" s="1" t="n">
        <v>45212</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HYPERLINK("https://klasma.github.io/Logging_2282/karta/A 21885-2023 karta.png", "A 21885-2023")</f>
        <v/>
      </c>
      <c r="V620">
        <f>HYPERLINK("https://klasma.github.io/Logging_2282/klagomål/A 21885-2023 klagomål.docx", "A 21885-2023")</f>
        <v/>
      </c>
      <c r="W620">
        <f>HYPERLINK("https://klasma.github.io/Logging_2282/klagomålsmail/A 21885-2023 klagomålsmail.docx", "A 21885-2023")</f>
        <v/>
      </c>
      <c r="X620">
        <f>HYPERLINK("https://klasma.github.io/Logging_2282/tillsyn/A 21885-2023 tillsyn.docx", "A 21885-2023")</f>
        <v/>
      </c>
      <c r="Y620">
        <f>HYPERLINK("https://klasma.github.io/Logging_2282/tillsynsmail/A 21885-2023 tillsynsmail.docx", "A 21885-2023")</f>
        <v/>
      </c>
    </row>
    <row r="621" ht="15" customHeight="1">
      <c r="A621" t="inlineStr">
        <is>
          <t>A 22227-2023</t>
        </is>
      </c>
      <c r="B621" s="1" t="n">
        <v>45069</v>
      </c>
      <c r="C621" s="1" t="n">
        <v>45212</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HYPERLINK("https://klasma.github.io/Logging_2281/karta/A 22227-2023 karta.png", "A 22227-2023")</f>
        <v/>
      </c>
      <c r="V621">
        <f>HYPERLINK("https://klasma.github.io/Logging_2281/klagomål/A 22227-2023 klagomål.docx", "A 22227-2023")</f>
        <v/>
      </c>
      <c r="W621">
        <f>HYPERLINK("https://klasma.github.io/Logging_2281/klagomålsmail/A 22227-2023 klagomålsmail.docx", "A 22227-2023")</f>
        <v/>
      </c>
      <c r="X621">
        <f>HYPERLINK("https://klasma.github.io/Logging_2281/tillsyn/A 22227-2023 tillsyn.docx", "A 22227-2023")</f>
        <v/>
      </c>
      <c r="Y621">
        <f>HYPERLINK("https://klasma.github.io/Logging_2281/tillsynsmail/A 22227-2023 tillsynsmail.docx", "A 22227-2023")</f>
        <v/>
      </c>
    </row>
    <row r="622" ht="15" customHeight="1">
      <c r="A622" t="inlineStr">
        <is>
          <t>A 22998-2023</t>
        </is>
      </c>
      <c r="B622" s="1" t="n">
        <v>45072</v>
      </c>
      <c r="C622" s="1" t="n">
        <v>45212</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HYPERLINK("https://klasma.github.io/Logging_2260/karta/A 22998-2023 karta.png", "A 22998-2023")</f>
        <v/>
      </c>
      <c r="V622">
        <f>HYPERLINK("https://klasma.github.io/Logging_2260/klagomål/A 22998-2023 klagomål.docx", "A 22998-2023")</f>
        <v/>
      </c>
      <c r="W622">
        <f>HYPERLINK("https://klasma.github.io/Logging_2260/klagomålsmail/A 22998-2023 klagomålsmail.docx", "A 22998-2023")</f>
        <v/>
      </c>
      <c r="X622">
        <f>HYPERLINK("https://klasma.github.io/Logging_2260/tillsyn/A 22998-2023 tillsyn.docx", "A 22998-2023")</f>
        <v/>
      </c>
      <c r="Y622">
        <f>HYPERLINK("https://klasma.github.io/Logging_2260/tillsynsmail/A 22998-2023 tillsynsmail.docx", "A 22998-2023")</f>
        <v/>
      </c>
    </row>
    <row r="623" ht="15" customHeight="1">
      <c r="A623" t="inlineStr">
        <is>
          <t>A 25322-2023</t>
        </is>
      </c>
      <c r="B623" s="1" t="n">
        <v>45086</v>
      </c>
      <c r="C623" s="1" t="n">
        <v>45212</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HYPERLINK("https://klasma.github.io/Logging_2260/karta/A 25322-2023 karta.png", "A 25322-2023")</f>
        <v/>
      </c>
      <c r="V623">
        <f>HYPERLINK("https://klasma.github.io/Logging_2260/klagomål/A 25322-2023 klagomål.docx", "A 25322-2023")</f>
        <v/>
      </c>
      <c r="W623">
        <f>HYPERLINK("https://klasma.github.io/Logging_2260/klagomålsmail/A 25322-2023 klagomålsmail.docx", "A 25322-2023")</f>
        <v/>
      </c>
      <c r="X623">
        <f>HYPERLINK("https://klasma.github.io/Logging_2260/tillsyn/A 25322-2023 tillsyn.docx", "A 25322-2023")</f>
        <v/>
      </c>
      <c r="Y623">
        <f>HYPERLINK("https://klasma.github.io/Logging_2260/tillsynsmail/A 25322-2023 tillsynsmail.docx", "A 25322-2023")</f>
        <v/>
      </c>
    </row>
    <row r="624" ht="15" customHeight="1">
      <c r="A624" t="inlineStr">
        <is>
          <t>A 25153-2023</t>
        </is>
      </c>
      <c r="B624" s="1" t="n">
        <v>45086</v>
      </c>
      <c r="C624" s="1" t="n">
        <v>45212</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HYPERLINK("https://klasma.github.io/Logging_2284/karta/A 25153-2023 karta.png", "A 25153-2023")</f>
        <v/>
      </c>
      <c r="V624">
        <f>HYPERLINK("https://klasma.github.io/Logging_2284/klagomål/A 25153-2023 klagomål.docx", "A 25153-2023")</f>
        <v/>
      </c>
      <c r="W624">
        <f>HYPERLINK("https://klasma.github.io/Logging_2284/klagomålsmail/A 25153-2023 klagomålsmail.docx", "A 25153-2023")</f>
        <v/>
      </c>
      <c r="X624">
        <f>HYPERLINK("https://klasma.github.io/Logging_2284/tillsyn/A 25153-2023 tillsyn.docx", "A 25153-2023")</f>
        <v/>
      </c>
      <c r="Y624">
        <f>HYPERLINK("https://klasma.github.io/Logging_2284/tillsynsmail/A 25153-2023 tillsynsmail.docx", "A 25153-2023")</f>
        <v/>
      </c>
    </row>
    <row r="625" ht="15" customHeight="1">
      <c r="A625" t="inlineStr">
        <is>
          <t>A 26514-2023</t>
        </is>
      </c>
      <c r="B625" s="1" t="n">
        <v>45092</v>
      </c>
      <c r="C625" s="1" t="n">
        <v>45212</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HYPERLINK("https://klasma.github.io/Logging_2260/karta/A 26514-2023 karta.png", "A 26514-2023")</f>
        <v/>
      </c>
      <c r="V625">
        <f>HYPERLINK("https://klasma.github.io/Logging_2260/klagomål/A 26514-2023 klagomål.docx", "A 26514-2023")</f>
        <v/>
      </c>
      <c r="W625">
        <f>HYPERLINK("https://klasma.github.io/Logging_2260/klagomålsmail/A 26514-2023 klagomålsmail.docx", "A 26514-2023")</f>
        <v/>
      </c>
      <c r="X625">
        <f>HYPERLINK("https://klasma.github.io/Logging_2260/tillsyn/A 26514-2023 tillsyn.docx", "A 26514-2023")</f>
        <v/>
      </c>
      <c r="Y625">
        <f>HYPERLINK("https://klasma.github.io/Logging_2260/tillsynsmail/A 26514-2023 tillsynsmail.docx", "A 26514-2023")</f>
        <v/>
      </c>
    </row>
    <row r="626" ht="15" customHeight="1">
      <c r="A626" t="inlineStr">
        <is>
          <t>A 28008-2023</t>
        </is>
      </c>
      <c r="B626" s="1" t="n">
        <v>45098</v>
      </c>
      <c r="C626" s="1" t="n">
        <v>45212</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HYPERLINK("https://klasma.github.io/Logging_2281/karta/A 28008-2023 karta.png", "A 28008-2023")</f>
        <v/>
      </c>
      <c r="V626">
        <f>HYPERLINK("https://klasma.github.io/Logging_2281/klagomål/A 28008-2023 klagomål.docx", "A 28008-2023")</f>
        <v/>
      </c>
      <c r="W626">
        <f>HYPERLINK("https://klasma.github.io/Logging_2281/klagomålsmail/A 28008-2023 klagomålsmail.docx", "A 28008-2023")</f>
        <v/>
      </c>
      <c r="X626">
        <f>HYPERLINK("https://klasma.github.io/Logging_2281/tillsyn/A 28008-2023 tillsyn.docx", "A 28008-2023")</f>
        <v/>
      </c>
      <c r="Y626">
        <f>HYPERLINK("https://klasma.github.io/Logging_2281/tillsynsmail/A 28008-2023 tillsynsmail.docx", "A 28008-2023")</f>
        <v/>
      </c>
    </row>
    <row r="627" ht="15" customHeight="1">
      <c r="A627" t="inlineStr">
        <is>
          <t>A 31647-2023</t>
        </is>
      </c>
      <c r="B627" s="1" t="n">
        <v>45105</v>
      </c>
      <c r="C627" s="1" t="n">
        <v>45212</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HYPERLINK("https://klasma.github.io/Logging_2284/karta/A 31647-2023 karta.png", "A 31647-2023")</f>
        <v/>
      </c>
      <c r="V627">
        <f>HYPERLINK("https://klasma.github.io/Logging_2284/klagomål/A 31647-2023 klagomål.docx", "A 31647-2023")</f>
        <v/>
      </c>
      <c r="W627">
        <f>HYPERLINK("https://klasma.github.io/Logging_2284/klagomålsmail/A 31647-2023 klagomålsmail.docx", "A 31647-2023")</f>
        <v/>
      </c>
      <c r="X627">
        <f>HYPERLINK("https://klasma.github.io/Logging_2284/tillsyn/A 31647-2023 tillsyn.docx", "A 31647-2023")</f>
        <v/>
      </c>
      <c r="Y627">
        <f>HYPERLINK("https://klasma.github.io/Logging_2284/tillsynsmail/A 31647-2023 tillsynsmail.docx", "A 31647-2023")</f>
        <v/>
      </c>
    </row>
    <row r="628" ht="15" customHeight="1">
      <c r="A628" t="inlineStr">
        <is>
          <t>A 32077-2023</t>
        </is>
      </c>
      <c r="B628" s="1" t="n">
        <v>45107</v>
      </c>
      <c r="C628" s="1" t="n">
        <v>45212</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HYPERLINK("https://klasma.github.io/Logging_2281/karta/A 32077-2023 karta.png", "A 32077-2023")</f>
        <v/>
      </c>
      <c r="V628">
        <f>HYPERLINK("https://klasma.github.io/Logging_2281/klagomål/A 32077-2023 klagomål.docx", "A 32077-2023")</f>
        <v/>
      </c>
      <c r="W628">
        <f>HYPERLINK("https://klasma.github.io/Logging_2281/klagomålsmail/A 32077-2023 klagomålsmail.docx", "A 32077-2023")</f>
        <v/>
      </c>
      <c r="X628">
        <f>HYPERLINK("https://klasma.github.io/Logging_2281/tillsyn/A 32077-2023 tillsyn.docx", "A 32077-2023")</f>
        <v/>
      </c>
      <c r="Y628">
        <f>HYPERLINK("https://klasma.github.io/Logging_2281/tillsynsmail/A 32077-2023 tillsynsmail.docx", "A 32077-2023")</f>
        <v/>
      </c>
    </row>
    <row r="629" ht="15" customHeight="1">
      <c r="A629" t="inlineStr">
        <is>
          <t>A 29958-2023</t>
        </is>
      </c>
      <c r="B629" s="1" t="n">
        <v>45107</v>
      </c>
      <c r="C629" s="1" t="n">
        <v>45212</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HYPERLINK("https://klasma.github.io/Logging_2283/karta/A 29958-2023 karta.png", "A 29958-2023")</f>
        <v/>
      </c>
      <c r="V629">
        <f>HYPERLINK("https://klasma.github.io/Logging_2283/klagomål/A 29958-2023 klagomål.docx", "A 29958-2023")</f>
        <v/>
      </c>
      <c r="W629">
        <f>HYPERLINK("https://klasma.github.io/Logging_2283/klagomålsmail/A 29958-2023 klagomålsmail.docx", "A 29958-2023")</f>
        <v/>
      </c>
      <c r="X629">
        <f>HYPERLINK("https://klasma.github.io/Logging_2283/tillsyn/A 29958-2023 tillsyn.docx", "A 29958-2023")</f>
        <v/>
      </c>
      <c r="Y629">
        <f>HYPERLINK("https://klasma.github.io/Logging_2283/tillsynsmail/A 29958-2023 tillsynsmail.docx", "A 29958-2023")</f>
        <v/>
      </c>
    </row>
    <row r="630" ht="15" customHeight="1">
      <c r="A630" t="inlineStr">
        <is>
          <t>A 30827-2023</t>
        </is>
      </c>
      <c r="B630" s="1" t="n">
        <v>45112</v>
      </c>
      <c r="C630" s="1" t="n">
        <v>45212</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HYPERLINK("https://klasma.github.io/Logging_2281/karta/A 30827-2023 karta.png", "A 30827-2023")</f>
        <v/>
      </c>
      <c r="V630">
        <f>HYPERLINK("https://klasma.github.io/Logging_2281/klagomål/A 30827-2023 klagomål.docx", "A 30827-2023")</f>
        <v/>
      </c>
      <c r="W630">
        <f>HYPERLINK("https://klasma.github.io/Logging_2281/klagomålsmail/A 30827-2023 klagomålsmail.docx", "A 30827-2023")</f>
        <v/>
      </c>
      <c r="X630">
        <f>HYPERLINK("https://klasma.github.io/Logging_2281/tillsyn/A 30827-2023 tillsyn.docx", "A 30827-2023")</f>
        <v/>
      </c>
      <c r="Y630">
        <f>HYPERLINK("https://klasma.github.io/Logging_2281/tillsynsmail/A 30827-2023 tillsynsmail.docx", "A 30827-2023")</f>
        <v/>
      </c>
    </row>
    <row r="631" ht="15" customHeight="1">
      <c r="A631" t="inlineStr">
        <is>
          <t>A 30837-2023</t>
        </is>
      </c>
      <c r="B631" s="1" t="n">
        <v>45112</v>
      </c>
      <c r="C631" s="1" t="n">
        <v>45212</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HYPERLINK("https://klasma.github.io/Logging_2281/karta/A 30837-2023 karta.png", "A 30837-2023")</f>
        <v/>
      </c>
      <c r="V631">
        <f>HYPERLINK("https://klasma.github.io/Logging_2281/klagomål/A 30837-2023 klagomål.docx", "A 30837-2023")</f>
        <v/>
      </c>
      <c r="W631">
        <f>HYPERLINK("https://klasma.github.io/Logging_2281/klagomålsmail/A 30837-2023 klagomålsmail.docx", "A 30837-2023")</f>
        <v/>
      </c>
      <c r="X631">
        <f>HYPERLINK("https://klasma.github.io/Logging_2281/tillsyn/A 30837-2023 tillsyn.docx", "A 30837-2023")</f>
        <v/>
      </c>
      <c r="Y631">
        <f>HYPERLINK("https://klasma.github.io/Logging_2281/tillsynsmail/A 30837-2023 tillsynsmail.docx", "A 30837-2023")</f>
        <v/>
      </c>
    </row>
    <row r="632" ht="15" customHeight="1">
      <c r="A632" t="inlineStr">
        <is>
          <t>A 33003-2023</t>
        </is>
      </c>
      <c r="B632" s="1" t="n">
        <v>45113</v>
      </c>
      <c r="C632" s="1" t="n">
        <v>45212</v>
      </c>
      <c r="D632" t="inlineStr">
        <is>
          <t>VÄSTERNORRLANDS LÄN</t>
        </is>
      </c>
      <c r="E632" t="inlineStr">
        <is>
          <t>ÖRNSKÖLDSVIK</t>
        </is>
      </c>
      <c r="G632" t="n">
        <v>4.6</v>
      </c>
      <c r="H632" t="n">
        <v>1</v>
      </c>
      <c r="I632" t="n">
        <v>0</v>
      </c>
      <c r="J632" t="n">
        <v>1</v>
      </c>
      <c r="K632" t="n">
        <v>0</v>
      </c>
      <c r="L632" t="n">
        <v>0</v>
      </c>
      <c r="M632" t="n">
        <v>0</v>
      </c>
      <c r="N632" t="n">
        <v>0</v>
      </c>
      <c r="O632" t="n">
        <v>1</v>
      </c>
      <c r="P632" t="n">
        <v>0</v>
      </c>
      <c r="Q632" t="n">
        <v>1</v>
      </c>
      <c r="R632" s="2" t="inlineStr">
        <is>
          <t>Kungsörn</t>
        </is>
      </c>
      <c r="S632">
        <f>HYPERLINK("https://klasma.github.io/Logging_2284/artfynd/A 33003-2023 artfynd.xlsx", "A 33003-2023")</f>
        <v/>
      </c>
      <c r="T632">
        <f>HYPERLINK("https://klasma.github.io/Logging_2284/karta/A 33003-2023 karta.png", "A 33003-2023")</f>
        <v/>
      </c>
      <c r="V632">
        <f>HYPERLINK("https://klasma.github.io/Logging_2284/klagomål/A 33003-2023 klagomål.docx", "A 33003-2023")</f>
        <v/>
      </c>
      <c r="W632">
        <f>HYPERLINK("https://klasma.github.io/Logging_2284/klagomålsmail/A 33003-2023 klagomålsmail.docx", "A 33003-2023")</f>
        <v/>
      </c>
      <c r="X632">
        <f>HYPERLINK("https://klasma.github.io/Logging_2284/tillsyn/A 33003-2023 tillsyn.docx", "A 33003-2023")</f>
        <v/>
      </c>
      <c r="Y632">
        <f>HYPERLINK("https://klasma.github.io/Logging_2284/tillsynsmail/A 33003-2023 tillsynsmail.docx", "A 33003-2023")</f>
        <v/>
      </c>
    </row>
    <row r="633" ht="15" customHeight="1">
      <c r="A633" t="inlineStr">
        <is>
          <t>A 31920-2023</t>
        </is>
      </c>
      <c r="B633" s="1" t="n">
        <v>45118</v>
      </c>
      <c r="C633" s="1" t="n">
        <v>45212</v>
      </c>
      <c r="D633" t="inlineStr">
        <is>
          <t>VÄSTERNORRLANDS LÄN</t>
        </is>
      </c>
      <c r="E633" t="inlineStr">
        <is>
          <t>SOLLEFTEÅ</t>
        </is>
      </c>
      <c r="F633" t="inlineStr">
        <is>
          <t>SCA</t>
        </is>
      </c>
      <c r="G633" t="n">
        <v>2</v>
      </c>
      <c r="H633" t="n">
        <v>0</v>
      </c>
      <c r="I633" t="n">
        <v>0</v>
      </c>
      <c r="J633" t="n">
        <v>1</v>
      </c>
      <c r="K633" t="n">
        <v>0</v>
      </c>
      <c r="L633" t="n">
        <v>0</v>
      </c>
      <c r="M633" t="n">
        <v>0</v>
      </c>
      <c r="N633" t="n">
        <v>0</v>
      </c>
      <c r="O633" t="n">
        <v>1</v>
      </c>
      <c r="P633" t="n">
        <v>0</v>
      </c>
      <c r="Q633" t="n">
        <v>1</v>
      </c>
      <c r="R633" s="2" t="inlineStr">
        <is>
          <t>Ullticka</t>
        </is>
      </c>
      <c r="S633">
        <f>HYPERLINK("https://klasma.github.io/Logging_2283/artfynd/A 31920-2023 artfynd.xlsx", "A 31920-2023")</f>
        <v/>
      </c>
      <c r="T633">
        <f>HYPERLINK("https://klasma.github.io/Logging_2283/karta/A 31920-2023 karta.png", "A 31920-2023")</f>
        <v/>
      </c>
      <c r="V633">
        <f>HYPERLINK("https://klasma.github.io/Logging_2283/klagomål/A 31920-2023 klagomål.docx", "A 31920-2023")</f>
        <v/>
      </c>
      <c r="W633">
        <f>HYPERLINK("https://klasma.github.io/Logging_2283/klagomålsmail/A 31920-2023 klagomålsmail.docx", "A 31920-2023")</f>
        <v/>
      </c>
      <c r="X633">
        <f>HYPERLINK("https://klasma.github.io/Logging_2283/tillsyn/A 31920-2023 tillsyn.docx", "A 31920-2023")</f>
        <v/>
      </c>
      <c r="Y633">
        <f>HYPERLINK("https://klasma.github.io/Logging_2283/tillsynsmail/A 31920-2023 tillsynsmail.docx", "A 31920-2023")</f>
        <v/>
      </c>
    </row>
    <row r="634" ht="15" customHeight="1">
      <c r="A634" t="inlineStr">
        <is>
          <t>A 32217-2023</t>
        </is>
      </c>
      <c r="B634" s="1" t="n">
        <v>45119</v>
      </c>
      <c r="C634" s="1" t="n">
        <v>45212</v>
      </c>
      <c r="D634" t="inlineStr">
        <is>
          <t>VÄSTERNORRLANDS LÄN</t>
        </is>
      </c>
      <c r="E634" t="inlineStr">
        <is>
          <t>SOLLEFTEÅ</t>
        </is>
      </c>
      <c r="F634" t="inlineStr">
        <is>
          <t>SCA</t>
        </is>
      </c>
      <c r="G634" t="n">
        <v>1.8</v>
      </c>
      <c r="H634" t="n">
        <v>0</v>
      </c>
      <c r="I634" t="n">
        <v>0</v>
      </c>
      <c r="J634" t="n">
        <v>1</v>
      </c>
      <c r="K634" t="n">
        <v>0</v>
      </c>
      <c r="L634" t="n">
        <v>0</v>
      </c>
      <c r="M634" t="n">
        <v>0</v>
      </c>
      <c r="N634" t="n">
        <v>0</v>
      </c>
      <c r="O634" t="n">
        <v>1</v>
      </c>
      <c r="P634" t="n">
        <v>0</v>
      </c>
      <c r="Q634" t="n">
        <v>1</v>
      </c>
      <c r="R634" s="2" t="inlineStr">
        <is>
          <t>Lunglav</t>
        </is>
      </c>
      <c r="S634">
        <f>HYPERLINK("https://klasma.github.io/Logging_2283/artfynd/A 32217-2023 artfynd.xlsx", "A 32217-2023")</f>
        <v/>
      </c>
      <c r="T634">
        <f>HYPERLINK("https://klasma.github.io/Logging_2283/karta/A 32217-2023 karta.png", "A 32217-2023")</f>
        <v/>
      </c>
      <c r="V634">
        <f>HYPERLINK("https://klasma.github.io/Logging_2283/klagomål/A 32217-2023 klagomål.docx", "A 32217-2023")</f>
        <v/>
      </c>
      <c r="W634">
        <f>HYPERLINK("https://klasma.github.io/Logging_2283/klagomålsmail/A 32217-2023 klagomålsmail.docx", "A 32217-2023")</f>
        <v/>
      </c>
      <c r="X634">
        <f>HYPERLINK("https://klasma.github.io/Logging_2283/tillsyn/A 32217-2023 tillsyn.docx", "A 32217-2023")</f>
        <v/>
      </c>
      <c r="Y634">
        <f>HYPERLINK("https://klasma.github.io/Logging_2283/tillsynsmail/A 32217-2023 tillsynsmail.docx", "A 32217-2023")</f>
        <v/>
      </c>
    </row>
    <row r="635" ht="15" customHeight="1">
      <c r="A635" t="inlineStr">
        <is>
          <t>A 32734-2023</t>
        </is>
      </c>
      <c r="B635" s="1" t="n">
        <v>45121</v>
      </c>
      <c r="C635" s="1" t="n">
        <v>45212</v>
      </c>
      <c r="D635" t="inlineStr">
        <is>
          <t>VÄSTERNORRLANDS LÄN</t>
        </is>
      </c>
      <c r="E635" t="inlineStr">
        <is>
          <t>SOLLEFTEÅ</t>
        </is>
      </c>
      <c r="G635" t="n">
        <v>1.8</v>
      </c>
      <c r="H635" t="n">
        <v>0</v>
      </c>
      <c r="I635" t="n">
        <v>0</v>
      </c>
      <c r="J635" t="n">
        <v>1</v>
      </c>
      <c r="K635" t="n">
        <v>0</v>
      </c>
      <c r="L635" t="n">
        <v>0</v>
      </c>
      <c r="M635" t="n">
        <v>0</v>
      </c>
      <c r="N635" t="n">
        <v>0</v>
      </c>
      <c r="O635" t="n">
        <v>1</v>
      </c>
      <c r="P635" t="n">
        <v>0</v>
      </c>
      <c r="Q635" t="n">
        <v>1</v>
      </c>
      <c r="R635" s="2" t="inlineStr">
        <is>
          <t>Garnlav</t>
        </is>
      </c>
      <c r="S635">
        <f>HYPERLINK("https://klasma.github.io/Logging_2283/artfynd/A 32734-2023 artfynd.xlsx", "A 32734-2023")</f>
        <v/>
      </c>
      <c r="T635">
        <f>HYPERLINK("https://klasma.github.io/Logging_2283/karta/A 32734-2023 karta.png", "A 32734-2023")</f>
        <v/>
      </c>
      <c r="V635">
        <f>HYPERLINK("https://klasma.github.io/Logging_2283/klagomål/A 32734-2023 klagomål.docx", "A 32734-2023")</f>
        <v/>
      </c>
      <c r="W635">
        <f>HYPERLINK("https://klasma.github.io/Logging_2283/klagomålsmail/A 32734-2023 klagomålsmail.docx", "A 32734-2023")</f>
        <v/>
      </c>
      <c r="X635">
        <f>HYPERLINK("https://klasma.github.io/Logging_2283/tillsyn/A 32734-2023 tillsyn.docx", "A 32734-2023")</f>
        <v/>
      </c>
      <c r="Y635">
        <f>HYPERLINK("https://klasma.github.io/Logging_2283/tillsynsmail/A 32734-2023 tillsynsmail.docx", "A 32734-2023")</f>
        <v/>
      </c>
    </row>
    <row r="636" ht="15" customHeight="1">
      <c r="A636" t="inlineStr">
        <is>
          <t>A 32897-2023</t>
        </is>
      </c>
      <c r="B636" s="1" t="n">
        <v>45124</v>
      </c>
      <c r="C636" s="1" t="n">
        <v>45212</v>
      </c>
      <c r="D636" t="inlineStr">
        <is>
          <t>VÄSTERNORRLANDS LÄN</t>
        </is>
      </c>
      <c r="E636" t="inlineStr">
        <is>
          <t>ÅNGE</t>
        </is>
      </c>
      <c r="F636" t="inlineStr">
        <is>
          <t>SCA</t>
        </is>
      </c>
      <c r="G636" t="n">
        <v>8.1</v>
      </c>
      <c r="H636" t="n">
        <v>1</v>
      </c>
      <c r="I636" t="n">
        <v>0</v>
      </c>
      <c r="J636" t="n">
        <v>0</v>
      </c>
      <c r="K636" t="n">
        <v>1</v>
      </c>
      <c r="L636" t="n">
        <v>0</v>
      </c>
      <c r="M636" t="n">
        <v>0</v>
      </c>
      <c r="N636" t="n">
        <v>0</v>
      </c>
      <c r="O636" t="n">
        <v>1</v>
      </c>
      <c r="P636" t="n">
        <v>1</v>
      </c>
      <c r="Q636" t="n">
        <v>1</v>
      </c>
      <c r="R636" s="2" t="inlineStr">
        <is>
          <t>Doftticka</t>
        </is>
      </c>
      <c r="S636">
        <f>HYPERLINK("https://klasma.github.io/Logging_2260/artfynd/A 32897-2023 artfynd.xlsx", "A 32897-2023")</f>
        <v/>
      </c>
      <c r="T636">
        <f>HYPERLINK("https://klasma.github.io/Logging_2260/karta/A 32897-2023 karta.png", "A 32897-2023")</f>
        <v/>
      </c>
      <c r="V636">
        <f>HYPERLINK("https://klasma.github.io/Logging_2260/klagomål/A 32897-2023 klagomål.docx", "A 32897-2023")</f>
        <v/>
      </c>
      <c r="W636">
        <f>HYPERLINK("https://klasma.github.io/Logging_2260/klagomålsmail/A 32897-2023 klagomålsmail.docx", "A 32897-2023")</f>
        <v/>
      </c>
      <c r="X636">
        <f>HYPERLINK("https://klasma.github.io/Logging_2260/tillsyn/A 32897-2023 tillsyn.docx", "A 32897-2023")</f>
        <v/>
      </c>
      <c r="Y636">
        <f>HYPERLINK("https://klasma.github.io/Logging_2260/tillsynsmail/A 32897-2023 tillsynsmail.docx", "A 32897-2023")</f>
        <v/>
      </c>
    </row>
    <row r="637" ht="15" customHeight="1">
      <c r="A637" t="inlineStr">
        <is>
          <t>A 33330-2023</t>
        </is>
      </c>
      <c r="B637" s="1" t="n">
        <v>45127</v>
      </c>
      <c r="C637" s="1" t="n">
        <v>45212</v>
      </c>
      <c r="D637" t="inlineStr">
        <is>
          <t>VÄSTERNORRLANDS LÄN</t>
        </is>
      </c>
      <c r="E637" t="inlineStr">
        <is>
          <t>TIMRÅ</t>
        </is>
      </c>
      <c r="F637" t="inlineStr">
        <is>
          <t>SCA</t>
        </is>
      </c>
      <c r="G637" t="n">
        <v>4</v>
      </c>
      <c r="H637" t="n">
        <v>0</v>
      </c>
      <c r="I637" t="n">
        <v>0</v>
      </c>
      <c r="J637" t="n">
        <v>1</v>
      </c>
      <c r="K637" t="n">
        <v>0</v>
      </c>
      <c r="L637" t="n">
        <v>0</v>
      </c>
      <c r="M637" t="n">
        <v>0</v>
      </c>
      <c r="N637" t="n">
        <v>0</v>
      </c>
      <c r="O637" t="n">
        <v>1</v>
      </c>
      <c r="P637" t="n">
        <v>0</v>
      </c>
      <c r="Q637" t="n">
        <v>1</v>
      </c>
      <c r="R637" s="2" t="inlineStr">
        <is>
          <t>Lunglav</t>
        </is>
      </c>
      <c r="S637">
        <f>HYPERLINK("https://klasma.github.io/Logging_2262/artfynd/A 33330-2023 artfynd.xlsx", "A 33330-2023")</f>
        <v/>
      </c>
      <c r="T637">
        <f>HYPERLINK("https://klasma.github.io/Logging_2262/karta/A 33330-2023 karta.png", "A 33330-2023")</f>
        <v/>
      </c>
      <c r="V637">
        <f>HYPERLINK("https://klasma.github.io/Logging_2262/klagomål/A 33330-2023 klagomål.docx", "A 33330-2023")</f>
        <v/>
      </c>
      <c r="W637">
        <f>HYPERLINK("https://klasma.github.io/Logging_2262/klagomålsmail/A 33330-2023 klagomålsmail.docx", "A 33330-2023")</f>
        <v/>
      </c>
      <c r="X637">
        <f>HYPERLINK("https://klasma.github.io/Logging_2262/tillsyn/A 33330-2023 tillsyn.docx", "A 33330-2023")</f>
        <v/>
      </c>
      <c r="Y637">
        <f>HYPERLINK("https://klasma.github.io/Logging_2262/tillsynsmail/A 33330-2023 tillsynsmail.docx", "A 33330-2023")</f>
        <v/>
      </c>
    </row>
    <row r="638" ht="15" customHeight="1">
      <c r="A638" t="inlineStr">
        <is>
          <t>A 33503-2023</t>
        </is>
      </c>
      <c r="B638" s="1" t="n">
        <v>45131</v>
      </c>
      <c r="C638" s="1" t="n">
        <v>45212</v>
      </c>
      <c r="D638" t="inlineStr">
        <is>
          <t>VÄSTERNORRLANDS LÄN</t>
        </is>
      </c>
      <c r="E638" t="inlineStr">
        <is>
          <t>TIMRÅ</t>
        </is>
      </c>
      <c r="G638" t="n">
        <v>28.3</v>
      </c>
      <c r="H638" t="n">
        <v>1</v>
      </c>
      <c r="I638" t="n">
        <v>0</v>
      </c>
      <c r="J638" t="n">
        <v>1</v>
      </c>
      <c r="K638" t="n">
        <v>0</v>
      </c>
      <c r="L638" t="n">
        <v>0</v>
      </c>
      <c r="M638" t="n">
        <v>0</v>
      </c>
      <c r="N638" t="n">
        <v>0</v>
      </c>
      <c r="O638" t="n">
        <v>1</v>
      </c>
      <c r="P638" t="n">
        <v>0</v>
      </c>
      <c r="Q638" t="n">
        <v>1</v>
      </c>
      <c r="R638" s="2" t="inlineStr">
        <is>
          <t>Utter</t>
        </is>
      </c>
      <c r="S638">
        <f>HYPERLINK("https://klasma.github.io/Logging_2262/artfynd/A 33503-2023 artfynd.xlsx", "A 33503-2023")</f>
        <v/>
      </c>
      <c r="T638">
        <f>HYPERLINK("https://klasma.github.io/Logging_2262/karta/A 33503-2023 karta.png", "A 33503-2023")</f>
        <v/>
      </c>
      <c r="V638">
        <f>HYPERLINK("https://klasma.github.io/Logging_2262/klagomål/A 33503-2023 klagomål.docx", "A 33503-2023")</f>
        <v/>
      </c>
      <c r="W638">
        <f>HYPERLINK("https://klasma.github.io/Logging_2262/klagomålsmail/A 33503-2023 klagomålsmail.docx", "A 33503-2023")</f>
        <v/>
      </c>
      <c r="X638">
        <f>HYPERLINK("https://klasma.github.io/Logging_2262/tillsyn/A 33503-2023 tillsyn.docx", "A 33503-2023")</f>
        <v/>
      </c>
      <c r="Y638">
        <f>HYPERLINK("https://klasma.github.io/Logging_2262/tillsynsmail/A 33503-2023 tillsynsmail.docx", "A 33503-2023")</f>
        <v/>
      </c>
    </row>
    <row r="639" ht="15" customHeight="1">
      <c r="A639" t="inlineStr">
        <is>
          <t>A 34489-2023</t>
        </is>
      </c>
      <c r="B639" s="1" t="n">
        <v>45139</v>
      </c>
      <c r="C639" s="1" t="n">
        <v>45212</v>
      </c>
      <c r="D639" t="inlineStr">
        <is>
          <t>VÄSTERNORRLANDS LÄN</t>
        </is>
      </c>
      <c r="E639" t="inlineStr">
        <is>
          <t>ÅNGE</t>
        </is>
      </c>
      <c r="F639" t="inlineStr">
        <is>
          <t>SCA</t>
        </is>
      </c>
      <c r="G639" t="n">
        <v>11.1</v>
      </c>
      <c r="H639" t="n">
        <v>1</v>
      </c>
      <c r="I639" t="n">
        <v>0</v>
      </c>
      <c r="J639" t="n">
        <v>0</v>
      </c>
      <c r="K639" t="n">
        <v>1</v>
      </c>
      <c r="L639" t="n">
        <v>0</v>
      </c>
      <c r="M639" t="n">
        <v>0</v>
      </c>
      <c r="N639" t="n">
        <v>0</v>
      </c>
      <c r="O639" t="n">
        <v>1</v>
      </c>
      <c r="P639" t="n">
        <v>1</v>
      </c>
      <c r="Q639" t="n">
        <v>1</v>
      </c>
      <c r="R639" s="2" t="inlineStr">
        <is>
          <t>Knärot</t>
        </is>
      </c>
      <c r="S639">
        <f>HYPERLINK("https://klasma.github.io/Logging_2260/artfynd/A 34489-2023 artfynd.xlsx", "A 34489-2023")</f>
        <v/>
      </c>
      <c r="T639">
        <f>HYPERLINK("https://klasma.github.io/Logging_2260/karta/A 34489-2023 karta.png", "A 34489-2023")</f>
        <v/>
      </c>
      <c r="U639">
        <f>HYPERLINK("https://klasma.github.io/Logging_2260/knärot/A 34489-2023 knärot.png", "A 34489-2023")</f>
        <v/>
      </c>
      <c r="V639">
        <f>HYPERLINK("https://klasma.github.io/Logging_2260/klagomål/A 34489-2023 klagomål.docx", "A 34489-2023")</f>
        <v/>
      </c>
      <c r="W639">
        <f>HYPERLINK("https://klasma.github.io/Logging_2260/klagomålsmail/A 34489-2023 klagomålsmail.docx", "A 34489-2023")</f>
        <v/>
      </c>
      <c r="X639">
        <f>HYPERLINK("https://klasma.github.io/Logging_2260/tillsyn/A 34489-2023 tillsyn.docx", "A 34489-2023")</f>
        <v/>
      </c>
      <c r="Y639">
        <f>HYPERLINK("https://klasma.github.io/Logging_2260/tillsynsmail/A 34489-2023 tillsynsmail.docx", "A 34489-2023")</f>
        <v/>
      </c>
    </row>
    <row r="640" ht="15" customHeight="1">
      <c r="A640" t="inlineStr">
        <is>
          <t>A 35751-2023</t>
        </is>
      </c>
      <c r="B640" s="1" t="n">
        <v>45147</v>
      </c>
      <c r="C640" s="1" t="n">
        <v>45212</v>
      </c>
      <c r="D640" t="inlineStr">
        <is>
          <t>VÄSTERNORRLANDS LÄN</t>
        </is>
      </c>
      <c r="E640" t="inlineStr">
        <is>
          <t>SUNDSVALL</t>
        </is>
      </c>
      <c r="F640" t="inlineStr">
        <is>
          <t>SCA</t>
        </is>
      </c>
      <c r="G640" t="n">
        <v>5</v>
      </c>
      <c r="H640" t="n">
        <v>1</v>
      </c>
      <c r="I640" t="n">
        <v>0</v>
      </c>
      <c r="J640" t="n">
        <v>1</v>
      </c>
      <c r="K640" t="n">
        <v>0</v>
      </c>
      <c r="L640" t="n">
        <v>0</v>
      </c>
      <c r="M640" t="n">
        <v>0</v>
      </c>
      <c r="N640" t="n">
        <v>0</v>
      </c>
      <c r="O640" t="n">
        <v>1</v>
      </c>
      <c r="P640" t="n">
        <v>0</v>
      </c>
      <c r="Q640" t="n">
        <v>1</v>
      </c>
      <c r="R640" s="2" t="inlineStr">
        <is>
          <t>Nordfladdermus</t>
        </is>
      </c>
      <c r="S640">
        <f>HYPERLINK("https://klasma.github.io/Logging_2281/artfynd/A 35751-2023 artfynd.xlsx", "A 35751-2023")</f>
        <v/>
      </c>
      <c r="T640">
        <f>HYPERLINK("https://klasma.github.io/Logging_2281/karta/A 35751-2023 karta.png", "A 35751-2023")</f>
        <v/>
      </c>
      <c r="V640">
        <f>HYPERLINK("https://klasma.github.io/Logging_2281/klagomål/A 35751-2023 klagomål.docx", "A 35751-2023")</f>
        <v/>
      </c>
      <c r="W640">
        <f>HYPERLINK("https://klasma.github.io/Logging_2281/klagomålsmail/A 35751-2023 klagomålsmail.docx", "A 35751-2023")</f>
        <v/>
      </c>
      <c r="X640">
        <f>HYPERLINK("https://klasma.github.io/Logging_2281/tillsyn/A 35751-2023 tillsyn.docx", "A 35751-2023")</f>
        <v/>
      </c>
      <c r="Y640">
        <f>HYPERLINK("https://klasma.github.io/Logging_2281/tillsynsmail/A 35751-2023 tillsynsmail.docx", "A 35751-2023")</f>
        <v/>
      </c>
    </row>
    <row r="641" ht="15" customHeight="1">
      <c r="A641" t="inlineStr">
        <is>
          <t>A 35973-2023</t>
        </is>
      </c>
      <c r="B641" s="1" t="n">
        <v>45148</v>
      </c>
      <c r="C641" s="1" t="n">
        <v>45212</v>
      </c>
      <c r="D641" t="inlineStr">
        <is>
          <t>VÄSTERNORRLANDS LÄN</t>
        </is>
      </c>
      <c r="E641" t="inlineStr">
        <is>
          <t>ÅNGE</t>
        </is>
      </c>
      <c r="F641" t="inlineStr">
        <is>
          <t>SCA</t>
        </is>
      </c>
      <c r="G641" t="n">
        <v>1.3</v>
      </c>
      <c r="H641" t="n">
        <v>1</v>
      </c>
      <c r="I641" t="n">
        <v>1</v>
      </c>
      <c r="J641" t="n">
        <v>0</v>
      </c>
      <c r="K641" t="n">
        <v>0</v>
      </c>
      <c r="L641" t="n">
        <v>0</v>
      </c>
      <c r="M641" t="n">
        <v>0</v>
      </c>
      <c r="N641" t="n">
        <v>0</v>
      </c>
      <c r="O641" t="n">
        <v>0</v>
      </c>
      <c r="P641" t="n">
        <v>0</v>
      </c>
      <c r="Q641" t="n">
        <v>1</v>
      </c>
      <c r="R641" s="2" t="inlineStr">
        <is>
          <t>Korallrot</t>
        </is>
      </c>
      <c r="S641">
        <f>HYPERLINK("https://klasma.github.io/Logging_2260/artfynd/A 35973-2023 artfynd.xlsx", "A 35973-2023")</f>
        <v/>
      </c>
      <c r="T641">
        <f>HYPERLINK("https://klasma.github.io/Logging_2260/karta/A 35973-2023 karta.png", "A 35973-2023")</f>
        <v/>
      </c>
      <c r="V641">
        <f>HYPERLINK("https://klasma.github.io/Logging_2260/klagomål/A 35973-2023 klagomål.docx", "A 35973-2023")</f>
        <v/>
      </c>
      <c r="W641">
        <f>HYPERLINK("https://klasma.github.io/Logging_2260/klagomålsmail/A 35973-2023 klagomålsmail.docx", "A 35973-2023")</f>
        <v/>
      </c>
      <c r="X641">
        <f>HYPERLINK("https://klasma.github.io/Logging_2260/tillsyn/A 35973-2023 tillsyn.docx", "A 35973-2023")</f>
        <v/>
      </c>
      <c r="Y641">
        <f>HYPERLINK("https://klasma.github.io/Logging_2260/tillsynsmail/A 35973-2023 tillsynsmail.docx", "A 35973-2023")</f>
        <v/>
      </c>
    </row>
    <row r="642" ht="15" customHeight="1">
      <c r="A642" t="inlineStr">
        <is>
          <t>A 38089-2023</t>
        </is>
      </c>
      <c r="B642" s="1" t="n">
        <v>45160</v>
      </c>
      <c r="C642" s="1" t="n">
        <v>45212</v>
      </c>
      <c r="D642" t="inlineStr">
        <is>
          <t>VÄSTERNORRLANDS LÄN</t>
        </is>
      </c>
      <c r="E642" t="inlineStr">
        <is>
          <t>SOLLEFTEÅ</t>
        </is>
      </c>
      <c r="F642" t="inlineStr">
        <is>
          <t>SCA</t>
        </is>
      </c>
      <c r="G642" t="n">
        <v>4.3</v>
      </c>
      <c r="H642" t="n">
        <v>0</v>
      </c>
      <c r="I642" t="n">
        <v>0</v>
      </c>
      <c r="J642" t="n">
        <v>1</v>
      </c>
      <c r="K642" t="n">
        <v>0</v>
      </c>
      <c r="L642" t="n">
        <v>0</v>
      </c>
      <c r="M642" t="n">
        <v>0</v>
      </c>
      <c r="N642" t="n">
        <v>0</v>
      </c>
      <c r="O642" t="n">
        <v>1</v>
      </c>
      <c r="P642" t="n">
        <v>0</v>
      </c>
      <c r="Q642" t="n">
        <v>1</v>
      </c>
      <c r="R642" s="2" t="inlineStr">
        <is>
          <t>Garnlav</t>
        </is>
      </c>
      <c r="S642">
        <f>HYPERLINK("https://klasma.github.io/Logging_2283/artfynd/A 38089-2023 artfynd.xlsx", "A 38089-2023")</f>
        <v/>
      </c>
      <c r="T642">
        <f>HYPERLINK("https://klasma.github.io/Logging_2283/karta/A 38089-2023 karta.png", "A 38089-2023")</f>
        <v/>
      </c>
      <c r="V642">
        <f>HYPERLINK("https://klasma.github.io/Logging_2283/klagomål/A 38089-2023 klagomål.docx", "A 38089-2023")</f>
        <v/>
      </c>
      <c r="W642">
        <f>HYPERLINK("https://klasma.github.io/Logging_2283/klagomålsmail/A 38089-2023 klagomålsmail.docx", "A 38089-2023")</f>
        <v/>
      </c>
      <c r="X642">
        <f>HYPERLINK("https://klasma.github.io/Logging_2283/tillsyn/A 38089-2023 tillsyn.docx", "A 38089-2023")</f>
        <v/>
      </c>
      <c r="Y642">
        <f>HYPERLINK("https://klasma.github.io/Logging_2283/tillsynsmail/A 38089-2023 tillsynsmail.docx", "A 38089-2023")</f>
        <v/>
      </c>
    </row>
    <row r="643" ht="15" customHeight="1">
      <c r="A643" t="inlineStr">
        <is>
          <t>A 47839-2023</t>
        </is>
      </c>
      <c r="B643" s="1" t="n">
        <v>45204</v>
      </c>
      <c r="C643" s="1" t="n">
        <v>45212</v>
      </c>
      <c r="D643" t="inlineStr">
        <is>
          <t>VÄSTERNORRLANDS LÄN</t>
        </is>
      </c>
      <c r="E643" t="inlineStr">
        <is>
          <t>ÖRNSKÖLDSVIK</t>
        </is>
      </c>
      <c r="F643" t="inlineStr">
        <is>
          <t>Holmen skog AB</t>
        </is>
      </c>
      <c r="G643" t="n">
        <v>5.5</v>
      </c>
      <c r="H643" t="n">
        <v>0</v>
      </c>
      <c r="I643" t="n">
        <v>0</v>
      </c>
      <c r="J643" t="n">
        <v>1</v>
      </c>
      <c r="K643" t="n">
        <v>0</v>
      </c>
      <c r="L643" t="n">
        <v>0</v>
      </c>
      <c r="M643" t="n">
        <v>0</v>
      </c>
      <c r="N643" t="n">
        <v>0</v>
      </c>
      <c r="O643" t="n">
        <v>1</v>
      </c>
      <c r="P643" t="n">
        <v>0</v>
      </c>
      <c r="Q643" t="n">
        <v>1</v>
      </c>
      <c r="R643" s="2" t="inlineStr">
        <is>
          <t>Lunglav</t>
        </is>
      </c>
      <c r="S643">
        <f>HYPERLINK("https://klasma.github.io/Logging_2284/artfynd/A 47839-2023 artfynd.xlsx", "A 47839-2023")</f>
        <v/>
      </c>
      <c r="T643">
        <f>HYPERLINK("https://klasma.github.io/Logging_2284/karta/A 47839-2023 karta.png", "A 47839-2023")</f>
        <v/>
      </c>
      <c r="V643">
        <f>HYPERLINK("https://klasma.github.io/Logging_2284/klagomål/A 47839-2023 klagomål.docx", "A 47839-2023")</f>
        <v/>
      </c>
      <c r="W643">
        <f>HYPERLINK("https://klasma.github.io/Logging_2284/klagomålsmail/A 47839-2023 klagomålsmail.docx", "A 47839-2023")</f>
        <v/>
      </c>
      <c r="X643">
        <f>HYPERLINK("https://klasma.github.io/Logging_2284/tillsyn/A 47839-2023 tillsyn.docx", "A 47839-2023")</f>
        <v/>
      </c>
      <c r="Y643">
        <f>HYPERLINK("https://klasma.github.io/Logging_2284/tillsynsmail/A 47839-2023 tillsynsmail.docx", "A 47839-2023")</f>
        <v/>
      </c>
    </row>
    <row r="644" ht="15" customHeight="1">
      <c r="A644" t="inlineStr">
        <is>
          <t>A 33896-2018</t>
        </is>
      </c>
      <c r="B644" s="1" t="n">
        <v>43314</v>
      </c>
      <c r="C644" s="1" t="n">
        <v>45212</v>
      </c>
      <c r="D644" t="inlineStr">
        <is>
          <t>VÄSTERNORRLANDS LÄN</t>
        </is>
      </c>
      <c r="E644" t="inlineStr">
        <is>
          <t>SOLLEFTEÅ</t>
        </is>
      </c>
      <c r="G644" t="n">
        <v>0.5</v>
      </c>
      <c r="H644" t="n">
        <v>0</v>
      </c>
      <c r="I644" t="n">
        <v>0</v>
      </c>
      <c r="J644" t="n">
        <v>0</v>
      </c>
      <c r="K644" t="n">
        <v>0</v>
      </c>
      <c r="L644" t="n">
        <v>0</v>
      </c>
      <c r="M644" t="n">
        <v>0</v>
      </c>
      <c r="N644" t="n">
        <v>0</v>
      </c>
      <c r="O644" t="n">
        <v>0</v>
      </c>
      <c r="P644" t="n">
        <v>0</v>
      </c>
      <c r="Q644" t="n">
        <v>0</v>
      </c>
      <c r="R644" s="2" t="inlineStr"/>
    </row>
    <row r="645" ht="15" customHeight="1">
      <c r="A645" t="inlineStr">
        <is>
          <t>A 33961-2018</t>
        </is>
      </c>
      <c r="B645" s="1" t="n">
        <v>43314</v>
      </c>
      <c r="C645" s="1" t="n">
        <v>45212</v>
      </c>
      <c r="D645" t="inlineStr">
        <is>
          <t>VÄSTERNORRLANDS LÄN</t>
        </is>
      </c>
      <c r="E645" t="inlineStr">
        <is>
          <t>ÖRNSKÖLDSVIK</t>
        </is>
      </c>
      <c r="G645" t="n">
        <v>1.3</v>
      </c>
      <c r="H645" t="n">
        <v>0</v>
      </c>
      <c r="I645" t="n">
        <v>0</v>
      </c>
      <c r="J645" t="n">
        <v>0</v>
      </c>
      <c r="K645" t="n">
        <v>0</v>
      </c>
      <c r="L645" t="n">
        <v>0</v>
      </c>
      <c r="M645" t="n">
        <v>0</v>
      </c>
      <c r="N645" t="n">
        <v>0</v>
      </c>
      <c r="O645" t="n">
        <v>0</v>
      </c>
      <c r="P645" t="n">
        <v>0</v>
      </c>
      <c r="Q645" t="n">
        <v>0</v>
      </c>
      <c r="R645" s="2" t="inlineStr"/>
    </row>
    <row r="646" ht="15" customHeight="1">
      <c r="A646" t="inlineStr">
        <is>
          <t>A 34259-2018</t>
        </is>
      </c>
      <c r="B646" s="1" t="n">
        <v>43318</v>
      </c>
      <c r="C646" s="1" t="n">
        <v>45212</v>
      </c>
      <c r="D646" t="inlineStr">
        <is>
          <t>VÄSTERNORRLANDS LÄN</t>
        </is>
      </c>
      <c r="E646" t="inlineStr">
        <is>
          <t>KRAMFORS</t>
        </is>
      </c>
      <c r="G646" t="n">
        <v>0.8</v>
      </c>
      <c r="H646" t="n">
        <v>0</v>
      </c>
      <c r="I646" t="n">
        <v>0</v>
      </c>
      <c r="J646" t="n">
        <v>0</v>
      </c>
      <c r="K646" t="n">
        <v>0</v>
      </c>
      <c r="L646" t="n">
        <v>0</v>
      </c>
      <c r="M646" t="n">
        <v>0</v>
      </c>
      <c r="N646" t="n">
        <v>0</v>
      </c>
      <c r="O646" t="n">
        <v>0</v>
      </c>
      <c r="P646" t="n">
        <v>0</v>
      </c>
      <c r="Q646" t="n">
        <v>0</v>
      </c>
      <c r="R646" s="2" t="inlineStr"/>
    </row>
    <row r="647" ht="15" customHeight="1">
      <c r="A647" t="inlineStr">
        <is>
          <t>A 34183-2018</t>
        </is>
      </c>
      <c r="B647" s="1" t="n">
        <v>43318</v>
      </c>
      <c r="C647" s="1" t="n">
        <v>45212</v>
      </c>
      <c r="D647" t="inlineStr">
        <is>
          <t>VÄSTERNORRLANDS LÄN</t>
        </is>
      </c>
      <c r="E647" t="inlineStr">
        <is>
          <t>KRAMFORS</t>
        </is>
      </c>
      <c r="F647" t="inlineStr">
        <is>
          <t>Kommuner</t>
        </is>
      </c>
      <c r="G647" t="n">
        <v>1</v>
      </c>
      <c r="H647" t="n">
        <v>0</v>
      </c>
      <c r="I647" t="n">
        <v>0</v>
      </c>
      <c r="J647" t="n">
        <v>0</v>
      </c>
      <c r="K647" t="n">
        <v>0</v>
      </c>
      <c r="L647" t="n">
        <v>0</v>
      </c>
      <c r="M647" t="n">
        <v>0</v>
      </c>
      <c r="N647" t="n">
        <v>0</v>
      </c>
      <c r="O647" t="n">
        <v>0</v>
      </c>
      <c r="P647" t="n">
        <v>0</v>
      </c>
      <c r="Q647" t="n">
        <v>0</v>
      </c>
      <c r="R647" s="2" t="inlineStr"/>
    </row>
    <row r="648" ht="15" customHeight="1">
      <c r="A648" t="inlineStr">
        <is>
          <t>A 34255-2018</t>
        </is>
      </c>
      <c r="B648" s="1" t="n">
        <v>43318</v>
      </c>
      <c r="C648" s="1" t="n">
        <v>45212</v>
      </c>
      <c r="D648" t="inlineStr">
        <is>
          <t>VÄSTERNORRLANDS LÄN</t>
        </is>
      </c>
      <c r="E648" t="inlineStr">
        <is>
          <t>KRAMFORS</t>
        </is>
      </c>
      <c r="G648" t="n">
        <v>2.2</v>
      </c>
      <c r="H648" t="n">
        <v>0</v>
      </c>
      <c r="I648" t="n">
        <v>0</v>
      </c>
      <c r="J648" t="n">
        <v>0</v>
      </c>
      <c r="K648" t="n">
        <v>0</v>
      </c>
      <c r="L648" t="n">
        <v>0</v>
      </c>
      <c r="M648" t="n">
        <v>0</v>
      </c>
      <c r="N648" t="n">
        <v>0</v>
      </c>
      <c r="O648" t="n">
        <v>0</v>
      </c>
      <c r="P648" t="n">
        <v>0</v>
      </c>
      <c r="Q648" t="n">
        <v>0</v>
      </c>
      <c r="R648" s="2" t="inlineStr"/>
    </row>
    <row r="649" ht="15" customHeight="1">
      <c r="A649" t="inlineStr">
        <is>
          <t>A 34266-2018</t>
        </is>
      </c>
      <c r="B649" s="1" t="n">
        <v>43318</v>
      </c>
      <c r="C649" s="1" t="n">
        <v>45212</v>
      </c>
      <c r="D649" t="inlineStr">
        <is>
          <t>VÄSTERNORRLANDS LÄN</t>
        </is>
      </c>
      <c r="E649" t="inlineStr">
        <is>
          <t>ÖRNSKÖLDSVIK</t>
        </is>
      </c>
      <c r="G649" t="n">
        <v>0.7</v>
      </c>
      <c r="H649" t="n">
        <v>0</v>
      </c>
      <c r="I649" t="n">
        <v>0</v>
      </c>
      <c r="J649" t="n">
        <v>0</v>
      </c>
      <c r="K649" t="n">
        <v>0</v>
      </c>
      <c r="L649" t="n">
        <v>0</v>
      </c>
      <c r="M649" t="n">
        <v>0</v>
      </c>
      <c r="N649" t="n">
        <v>0</v>
      </c>
      <c r="O649" t="n">
        <v>0</v>
      </c>
      <c r="P649" t="n">
        <v>0</v>
      </c>
      <c r="Q649" t="n">
        <v>0</v>
      </c>
      <c r="R649" s="2" t="inlineStr"/>
    </row>
    <row r="650" ht="15" customHeight="1">
      <c r="A650" t="inlineStr">
        <is>
          <t>A 34184-2018</t>
        </is>
      </c>
      <c r="B650" s="1" t="n">
        <v>43318</v>
      </c>
      <c r="C650" s="1" t="n">
        <v>45212</v>
      </c>
      <c r="D650" t="inlineStr">
        <is>
          <t>VÄSTERNORRLANDS LÄN</t>
        </is>
      </c>
      <c r="E650" t="inlineStr">
        <is>
          <t>KRAMFORS</t>
        </is>
      </c>
      <c r="F650" t="inlineStr">
        <is>
          <t>Kommuner</t>
        </is>
      </c>
      <c r="G650" t="n">
        <v>1.2</v>
      </c>
      <c r="H650" t="n">
        <v>0</v>
      </c>
      <c r="I650" t="n">
        <v>0</v>
      </c>
      <c r="J650" t="n">
        <v>0</v>
      </c>
      <c r="K650" t="n">
        <v>0</v>
      </c>
      <c r="L650" t="n">
        <v>0</v>
      </c>
      <c r="M650" t="n">
        <v>0</v>
      </c>
      <c r="N650" t="n">
        <v>0</v>
      </c>
      <c r="O650" t="n">
        <v>0</v>
      </c>
      <c r="P650" t="n">
        <v>0</v>
      </c>
      <c r="Q650" t="n">
        <v>0</v>
      </c>
      <c r="R650" s="2" t="inlineStr"/>
    </row>
    <row r="651" ht="15" customHeight="1">
      <c r="A651" t="inlineStr">
        <is>
          <t>A 34267-2018</t>
        </is>
      </c>
      <c r="B651" s="1" t="n">
        <v>43318</v>
      </c>
      <c r="C651" s="1" t="n">
        <v>45212</v>
      </c>
      <c r="D651" t="inlineStr">
        <is>
          <t>VÄSTERNORRLANDS LÄN</t>
        </is>
      </c>
      <c r="E651" t="inlineStr">
        <is>
          <t>SOLLEFTEÅ</t>
        </is>
      </c>
      <c r="G651" t="n">
        <v>5.3</v>
      </c>
      <c r="H651" t="n">
        <v>0</v>
      </c>
      <c r="I651" t="n">
        <v>0</v>
      </c>
      <c r="J651" t="n">
        <v>0</v>
      </c>
      <c r="K651" t="n">
        <v>0</v>
      </c>
      <c r="L651" t="n">
        <v>0</v>
      </c>
      <c r="M651" t="n">
        <v>0</v>
      </c>
      <c r="N651" t="n">
        <v>0</v>
      </c>
      <c r="O651" t="n">
        <v>0</v>
      </c>
      <c r="P651" t="n">
        <v>0</v>
      </c>
      <c r="Q651" t="n">
        <v>0</v>
      </c>
      <c r="R651" s="2" t="inlineStr"/>
    </row>
    <row r="652" ht="15" customHeight="1">
      <c r="A652" t="inlineStr">
        <is>
          <t>A 34569-2018</t>
        </is>
      </c>
      <c r="B652" s="1" t="n">
        <v>43320</v>
      </c>
      <c r="C652" s="1" t="n">
        <v>45212</v>
      </c>
      <c r="D652" t="inlineStr">
        <is>
          <t>VÄSTERNORRLANDS LÄN</t>
        </is>
      </c>
      <c r="E652" t="inlineStr">
        <is>
          <t>SUNDSVALL</t>
        </is>
      </c>
      <c r="G652" t="n">
        <v>0.9</v>
      </c>
      <c r="H652" t="n">
        <v>0</v>
      </c>
      <c r="I652" t="n">
        <v>0</v>
      </c>
      <c r="J652" t="n">
        <v>0</v>
      </c>
      <c r="K652" t="n">
        <v>0</v>
      </c>
      <c r="L652" t="n">
        <v>0</v>
      </c>
      <c r="M652" t="n">
        <v>0</v>
      </c>
      <c r="N652" t="n">
        <v>0</v>
      </c>
      <c r="O652" t="n">
        <v>0</v>
      </c>
      <c r="P652" t="n">
        <v>0</v>
      </c>
      <c r="Q652" t="n">
        <v>0</v>
      </c>
      <c r="R652" s="2" t="inlineStr"/>
    </row>
    <row r="653" ht="15" customHeight="1">
      <c r="A653" t="inlineStr">
        <is>
          <t>A 34940-2018</t>
        </is>
      </c>
      <c r="B653" s="1" t="n">
        <v>43321</v>
      </c>
      <c r="C653" s="1" t="n">
        <v>45212</v>
      </c>
      <c r="D653" t="inlineStr">
        <is>
          <t>VÄSTERNORRLANDS LÄN</t>
        </is>
      </c>
      <c r="E653" t="inlineStr">
        <is>
          <t>ÖRNSKÖLDSVIK</t>
        </is>
      </c>
      <c r="G653" t="n">
        <v>3.5</v>
      </c>
      <c r="H653" t="n">
        <v>0</v>
      </c>
      <c r="I653" t="n">
        <v>0</v>
      </c>
      <c r="J653" t="n">
        <v>0</v>
      </c>
      <c r="K653" t="n">
        <v>0</v>
      </c>
      <c r="L653" t="n">
        <v>0</v>
      </c>
      <c r="M653" t="n">
        <v>0</v>
      </c>
      <c r="N653" t="n">
        <v>0</v>
      </c>
      <c r="O653" t="n">
        <v>0</v>
      </c>
      <c r="P653" t="n">
        <v>0</v>
      </c>
      <c r="Q653" t="n">
        <v>0</v>
      </c>
      <c r="R653" s="2" t="inlineStr"/>
    </row>
    <row r="654" ht="15" customHeight="1">
      <c r="A654" t="inlineStr">
        <is>
          <t>A 34928-2018</t>
        </is>
      </c>
      <c r="B654" s="1" t="n">
        <v>43321</v>
      </c>
      <c r="C654" s="1" t="n">
        <v>45212</v>
      </c>
      <c r="D654" t="inlineStr">
        <is>
          <t>VÄSTERNORRLANDS LÄN</t>
        </is>
      </c>
      <c r="E654" t="inlineStr">
        <is>
          <t>ÖRNSKÖLDSVIK</t>
        </is>
      </c>
      <c r="F654" t="inlineStr">
        <is>
          <t>Holmen skog AB</t>
        </is>
      </c>
      <c r="G654" t="n">
        <v>8.4</v>
      </c>
      <c r="H654" t="n">
        <v>0</v>
      </c>
      <c r="I654" t="n">
        <v>0</v>
      </c>
      <c r="J654" t="n">
        <v>0</v>
      </c>
      <c r="K654" t="n">
        <v>0</v>
      </c>
      <c r="L654" t="n">
        <v>0</v>
      </c>
      <c r="M654" t="n">
        <v>0</v>
      </c>
      <c r="N654" t="n">
        <v>0</v>
      </c>
      <c r="O654" t="n">
        <v>0</v>
      </c>
      <c r="P654" t="n">
        <v>0</v>
      </c>
      <c r="Q654" t="n">
        <v>0</v>
      </c>
      <c r="R654" s="2" t="inlineStr"/>
    </row>
    <row r="655" ht="15" customHeight="1">
      <c r="A655" t="inlineStr">
        <is>
          <t>A 35116-2018</t>
        </is>
      </c>
      <c r="B655" s="1" t="n">
        <v>43322</v>
      </c>
      <c r="C655" s="1" t="n">
        <v>45212</v>
      </c>
      <c r="D655" t="inlineStr">
        <is>
          <t>VÄSTERNORRLANDS LÄN</t>
        </is>
      </c>
      <c r="E655" t="inlineStr">
        <is>
          <t>ÖRNSKÖLDSVIK</t>
        </is>
      </c>
      <c r="G655" t="n">
        <v>1.5</v>
      </c>
      <c r="H655" t="n">
        <v>0</v>
      </c>
      <c r="I655" t="n">
        <v>0</v>
      </c>
      <c r="J655" t="n">
        <v>0</v>
      </c>
      <c r="K655" t="n">
        <v>0</v>
      </c>
      <c r="L655" t="n">
        <v>0</v>
      </c>
      <c r="M655" t="n">
        <v>0</v>
      </c>
      <c r="N655" t="n">
        <v>0</v>
      </c>
      <c r="O655" t="n">
        <v>0</v>
      </c>
      <c r="P655" t="n">
        <v>0</v>
      </c>
      <c r="Q655" t="n">
        <v>0</v>
      </c>
      <c r="R655" s="2" t="inlineStr"/>
    </row>
    <row r="656" ht="15" customHeight="1">
      <c r="A656" t="inlineStr">
        <is>
          <t>A 35559-2018</t>
        </is>
      </c>
      <c r="B656" s="1" t="n">
        <v>43325</v>
      </c>
      <c r="C656" s="1" t="n">
        <v>45212</v>
      </c>
      <c r="D656" t="inlineStr">
        <is>
          <t>VÄSTERNORRLANDS LÄN</t>
        </is>
      </c>
      <c r="E656" t="inlineStr">
        <is>
          <t>SUNDSVALL</t>
        </is>
      </c>
      <c r="G656" t="n">
        <v>11.7</v>
      </c>
      <c r="H656" t="n">
        <v>0</v>
      </c>
      <c r="I656" t="n">
        <v>0</v>
      </c>
      <c r="J656" t="n">
        <v>0</v>
      </c>
      <c r="K656" t="n">
        <v>0</v>
      </c>
      <c r="L656" t="n">
        <v>0</v>
      </c>
      <c r="M656" t="n">
        <v>0</v>
      </c>
      <c r="N656" t="n">
        <v>0</v>
      </c>
      <c r="O656" t="n">
        <v>0</v>
      </c>
      <c r="P656" t="n">
        <v>0</v>
      </c>
      <c r="Q656" t="n">
        <v>0</v>
      </c>
      <c r="R656" s="2" t="inlineStr"/>
    </row>
    <row r="657" ht="15" customHeight="1">
      <c r="A657" t="inlineStr">
        <is>
          <t>A 35346-2018</t>
        </is>
      </c>
      <c r="B657" s="1" t="n">
        <v>43325</v>
      </c>
      <c r="C657" s="1" t="n">
        <v>45212</v>
      </c>
      <c r="D657" t="inlineStr">
        <is>
          <t>VÄSTERNORRLANDS LÄN</t>
        </is>
      </c>
      <c r="E657" t="inlineStr">
        <is>
          <t>KRAMFORS</t>
        </is>
      </c>
      <c r="F657" t="inlineStr">
        <is>
          <t>Kommuner</t>
        </is>
      </c>
      <c r="G657" t="n">
        <v>1.5</v>
      </c>
      <c r="H657" t="n">
        <v>0</v>
      </c>
      <c r="I657" t="n">
        <v>0</v>
      </c>
      <c r="J657" t="n">
        <v>0</v>
      </c>
      <c r="K657" t="n">
        <v>0</v>
      </c>
      <c r="L657" t="n">
        <v>0</v>
      </c>
      <c r="M657" t="n">
        <v>0</v>
      </c>
      <c r="N657" t="n">
        <v>0</v>
      </c>
      <c r="O657" t="n">
        <v>0</v>
      </c>
      <c r="P657" t="n">
        <v>0</v>
      </c>
      <c r="Q657" t="n">
        <v>0</v>
      </c>
      <c r="R657" s="2" t="inlineStr"/>
    </row>
    <row r="658" ht="15" customHeight="1">
      <c r="A658" t="inlineStr">
        <is>
          <t>A 35355-2018</t>
        </is>
      </c>
      <c r="B658" s="1" t="n">
        <v>43325</v>
      </c>
      <c r="C658" s="1" t="n">
        <v>45212</v>
      </c>
      <c r="D658" t="inlineStr">
        <is>
          <t>VÄSTERNORRLANDS LÄN</t>
        </is>
      </c>
      <c r="E658" t="inlineStr">
        <is>
          <t>KRAMFORS</t>
        </is>
      </c>
      <c r="F658" t="inlineStr">
        <is>
          <t>Kommuner</t>
        </is>
      </c>
      <c r="G658" t="n">
        <v>2.9</v>
      </c>
      <c r="H658" t="n">
        <v>0</v>
      </c>
      <c r="I658" t="n">
        <v>0</v>
      </c>
      <c r="J658" t="n">
        <v>0</v>
      </c>
      <c r="K658" t="n">
        <v>0</v>
      </c>
      <c r="L658" t="n">
        <v>0</v>
      </c>
      <c r="M658" t="n">
        <v>0</v>
      </c>
      <c r="N658" t="n">
        <v>0</v>
      </c>
      <c r="O658" t="n">
        <v>0</v>
      </c>
      <c r="P658" t="n">
        <v>0</v>
      </c>
      <c r="Q658" t="n">
        <v>0</v>
      </c>
      <c r="R658" s="2" t="inlineStr"/>
    </row>
    <row r="659" ht="15" customHeight="1">
      <c r="A659" t="inlineStr">
        <is>
          <t>A 35533-2018</t>
        </is>
      </c>
      <c r="B659" s="1" t="n">
        <v>43325</v>
      </c>
      <c r="C659" s="1" t="n">
        <v>45212</v>
      </c>
      <c r="D659" t="inlineStr">
        <is>
          <t>VÄSTERNORRLANDS LÄN</t>
        </is>
      </c>
      <c r="E659" t="inlineStr">
        <is>
          <t>SUNDSVALL</t>
        </is>
      </c>
      <c r="G659" t="n">
        <v>4.9</v>
      </c>
      <c r="H659" t="n">
        <v>0</v>
      </c>
      <c r="I659" t="n">
        <v>0</v>
      </c>
      <c r="J659" t="n">
        <v>0</v>
      </c>
      <c r="K659" t="n">
        <v>0</v>
      </c>
      <c r="L659" t="n">
        <v>0</v>
      </c>
      <c r="M659" t="n">
        <v>0</v>
      </c>
      <c r="N659" t="n">
        <v>0</v>
      </c>
      <c r="O659" t="n">
        <v>0</v>
      </c>
      <c r="P659" t="n">
        <v>0</v>
      </c>
      <c r="Q659" t="n">
        <v>0</v>
      </c>
      <c r="R659" s="2" t="inlineStr"/>
    </row>
    <row r="660" ht="15" customHeight="1">
      <c r="A660" t="inlineStr">
        <is>
          <t>A 35973-2018</t>
        </is>
      </c>
      <c r="B660" s="1" t="n">
        <v>43326</v>
      </c>
      <c r="C660" s="1" t="n">
        <v>45212</v>
      </c>
      <c r="D660" t="inlineStr">
        <is>
          <t>VÄSTERNORRLANDS LÄN</t>
        </is>
      </c>
      <c r="E660" t="inlineStr">
        <is>
          <t>ÖRNSKÖLDSVIK</t>
        </is>
      </c>
      <c r="G660" t="n">
        <v>3.1</v>
      </c>
      <c r="H660" t="n">
        <v>0</v>
      </c>
      <c r="I660" t="n">
        <v>0</v>
      </c>
      <c r="J660" t="n">
        <v>0</v>
      </c>
      <c r="K660" t="n">
        <v>0</v>
      </c>
      <c r="L660" t="n">
        <v>0</v>
      </c>
      <c r="M660" t="n">
        <v>0</v>
      </c>
      <c r="N660" t="n">
        <v>0</v>
      </c>
      <c r="O660" t="n">
        <v>0</v>
      </c>
      <c r="P660" t="n">
        <v>0</v>
      </c>
      <c r="Q660" t="n">
        <v>0</v>
      </c>
      <c r="R660" s="2" t="inlineStr"/>
    </row>
    <row r="661" ht="15" customHeight="1">
      <c r="A661" t="inlineStr">
        <is>
          <t>A 36360-2018</t>
        </is>
      </c>
      <c r="B661" s="1" t="n">
        <v>43328</v>
      </c>
      <c r="C661" s="1" t="n">
        <v>45212</v>
      </c>
      <c r="D661" t="inlineStr">
        <is>
          <t>VÄSTERNORRLANDS LÄN</t>
        </is>
      </c>
      <c r="E661" t="inlineStr">
        <is>
          <t>ÖRNSKÖLDSVIK</t>
        </is>
      </c>
      <c r="G661" t="n">
        <v>1.9</v>
      </c>
      <c r="H661" t="n">
        <v>0</v>
      </c>
      <c r="I661" t="n">
        <v>0</v>
      </c>
      <c r="J661" t="n">
        <v>0</v>
      </c>
      <c r="K661" t="n">
        <v>0</v>
      </c>
      <c r="L661" t="n">
        <v>0</v>
      </c>
      <c r="M661" t="n">
        <v>0</v>
      </c>
      <c r="N661" t="n">
        <v>0</v>
      </c>
      <c r="O661" t="n">
        <v>0</v>
      </c>
      <c r="P661" t="n">
        <v>0</v>
      </c>
      <c r="Q661" t="n">
        <v>0</v>
      </c>
      <c r="R661" s="2" t="inlineStr"/>
    </row>
    <row r="662" ht="15" customHeight="1">
      <c r="A662" t="inlineStr">
        <is>
          <t>A 36362-2018</t>
        </is>
      </c>
      <c r="B662" s="1" t="n">
        <v>43328</v>
      </c>
      <c r="C662" s="1" t="n">
        <v>45212</v>
      </c>
      <c r="D662" t="inlineStr">
        <is>
          <t>VÄSTERNORRLANDS LÄN</t>
        </is>
      </c>
      <c r="E662" t="inlineStr">
        <is>
          <t>ÖRNSKÖLDSVIK</t>
        </is>
      </c>
      <c r="G662" t="n">
        <v>6.8</v>
      </c>
      <c r="H662" t="n">
        <v>0</v>
      </c>
      <c r="I662" t="n">
        <v>0</v>
      </c>
      <c r="J662" t="n">
        <v>0</v>
      </c>
      <c r="K662" t="n">
        <v>0</v>
      </c>
      <c r="L662" t="n">
        <v>0</v>
      </c>
      <c r="M662" t="n">
        <v>0</v>
      </c>
      <c r="N662" t="n">
        <v>0</v>
      </c>
      <c r="O662" t="n">
        <v>0</v>
      </c>
      <c r="P662" t="n">
        <v>0</v>
      </c>
      <c r="Q662" t="n">
        <v>0</v>
      </c>
      <c r="R662" s="2" t="inlineStr"/>
    </row>
    <row r="663" ht="15" customHeight="1">
      <c r="A663" t="inlineStr">
        <is>
          <t>A 36749-2018</t>
        </is>
      </c>
      <c r="B663" s="1" t="n">
        <v>43329</v>
      </c>
      <c r="C663" s="1" t="n">
        <v>45212</v>
      </c>
      <c r="D663" t="inlineStr">
        <is>
          <t>VÄSTERNORRLANDS LÄN</t>
        </is>
      </c>
      <c r="E663" t="inlineStr">
        <is>
          <t>KRAMFORS</t>
        </is>
      </c>
      <c r="G663" t="n">
        <v>4.1</v>
      </c>
      <c r="H663" t="n">
        <v>0</v>
      </c>
      <c r="I663" t="n">
        <v>0</v>
      </c>
      <c r="J663" t="n">
        <v>0</v>
      </c>
      <c r="K663" t="n">
        <v>0</v>
      </c>
      <c r="L663" t="n">
        <v>0</v>
      </c>
      <c r="M663" t="n">
        <v>0</v>
      </c>
      <c r="N663" t="n">
        <v>0</v>
      </c>
      <c r="O663" t="n">
        <v>0</v>
      </c>
      <c r="P663" t="n">
        <v>0</v>
      </c>
      <c r="Q663" t="n">
        <v>0</v>
      </c>
      <c r="R663" s="2" t="inlineStr"/>
    </row>
    <row r="664" ht="15" customHeight="1">
      <c r="A664" t="inlineStr">
        <is>
          <t>A 36744-2018</t>
        </is>
      </c>
      <c r="B664" s="1" t="n">
        <v>43329</v>
      </c>
      <c r="C664" s="1" t="n">
        <v>45212</v>
      </c>
      <c r="D664" t="inlineStr">
        <is>
          <t>VÄSTERNORRLANDS LÄN</t>
        </is>
      </c>
      <c r="E664" t="inlineStr">
        <is>
          <t>ÖRNSKÖLDSVIK</t>
        </is>
      </c>
      <c r="G664" t="n">
        <v>5.6</v>
      </c>
      <c r="H664" t="n">
        <v>0</v>
      </c>
      <c r="I664" t="n">
        <v>0</v>
      </c>
      <c r="J664" t="n">
        <v>0</v>
      </c>
      <c r="K664" t="n">
        <v>0</v>
      </c>
      <c r="L664" t="n">
        <v>0</v>
      </c>
      <c r="M664" t="n">
        <v>0</v>
      </c>
      <c r="N664" t="n">
        <v>0</v>
      </c>
      <c r="O664" t="n">
        <v>0</v>
      </c>
      <c r="P664" t="n">
        <v>0</v>
      </c>
      <c r="Q664" t="n">
        <v>0</v>
      </c>
      <c r="R664" s="2" t="inlineStr"/>
    </row>
    <row r="665" ht="15" customHeight="1">
      <c r="A665" t="inlineStr">
        <is>
          <t>A 36973-2018</t>
        </is>
      </c>
      <c r="B665" s="1" t="n">
        <v>43332</v>
      </c>
      <c r="C665" s="1" t="n">
        <v>45212</v>
      </c>
      <c r="D665" t="inlineStr">
        <is>
          <t>VÄSTERNORRLANDS LÄN</t>
        </is>
      </c>
      <c r="E665" t="inlineStr">
        <is>
          <t>SOLLEFTEÅ</t>
        </is>
      </c>
      <c r="F665" t="inlineStr">
        <is>
          <t>SCA</t>
        </is>
      </c>
      <c r="G665" t="n">
        <v>3.3</v>
      </c>
      <c r="H665" t="n">
        <v>0</v>
      </c>
      <c r="I665" t="n">
        <v>0</v>
      </c>
      <c r="J665" t="n">
        <v>0</v>
      </c>
      <c r="K665" t="n">
        <v>0</v>
      </c>
      <c r="L665" t="n">
        <v>0</v>
      </c>
      <c r="M665" t="n">
        <v>0</v>
      </c>
      <c r="N665" t="n">
        <v>0</v>
      </c>
      <c r="O665" t="n">
        <v>0</v>
      </c>
      <c r="P665" t="n">
        <v>0</v>
      </c>
      <c r="Q665" t="n">
        <v>0</v>
      </c>
      <c r="R665" s="2" t="inlineStr"/>
    </row>
    <row r="666" ht="15" customHeight="1">
      <c r="A666" t="inlineStr">
        <is>
          <t>A 37131-2018</t>
        </is>
      </c>
      <c r="B666" s="1" t="n">
        <v>43332</v>
      </c>
      <c r="C666" s="1" t="n">
        <v>45212</v>
      </c>
      <c r="D666" t="inlineStr">
        <is>
          <t>VÄSTERNORRLANDS LÄN</t>
        </is>
      </c>
      <c r="E666" t="inlineStr">
        <is>
          <t>KRAMFORS</t>
        </is>
      </c>
      <c r="G666" t="n">
        <v>2.5</v>
      </c>
      <c r="H666" t="n">
        <v>0</v>
      </c>
      <c r="I666" t="n">
        <v>0</v>
      </c>
      <c r="J666" t="n">
        <v>0</v>
      </c>
      <c r="K666" t="n">
        <v>0</v>
      </c>
      <c r="L666" t="n">
        <v>0</v>
      </c>
      <c r="M666" t="n">
        <v>0</v>
      </c>
      <c r="N666" t="n">
        <v>0</v>
      </c>
      <c r="O666" t="n">
        <v>0</v>
      </c>
      <c r="P666" t="n">
        <v>0</v>
      </c>
      <c r="Q666" t="n">
        <v>0</v>
      </c>
      <c r="R666" s="2" t="inlineStr"/>
    </row>
    <row r="667" ht="15" customHeight="1">
      <c r="A667" t="inlineStr">
        <is>
          <t>A 37052-2018</t>
        </is>
      </c>
      <c r="B667" s="1" t="n">
        <v>43332</v>
      </c>
      <c r="C667" s="1" t="n">
        <v>45212</v>
      </c>
      <c r="D667" t="inlineStr">
        <is>
          <t>VÄSTERNORRLANDS LÄN</t>
        </is>
      </c>
      <c r="E667" t="inlineStr">
        <is>
          <t>SUNDSVALL</t>
        </is>
      </c>
      <c r="G667" t="n">
        <v>1</v>
      </c>
      <c r="H667" t="n">
        <v>0</v>
      </c>
      <c r="I667" t="n">
        <v>0</v>
      </c>
      <c r="J667" t="n">
        <v>0</v>
      </c>
      <c r="K667" t="n">
        <v>0</v>
      </c>
      <c r="L667" t="n">
        <v>0</v>
      </c>
      <c r="M667" t="n">
        <v>0</v>
      </c>
      <c r="N667" t="n">
        <v>0</v>
      </c>
      <c r="O667" t="n">
        <v>0</v>
      </c>
      <c r="P667" t="n">
        <v>0</v>
      </c>
      <c r="Q667" t="n">
        <v>0</v>
      </c>
      <c r="R667" s="2" t="inlineStr"/>
    </row>
    <row r="668" ht="15" customHeight="1">
      <c r="A668" t="inlineStr">
        <is>
          <t>A 37755-2018</t>
        </is>
      </c>
      <c r="B668" s="1" t="n">
        <v>43334</v>
      </c>
      <c r="C668" s="1" t="n">
        <v>45212</v>
      </c>
      <c r="D668" t="inlineStr">
        <is>
          <t>VÄSTERNORRLANDS LÄN</t>
        </is>
      </c>
      <c r="E668" t="inlineStr">
        <is>
          <t>ÅNGE</t>
        </is>
      </c>
      <c r="G668" t="n">
        <v>0.2</v>
      </c>
      <c r="H668" t="n">
        <v>0</v>
      </c>
      <c r="I668" t="n">
        <v>0</v>
      </c>
      <c r="J668" t="n">
        <v>0</v>
      </c>
      <c r="K668" t="n">
        <v>0</v>
      </c>
      <c r="L668" t="n">
        <v>0</v>
      </c>
      <c r="M668" t="n">
        <v>0</v>
      </c>
      <c r="N668" t="n">
        <v>0</v>
      </c>
      <c r="O668" t="n">
        <v>0</v>
      </c>
      <c r="P668" t="n">
        <v>0</v>
      </c>
      <c r="Q668" t="n">
        <v>0</v>
      </c>
      <c r="R668" s="2" t="inlineStr"/>
    </row>
    <row r="669" ht="15" customHeight="1">
      <c r="A669" t="inlineStr">
        <is>
          <t>A 37589-2018</t>
        </is>
      </c>
      <c r="B669" s="1" t="n">
        <v>43334</v>
      </c>
      <c r="C669" s="1" t="n">
        <v>45212</v>
      </c>
      <c r="D669" t="inlineStr">
        <is>
          <t>VÄSTERNORRLANDS LÄN</t>
        </is>
      </c>
      <c r="E669" t="inlineStr">
        <is>
          <t>SOLLEFTEÅ</t>
        </is>
      </c>
      <c r="G669" t="n">
        <v>1.6</v>
      </c>
      <c r="H669" t="n">
        <v>0</v>
      </c>
      <c r="I669" t="n">
        <v>0</v>
      </c>
      <c r="J669" t="n">
        <v>0</v>
      </c>
      <c r="K669" t="n">
        <v>0</v>
      </c>
      <c r="L669" t="n">
        <v>0</v>
      </c>
      <c r="M669" t="n">
        <v>0</v>
      </c>
      <c r="N669" t="n">
        <v>0</v>
      </c>
      <c r="O669" t="n">
        <v>0</v>
      </c>
      <c r="P669" t="n">
        <v>0</v>
      </c>
      <c r="Q669" t="n">
        <v>0</v>
      </c>
      <c r="R669" s="2" t="inlineStr"/>
    </row>
    <row r="670" ht="15" customHeight="1">
      <c r="A670" t="inlineStr">
        <is>
          <t>A 37715-2018</t>
        </is>
      </c>
      <c r="B670" s="1" t="n">
        <v>43334</v>
      </c>
      <c r="C670" s="1" t="n">
        <v>45212</v>
      </c>
      <c r="D670" t="inlineStr">
        <is>
          <t>VÄSTERNORRLANDS LÄN</t>
        </is>
      </c>
      <c r="E670" t="inlineStr">
        <is>
          <t>ÖRNSKÖLDSVIK</t>
        </is>
      </c>
      <c r="G670" t="n">
        <v>0.3</v>
      </c>
      <c r="H670" t="n">
        <v>0</v>
      </c>
      <c r="I670" t="n">
        <v>0</v>
      </c>
      <c r="J670" t="n">
        <v>0</v>
      </c>
      <c r="K670" t="n">
        <v>0</v>
      </c>
      <c r="L670" t="n">
        <v>0</v>
      </c>
      <c r="M670" t="n">
        <v>0</v>
      </c>
      <c r="N670" t="n">
        <v>0</v>
      </c>
      <c r="O670" t="n">
        <v>0</v>
      </c>
      <c r="P670" t="n">
        <v>0</v>
      </c>
      <c r="Q670" t="n">
        <v>0</v>
      </c>
      <c r="R670" s="2" t="inlineStr"/>
    </row>
    <row r="671" ht="15" customHeight="1">
      <c r="A671" t="inlineStr">
        <is>
          <t>A 37747-2018</t>
        </is>
      </c>
      <c r="B671" s="1" t="n">
        <v>43334</v>
      </c>
      <c r="C671" s="1" t="n">
        <v>45212</v>
      </c>
      <c r="D671" t="inlineStr">
        <is>
          <t>VÄSTERNORRLANDS LÄN</t>
        </is>
      </c>
      <c r="E671" t="inlineStr">
        <is>
          <t>ÅNGE</t>
        </is>
      </c>
      <c r="G671" t="n">
        <v>0.1</v>
      </c>
      <c r="H671" t="n">
        <v>0</v>
      </c>
      <c r="I671" t="n">
        <v>0</v>
      </c>
      <c r="J671" t="n">
        <v>0</v>
      </c>
      <c r="K671" t="n">
        <v>0</v>
      </c>
      <c r="L671" t="n">
        <v>0</v>
      </c>
      <c r="M671" t="n">
        <v>0</v>
      </c>
      <c r="N671" t="n">
        <v>0</v>
      </c>
      <c r="O671" t="n">
        <v>0</v>
      </c>
      <c r="P671" t="n">
        <v>0</v>
      </c>
      <c r="Q671" t="n">
        <v>0</v>
      </c>
      <c r="R671" s="2" t="inlineStr"/>
    </row>
    <row r="672" ht="15" customHeight="1">
      <c r="A672" t="inlineStr">
        <is>
          <t>A 37875-2018</t>
        </is>
      </c>
      <c r="B672" s="1" t="n">
        <v>43335</v>
      </c>
      <c r="C672" s="1" t="n">
        <v>45212</v>
      </c>
      <c r="D672" t="inlineStr">
        <is>
          <t>VÄSTERNORRLANDS LÄN</t>
        </is>
      </c>
      <c r="E672" t="inlineStr">
        <is>
          <t>SOLLEFTEÅ</t>
        </is>
      </c>
      <c r="G672" t="n">
        <v>4.9</v>
      </c>
      <c r="H672" t="n">
        <v>0</v>
      </c>
      <c r="I672" t="n">
        <v>0</v>
      </c>
      <c r="J672" t="n">
        <v>0</v>
      </c>
      <c r="K672" t="n">
        <v>0</v>
      </c>
      <c r="L672" t="n">
        <v>0</v>
      </c>
      <c r="M672" t="n">
        <v>0</v>
      </c>
      <c r="N672" t="n">
        <v>0</v>
      </c>
      <c r="O672" t="n">
        <v>0</v>
      </c>
      <c r="P672" t="n">
        <v>0</v>
      </c>
      <c r="Q672" t="n">
        <v>0</v>
      </c>
      <c r="R672" s="2" t="inlineStr"/>
    </row>
    <row r="673" ht="15" customHeight="1">
      <c r="A673" t="inlineStr">
        <is>
          <t>A 38943-2018</t>
        </is>
      </c>
      <c r="B673" s="1" t="n">
        <v>43336</v>
      </c>
      <c r="C673" s="1" t="n">
        <v>45212</v>
      </c>
      <c r="D673" t="inlineStr">
        <is>
          <t>VÄSTERNORRLANDS LÄN</t>
        </is>
      </c>
      <c r="E673" t="inlineStr">
        <is>
          <t>ÅNGE</t>
        </is>
      </c>
      <c r="G673" t="n">
        <v>2.7</v>
      </c>
      <c r="H673" t="n">
        <v>0</v>
      </c>
      <c r="I673" t="n">
        <v>0</v>
      </c>
      <c r="J673" t="n">
        <v>0</v>
      </c>
      <c r="K673" t="n">
        <v>0</v>
      </c>
      <c r="L673" t="n">
        <v>0</v>
      </c>
      <c r="M673" t="n">
        <v>0</v>
      </c>
      <c r="N673" t="n">
        <v>0</v>
      </c>
      <c r="O673" t="n">
        <v>0</v>
      </c>
      <c r="P673" t="n">
        <v>0</v>
      </c>
      <c r="Q673" t="n">
        <v>0</v>
      </c>
      <c r="R673" s="2" t="inlineStr"/>
    </row>
    <row r="674" ht="15" customHeight="1">
      <c r="A674" t="inlineStr">
        <is>
          <t>A 39315-2018</t>
        </is>
      </c>
      <c r="B674" s="1" t="n">
        <v>43339</v>
      </c>
      <c r="C674" s="1" t="n">
        <v>45212</v>
      </c>
      <c r="D674" t="inlineStr">
        <is>
          <t>VÄSTERNORRLANDS LÄN</t>
        </is>
      </c>
      <c r="E674" t="inlineStr">
        <is>
          <t>SUNDSVALL</t>
        </is>
      </c>
      <c r="G674" t="n">
        <v>3.3</v>
      </c>
      <c r="H674" t="n">
        <v>0</v>
      </c>
      <c r="I674" t="n">
        <v>0</v>
      </c>
      <c r="J674" t="n">
        <v>0</v>
      </c>
      <c r="K674" t="n">
        <v>0</v>
      </c>
      <c r="L674" t="n">
        <v>0</v>
      </c>
      <c r="M674" t="n">
        <v>0</v>
      </c>
      <c r="N674" t="n">
        <v>0</v>
      </c>
      <c r="O674" t="n">
        <v>0</v>
      </c>
      <c r="P674" t="n">
        <v>0</v>
      </c>
      <c r="Q674" t="n">
        <v>0</v>
      </c>
      <c r="R674" s="2" t="inlineStr"/>
    </row>
    <row r="675" ht="15" customHeight="1">
      <c r="A675" t="inlineStr">
        <is>
          <t>A 39508-2018</t>
        </is>
      </c>
      <c r="B675" s="1" t="n">
        <v>43340</v>
      </c>
      <c r="C675" s="1" t="n">
        <v>45212</v>
      </c>
      <c r="D675" t="inlineStr">
        <is>
          <t>VÄSTERNORRLANDS LÄN</t>
        </is>
      </c>
      <c r="E675" t="inlineStr">
        <is>
          <t>ÅNGE</t>
        </is>
      </c>
      <c r="G675" t="n">
        <v>0.6</v>
      </c>
      <c r="H675" t="n">
        <v>0</v>
      </c>
      <c r="I675" t="n">
        <v>0</v>
      </c>
      <c r="J675" t="n">
        <v>0</v>
      </c>
      <c r="K675" t="n">
        <v>0</v>
      </c>
      <c r="L675" t="n">
        <v>0</v>
      </c>
      <c r="M675" t="n">
        <v>0</v>
      </c>
      <c r="N675" t="n">
        <v>0</v>
      </c>
      <c r="O675" t="n">
        <v>0</v>
      </c>
      <c r="P675" t="n">
        <v>0</v>
      </c>
      <c r="Q675" t="n">
        <v>0</v>
      </c>
      <c r="R675" s="2" t="inlineStr"/>
    </row>
    <row r="676" ht="15" customHeight="1">
      <c r="A676" t="inlineStr">
        <is>
          <t>A 39511-2018</t>
        </is>
      </c>
      <c r="B676" s="1" t="n">
        <v>43340</v>
      </c>
      <c r="C676" s="1" t="n">
        <v>45212</v>
      </c>
      <c r="D676" t="inlineStr">
        <is>
          <t>VÄSTERNORRLANDS LÄN</t>
        </is>
      </c>
      <c r="E676" t="inlineStr">
        <is>
          <t>KRAMFORS</t>
        </is>
      </c>
      <c r="G676" t="n">
        <v>1.1</v>
      </c>
      <c r="H676" t="n">
        <v>0</v>
      </c>
      <c r="I676" t="n">
        <v>0</v>
      </c>
      <c r="J676" t="n">
        <v>0</v>
      </c>
      <c r="K676" t="n">
        <v>0</v>
      </c>
      <c r="L676" t="n">
        <v>0</v>
      </c>
      <c r="M676" t="n">
        <v>0</v>
      </c>
      <c r="N676" t="n">
        <v>0</v>
      </c>
      <c r="O676" t="n">
        <v>0</v>
      </c>
      <c r="P676" t="n">
        <v>0</v>
      </c>
      <c r="Q676" t="n">
        <v>0</v>
      </c>
      <c r="R676" s="2" t="inlineStr"/>
    </row>
    <row r="677" ht="15" customHeight="1">
      <c r="A677" t="inlineStr">
        <is>
          <t>A 39738-2018</t>
        </is>
      </c>
      <c r="B677" s="1" t="n">
        <v>43341</v>
      </c>
      <c r="C677" s="1" t="n">
        <v>45212</v>
      </c>
      <c r="D677" t="inlineStr">
        <is>
          <t>VÄSTERNORRLANDS LÄN</t>
        </is>
      </c>
      <c r="E677" t="inlineStr">
        <is>
          <t>SUNDSVALL</t>
        </is>
      </c>
      <c r="G677" t="n">
        <v>7.9</v>
      </c>
      <c r="H677" t="n">
        <v>0</v>
      </c>
      <c r="I677" t="n">
        <v>0</v>
      </c>
      <c r="J677" t="n">
        <v>0</v>
      </c>
      <c r="K677" t="n">
        <v>0</v>
      </c>
      <c r="L677" t="n">
        <v>0</v>
      </c>
      <c r="M677" t="n">
        <v>0</v>
      </c>
      <c r="N677" t="n">
        <v>0</v>
      </c>
      <c r="O677" t="n">
        <v>0</v>
      </c>
      <c r="P677" t="n">
        <v>0</v>
      </c>
      <c r="Q677" t="n">
        <v>0</v>
      </c>
      <c r="R677" s="2" t="inlineStr"/>
    </row>
    <row r="678" ht="15" customHeight="1">
      <c r="A678" t="inlineStr">
        <is>
          <t>A 39698-2018</t>
        </is>
      </c>
      <c r="B678" s="1" t="n">
        <v>43341</v>
      </c>
      <c r="C678" s="1" t="n">
        <v>45212</v>
      </c>
      <c r="D678" t="inlineStr">
        <is>
          <t>VÄSTERNORRLANDS LÄN</t>
        </is>
      </c>
      <c r="E678" t="inlineStr">
        <is>
          <t>SUNDSVALL</t>
        </is>
      </c>
      <c r="G678" t="n">
        <v>9</v>
      </c>
      <c r="H678" t="n">
        <v>0</v>
      </c>
      <c r="I678" t="n">
        <v>0</v>
      </c>
      <c r="J678" t="n">
        <v>0</v>
      </c>
      <c r="K678" t="n">
        <v>0</v>
      </c>
      <c r="L678" t="n">
        <v>0</v>
      </c>
      <c r="M678" t="n">
        <v>0</v>
      </c>
      <c r="N678" t="n">
        <v>0</v>
      </c>
      <c r="O678" t="n">
        <v>0</v>
      </c>
      <c r="P678" t="n">
        <v>0</v>
      </c>
      <c r="Q678" t="n">
        <v>0</v>
      </c>
      <c r="R678" s="2" t="inlineStr"/>
    </row>
    <row r="679" ht="15" customHeight="1">
      <c r="A679" t="inlineStr">
        <is>
          <t>A 40146-2018</t>
        </is>
      </c>
      <c r="B679" s="1" t="n">
        <v>43342</v>
      </c>
      <c r="C679" s="1" t="n">
        <v>45212</v>
      </c>
      <c r="D679" t="inlineStr">
        <is>
          <t>VÄSTERNORRLANDS LÄN</t>
        </is>
      </c>
      <c r="E679" t="inlineStr">
        <is>
          <t>ÖRNSKÖLDSVIK</t>
        </is>
      </c>
      <c r="G679" t="n">
        <v>3</v>
      </c>
      <c r="H679" t="n">
        <v>0</v>
      </c>
      <c r="I679" t="n">
        <v>0</v>
      </c>
      <c r="J679" t="n">
        <v>0</v>
      </c>
      <c r="K679" t="n">
        <v>0</v>
      </c>
      <c r="L679" t="n">
        <v>0</v>
      </c>
      <c r="M679" t="n">
        <v>0</v>
      </c>
      <c r="N679" t="n">
        <v>0</v>
      </c>
      <c r="O679" t="n">
        <v>0</v>
      </c>
      <c r="P679" t="n">
        <v>0</v>
      </c>
      <c r="Q679" t="n">
        <v>0</v>
      </c>
      <c r="R679" s="2" t="inlineStr"/>
    </row>
    <row r="680" ht="15" customHeight="1">
      <c r="A680" t="inlineStr">
        <is>
          <t>A 40500-2018</t>
        </is>
      </c>
      <c r="B680" s="1" t="n">
        <v>43342</v>
      </c>
      <c r="C680" s="1" t="n">
        <v>45212</v>
      </c>
      <c r="D680" t="inlineStr">
        <is>
          <t>VÄSTERNORRLANDS LÄN</t>
        </is>
      </c>
      <c r="E680" t="inlineStr">
        <is>
          <t>ÖRNSKÖLDSVIK</t>
        </is>
      </c>
      <c r="G680" t="n">
        <v>3.6</v>
      </c>
      <c r="H680" t="n">
        <v>0</v>
      </c>
      <c r="I680" t="n">
        <v>0</v>
      </c>
      <c r="J680" t="n">
        <v>0</v>
      </c>
      <c r="K680" t="n">
        <v>0</v>
      </c>
      <c r="L680" t="n">
        <v>0</v>
      </c>
      <c r="M680" t="n">
        <v>0</v>
      </c>
      <c r="N680" t="n">
        <v>0</v>
      </c>
      <c r="O680" t="n">
        <v>0</v>
      </c>
      <c r="P680" t="n">
        <v>0</v>
      </c>
      <c r="Q680" t="n">
        <v>0</v>
      </c>
      <c r="R680" s="2" t="inlineStr"/>
    </row>
    <row r="681" ht="15" customHeight="1">
      <c r="A681" t="inlineStr">
        <is>
          <t>A 40486-2018</t>
        </is>
      </c>
      <c r="B681" s="1" t="n">
        <v>43342</v>
      </c>
      <c r="C681" s="1" t="n">
        <v>45212</v>
      </c>
      <c r="D681" t="inlineStr">
        <is>
          <t>VÄSTERNORRLANDS LÄN</t>
        </is>
      </c>
      <c r="E681" t="inlineStr">
        <is>
          <t>ÖRNSKÖLDSVIK</t>
        </is>
      </c>
      <c r="G681" t="n">
        <v>1.3</v>
      </c>
      <c r="H681" t="n">
        <v>0</v>
      </c>
      <c r="I681" t="n">
        <v>0</v>
      </c>
      <c r="J681" t="n">
        <v>0</v>
      </c>
      <c r="K681" t="n">
        <v>0</v>
      </c>
      <c r="L681" t="n">
        <v>0</v>
      </c>
      <c r="M681" t="n">
        <v>0</v>
      </c>
      <c r="N681" t="n">
        <v>0</v>
      </c>
      <c r="O681" t="n">
        <v>0</v>
      </c>
      <c r="P681" t="n">
        <v>0</v>
      </c>
      <c r="Q681" t="n">
        <v>0</v>
      </c>
      <c r="R681" s="2" t="inlineStr"/>
    </row>
    <row r="682" ht="15" customHeight="1">
      <c r="A682" t="inlineStr">
        <is>
          <t>A 40310-2018</t>
        </is>
      </c>
      <c r="B682" s="1" t="n">
        <v>43343</v>
      </c>
      <c r="C682" s="1" t="n">
        <v>45212</v>
      </c>
      <c r="D682" t="inlineStr">
        <is>
          <t>VÄSTERNORRLANDS LÄN</t>
        </is>
      </c>
      <c r="E682" t="inlineStr">
        <is>
          <t>SOLLEFTEÅ</t>
        </is>
      </c>
      <c r="F682" t="inlineStr">
        <is>
          <t>SCA</t>
        </is>
      </c>
      <c r="G682" t="n">
        <v>2.7</v>
      </c>
      <c r="H682" t="n">
        <v>0</v>
      </c>
      <c r="I682" t="n">
        <v>0</v>
      </c>
      <c r="J682" t="n">
        <v>0</v>
      </c>
      <c r="K682" t="n">
        <v>0</v>
      </c>
      <c r="L682" t="n">
        <v>0</v>
      </c>
      <c r="M682" t="n">
        <v>0</v>
      </c>
      <c r="N682" t="n">
        <v>0</v>
      </c>
      <c r="O682" t="n">
        <v>0</v>
      </c>
      <c r="P682" t="n">
        <v>0</v>
      </c>
      <c r="Q682" t="n">
        <v>0</v>
      </c>
      <c r="R682" s="2" t="inlineStr"/>
    </row>
    <row r="683" ht="15" customHeight="1">
      <c r="A683" t="inlineStr">
        <is>
          <t>A 40433-2018</t>
        </is>
      </c>
      <c r="B683" s="1" t="n">
        <v>43346</v>
      </c>
      <c r="C683" s="1" t="n">
        <v>45212</v>
      </c>
      <c r="D683" t="inlineStr">
        <is>
          <t>VÄSTERNORRLANDS LÄN</t>
        </is>
      </c>
      <c r="E683" t="inlineStr">
        <is>
          <t>SOLLEFTEÅ</t>
        </is>
      </c>
      <c r="G683" t="n">
        <v>4.1</v>
      </c>
      <c r="H683" t="n">
        <v>0</v>
      </c>
      <c r="I683" t="n">
        <v>0</v>
      </c>
      <c r="J683" t="n">
        <v>0</v>
      </c>
      <c r="K683" t="n">
        <v>0</v>
      </c>
      <c r="L683" t="n">
        <v>0</v>
      </c>
      <c r="M683" t="n">
        <v>0</v>
      </c>
      <c r="N683" t="n">
        <v>0</v>
      </c>
      <c r="O683" t="n">
        <v>0</v>
      </c>
      <c r="P683" t="n">
        <v>0</v>
      </c>
      <c r="Q683" t="n">
        <v>0</v>
      </c>
      <c r="R683" s="2" t="inlineStr"/>
    </row>
    <row r="684" ht="15" customHeight="1">
      <c r="A684" t="inlineStr">
        <is>
          <t>A 40683-2018</t>
        </is>
      </c>
      <c r="B684" s="1" t="n">
        <v>43346</v>
      </c>
      <c r="C684" s="1" t="n">
        <v>45212</v>
      </c>
      <c r="D684" t="inlineStr">
        <is>
          <t>VÄSTERNORRLANDS LÄN</t>
        </is>
      </c>
      <c r="E684" t="inlineStr">
        <is>
          <t>SOLLEFTEÅ</t>
        </is>
      </c>
      <c r="F684" t="inlineStr">
        <is>
          <t>SCA</t>
        </is>
      </c>
      <c r="G684" t="n">
        <v>1.4</v>
      </c>
      <c r="H684" t="n">
        <v>0</v>
      </c>
      <c r="I684" t="n">
        <v>0</v>
      </c>
      <c r="J684" t="n">
        <v>0</v>
      </c>
      <c r="K684" t="n">
        <v>0</v>
      </c>
      <c r="L684" t="n">
        <v>0</v>
      </c>
      <c r="M684" t="n">
        <v>0</v>
      </c>
      <c r="N684" t="n">
        <v>0</v>
      </c>
      <c r="O684" t="n">
        <v>0</v>
      </c>
      <c r="P684" t="n">
        <v>0</v>
      </c>
      <c r="Q684" t="n">
        <v>0</v>
      </c>
      <c r="R684" s="2" t="inlineStr"/>
    </row>
    <row r="685" ht="15" customHeight="1">
      <c r="A685" t="inlineStr">
        <is>
          <t>A 41185-2018</t>
        </is>
      </c>
      <c r="B685" s="1" t="n">
        <v>43346</v>
      </c>
      <c r="C685" s="1" t="n">
        <v>45212</v>
      </c>
      <c r="D685" t="inlineStr">
        <is>
          <t>VÄSTERNORRLANDS LÄN</t>
        </is>
      </c>
      <c r="E685" t="inlineStr">
        <is>
          <t>SOLLEFTEÅ</t>
        </is>
      </c>
      <c r="G685" t="n">
        <v>3.1</v>
      </c>
      <c r="H685" t="n">
        <v>0</v>
      </c>
      <c r="I685" t="n">
        <v>0</v>
      </c>
      <c r="J685" t="n">
        <v>0</v>
      </c>
      <c r="K685" t="n">
        <v>0</v>
      </c>
      <c r="L685" t="n">
        <v>0</v>
      </c>
      <c r="M685" t="n">
        <v>0</v>
      </c>
      <c r="N685" t="n">
        <v>0</v>
      </c>
      <c r="O685" t="n">
        <v>0</v>
      </c>
      <c r="P685" t="n">
        <v>0</v>
      </c>
      <c r="Q685" t="n">
        <v>0</v>
      </c>
      <c r="R685" s="2" t="inlineStr"/>
    </row>
    <row r="686" ht="15" customHeight="1">
      <c r="A686" t="inlineStr">
        <is>
          <t>A 41521-2018</t>
        </is>
      </c>
      <c r="B686" s="1" t="n">
        <v>43347</v>
      </c>
      <c r="C686" s="1" t="n">
        <v>45212</v>
      </c>
      <c r="D686" t="inlineStr">
        <is>
          <t>VÄSTERNORRLANDS LÄN</t>
        </is>
      </c>
      <c r="E686" t="inlineStr">
        <is>
          <t>ÖRNSKÖLDSVIK</t>
        </is>
      </c>
      <c r="G686" t="n">
        <v>7.6</v>
      </c>
      <c r="H686" t="n">
        <v>0</v>
      </c>
      <c r="I686" t="n">
        <v>0</v>
      </c>
      <c r="J686" t="n">
        <v>0</v>
      </c>
      <c r="K686" t="n">
        <v>0</v>
      </c>
      <c r="L686" t="n">
        <v>0</v>
      </c>
      <c r="M686" t="n">
        <v>0</v>
      </c>
      <c r="N686" t="n">
        <v>0</v>
      </c>
      <c r="O686" t="n">
        <v>0</v>
      </c>
      <c r="P686" t="n">
        <v>0</v>
      </c>
      <c r="Q686" t="n">
        <v>0</v>
      </c>
      <c r="R686" s="2" t="inlineStr"/>
    </row>
    <row r="687" ht="15" customHeight="1">
      <c r="A687" t="inlineStr">
        <is>
          <t>A 41661-2018</t>
        </is>
      </c>
      <c r="B687" s="1" t="n">
        <v>43349</v>
      </c>
      <c r="C687" s="1" t="n">
        <v>45212</v>
      </c>
      <c r="D687" t="inlineStr">
        <is>
          <t>VÄSTERNORRLANDS LÄN</t>
        </is>
      </c>
      <c r="E687" t="inlineStr">
        <is>
          <t>SOLLEFTEÅ</t>
        </is>
      </c>
      <c r="G687" t="n">
        <v>0.7</v>
      </c>
      <c r="H687" t="n">
        <v>0</v>
      </c>
      <c r="I687" t="n">
        <v>0</v>
      </c>
      <c r="J687" t="n">
        <v>0</v>
      </c>
      <c r="K687" t="n">
        <v>0</v>
      </c>
      <c r="L687" t="n">
        <v>0</v>
      </c>
      <c r="M687" t="n">
        <v>0</v>
      </c>
      <c r="N687" t="n">
        <v>0</v>
      </c>
      <c r="O687" t="n">
        <v>0</v>
      </c>
      <c r="P687" t="n">
        <v>0</v>
      </c>
      <c r="Q687" t="n">
        <v>0</v>
      </c>
      <c r="R687" s="2" t="inlineStr"/>
    </row>
    <row r="688" ht="15" customHeight="1">
      <c r="A688" t="inlineStr">
        <is>
          <t>A 42695-2018</t>
        </is>
      </c>
      <c r="B688" s="1" t="n">
        <v>43350</v>
      </c>
      <c r="C688" s="1" t="n">
        <v>45212</v>
      </c>
      <c r="D688" t="inlineStr">
        <is>
          <t>VÄSTERNORRLANDS LÄN</t>
        </is>
      </c>
      <c r="E688" t="inlineStr">
        <is>
          <t>ÖRNSKÖLDSVIK</t>
        </is>
      </c>
      <c r="G688" t="n">
        <v>1</v>
      </c>
      <c r="H688" t="n">
        <v>0</v>
      </c>
      <c r="I688" t="n">
        <v>0</v>
      </c>
      <c r="J688" t="n">
        <v>0</v>
      </c>
      <c r="K688" t="n">
        <v>0</v>
      </c>
      <c r="L688" t="n">
        <v>0</v>
      </c>
      <c r="M688" t="n">
        <v>0</v>
      </c>
      <c r="N688" t="n">
        <v>0</v>
      </c>
      <c r="O688" t="n">
        <v>0</v>
      </c>
      <c r="P688" t="n">
        <v>0</v>
      </c>
      <c r="Q688" t="n">
        <v>0</v>
      </c>
      <c r="R688" s="2" t="inlineStr"/>
    </row>
    <row r="689" ht="15" customHeight="1">
      <c r="A689" t="inlineStr">
        <is>
          <t>A 43215-2018</t>
        </is>
      </c>
      <c r="B689" s="1" t="n">
        <v>43353</v>
      </c>
      <c r="C689" s="1" t="n">
        <v>45212</v>
      </c>
      <c r="D689" t="inlineStr">
        <is>
          <t>VÄSTERNORRLANDS LÄN</t>
        </is>
      </c>
      <c r="E689" t="inlineStr">
        <is>
          <t>SOLLEFTEÅ</t>
        </is>
      </c>
      <c r="G689" t="n">
        <v>16</v>
      </c>
      <c r="H689" t="n">
        <v>0</v>
      </c>
      <c r="I689" t="n">
        <v>0</v>
      </c>
      <c r="J689" t="n">
        <v>0</v>
      </c>
      <c r="K689" t="n">
        <v>0</v>
      </c>
      <c r="L689" t="n">
        <v>0</v>
      </c>
      <c r="M689" t="n">
        <v>0</v>
      </c>
      <c r="N689" t="n">
        <v>0</v>
      </c>
      <c r="O689" t="n">
        <v>0</v>
      </c>
      <c r="P689" t="n">
        <v>0</v>
      </c>
      <c r="Q689" t="n">
        <v>0</v>
      </c>
      <c r="R689" s="2" t="inlineStr"/>
    </row>
    <row r="690" ht="15" customHeight="1">
      <c r="A690" t="inlineStr">
        <is>
          <t>A 42076-2018</t>
        </is>
      </c>
      <c r="B690" s="1" t="n">
        <v>43353</v>
      </c>
      <c r="C690" s="1" t="n">
        <v>45212</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43410-2018</t>
        </is>
      </c>
      <c r="B691" s="1" t="n">
        <v>43354</v>
      </c>
      <c r="C691" s="1" t="n">
        <v>45212</v>
      </c>
      <c r="D691" t="inlineStr">
        <is>
          <t>VÄSTERNORRLANDS LÄN</t>
        </is>
      </c>
      <c r="E691" t="inlineStr">
        <is>
          <t>ÖRNSKÖLDSVIK</t>
        </is>
      </c>
      <c r="G691" t="n">
        <v>10.4</v>
      </c>
      <c r="H691" t="n">
        <v>0</v>
      </c>
      <c r="I691" t="n">
        <v>0</v>
      </c>
      <c r="J691" t="n">
        <v>0</v>
      </c>
      <c r="K691" t="n">
        <v>0</v>
      </c>
      <c r="L691" t="n">
        <v>0</v>
      </c>
      <c r="M691" t="n">
        <v>0</v>
      </c>
      <c r="N691" t="n">
        <v>0</v>
      </c>
      <c r="O691" t="n">
        <v>0</v>
      </c>
      <c r="P691" t="n">
        <v>0</v>
      </c>
      <c r="Q691" t="n">
        <v>0</v>
      </c>
      <c r="R691" s="2" t="inlineStr"/>
    </row>
    <row r="692" ht="15" customHeight="1">
      <c r="A692" t="inlineStr">
        <is>
          <t>A 44154-2018</t>
        </is>
      </c>
      <c r="B692" s="1" t="n">
        <v>43355</v>
      </c>
      <c r="C692" s="1" t="n">
        <v>45212</v>
      </c>
      <c r="D692" t="inlineStr">
        <is>
          <t>VÄSTERNORRLANDS LÄN</t>
        </is>
      </c>
      <c r="E692" t="inlineStr">
        <is>
          <t>ÖRNSKÖLDSVIK</t>
        </is>
      </c>
      <c r="G692" t="n">
        <v>1.7</v>
      </c>
      <c r="H692" t="n">
        <v>0</v>
      </c>
      <c r="I692" t="n">
        <v>0</v>
      </c>
      <c r="J692" t="n">
        <v>0</v>
      </c>
      <c r="K692" t="n">
        <v>0</v>
      </c>
      <c r="L692" t="n">
        <v>0</v>
      </c>
      <c r="M692" t="n">
        <v>0</v>
      </c>
      <c r="N692" t="n">
        <v>0</v>
      </c>
      <c r="O692" t="n">
        <v>0</v>
      </c>
      <c r="P692" t="n">
        <v>0</v>
      </c>
      <c r="Q692" t="n">
        <v>0</v>
      </c>
      <c r="R692" s="2" t="inlineStr"/>
    </row>
    <row r="693" ht="15" customHeight="1">
      <c r="A693" t="inlineStr">
        <is>
          <t>A 44209-2018</t>
        </is>
      </c>
      <c r="B693" s="1" t="n">
        <v>43355</v>
      </c>
      <c r="C693" s="1" t="n">
        <v>45212</v>
      </c>
      <c r="D693" t="inlineStr">
        <is>
          <t>VÄSTERNORRLANDS LÄN</t>
        </is>
      </c>
      <c r="E693" t="inlineStr">
        <is>
          <t>KRAMFORS</t>
        </is>
      </c>
      <c r="G693" t="n">
        <v>1.5</v>
      </c>
      <c r="H693" t="n">
        <v>0</v>
      </c>
      <c r="I693" t="n">
        <v>0</v>
      </c>
      <c r="J693" t="n">
        <v>0</v>
      </c>
      <c r="K693" t="n">
        <v>0</v>
      </c>
      <c r="L693" t="n">
        <v>0</v>
      </c>
      <c r="M693" t="n">
        <v>0</v>
      </c>
      <c r="N693" t="n">
        <v>0</v>
      </c>
      <c r="O693" t="n">
        <v>0</v>
      </c>
      <c r="P693" t="n">
        <v>0</v>
      </c>
      <c r="Q693" t="n">
        <v>0</v>
      </c>
      <c r="R693" s="2" t="inlineStr"/>
    </row>
    <row r="694" ht="15" customHeight="1">
      <c r="A694" t="inlineStr">
        <is>
          <t>A 44185-2018</t>
        </is>
      </c>
      <c r="B694" s="1" t="n">
        <v>43355</v>
      </c>
      <c r="C694" s="1" t="n">
        <v>45212</v>
      </c>
      <c r="D694" t="inlineStr">
        <is>
          <t>VÄSTERNORRLANDS LÄN</t>
        </is>
      </c>
      <c r="E694" t="inlineStr">
        <is>
          <t>KRAMFORS</t>
        </is>
      </c>
      <c r="G694" t="n">
        <v>2.1</v>
      </c>
      <c r="H694" t="n">
        <v>0</v>
      </c>
      <c r="I694" t="n">
        <v>0</v>
      </c>
      <c r="J694" t="n">
        <v>0</v>
      </c>
      <c r="K694" t="n">
        <v>0</v>
      </c>
      <c r="L694" t="n">
        <v>0</v>
      </c>
      <c r="M694" t="n">
        <v>0</v>
      </c>
      <c r="N694" t="n">
        <v>0</v>
      </c>
      <c r="O694" t="n">
        <v>0</v>
      </c>
      <c r="P694" t="n">
        <v>0</v>
      </c>
      <c r="Q694" t="n">
        <v>0</v>
      </c>
      <c r="R694" s="2" t="inlineStr"/>
    </row>
    <row r="695" ht="15" customHeight="1">
      <c r="A695" t="inlineStr">
        <is>
          <t>A 44148-2018</t>
        </is>
      </c>
      <c r="B695" s="1" t="n">
        <v>43355</v>
      </c>
      <c r="C695" s="1" t="n">
        <v>45212</v>
      </c>
      <c r="D695" t="inlineStr">
        <is>
          <t>VÄSTERNORRLANDS LÄN</t>
        </is>
      </c>
      <c r="E695" t="inlineStr">
        <is>
          <t>ÖRNSKÖLDSVIK</t>
        </is>
      </c>
      <c r="G695" t="n">
        <v>1.1</v>
      </c>
      <c r="H695" t="n">
        <v>0</v>
      </c>
      <c r="I695" t="n">
        <v>0</v>
      </c>
      <c r="J695" t="n">
        <v>0</v>
      </c>
      <c r="K695" t="n">
        <v>0</v>
      </c>
      <c r="L695" t="n">
        <v>0</v>
      </c>
      <c r="M695" t="n">
        <v>0</v>
      </c>
      <c r="N695" t="n">
        <v>0</v>
      </c>
      <c r="O695" t="n">
        <v>0</v>
      </c>
      <c r="P695" t="n">
        <v>0</v>
      </c>
      <c r="Q695" t="n">
        <v>0</v>
      </c>
      <c r="R695" s="2" t="inlineStr"/>
    </row>
    <row r="696" ht="15" customHeight="1">
      <c r="A696" t="inlineStr">
        <is>
          <t>A 43723-2018</t>
        </is>
      </c>
      <c r="B696" s="1" t="n">
        <v>43355</v>
      </c>
      <c r="C696" s="1" t="n">
        <v>45212</v>
      </c>
      <c r="D696" t="inlineStr">
        <is>
          <t>VÄSTERNORRLANDS LÄN</t>
        </is>
      </c>
      <c r="E696" t="inlineStr">
        <is>
          <t>KRAMFORS</t>
        </is>
      </c>
      <c r="G696" t="n">
        <v>7.7</v>
      </c>
      <c r="H696" t="n">
        <v>0</v>
      </c>
      <c r="I696" t="n">
        <v>0</v>
      </c>
      <c r="J696" t="n">
        <v>0</v>
      </c>
      <c r="K696" t="n">
        <v>0</v>
      </c>
      <c r="L696" t="n">
        <v>0</v>
      </c>
      <c r="M696" t="n">
        <v>0</v>
      </c>
      <c r="N696" t="n">
        <v>0</v>
      </c>
      <c r="O696" t="n">
        <v>0</v>
      </c>
      <c r="P696" t="n">
        <v>0</v>
      </c>
      <c r="Q696" t="n">
        <v>0</v>
      </c>
      <c r="R696" s="2" t="inlineStr"/>
    </row>
    <row r="697" ht="15" customHeight="1">
      <c r="A697" t="inlineStr">
        <is>
          <t>A 43961-2018</t>
        </is>
      </c>
      <c r="B697" s="1" t="n">
        <v>43355</v>
      </c>
      <c r="C697" s="1" t="n">
        <v>45212</v>
      </c>
      <c r="D697" t="inlineStr">
        <is>
          <t>VÄSTERNORRLANDS LÄN</t>
        </is>
      </c>
      <c r="E697" t="inlineStr">
        <is>
          <t>SUNDSVALL</t>
        </is>
      </c>
      <c r="G697" t="n">
        <v>3.1</v>
      </c>
      <c r="H697" t="n">
        <v>0</v>
      </c>
      <c r="I697" t="n">
        <v>0</v>
      </c>
      <c r="J697" t="n">
        <v>0</v>
      </c>
      <c r="K697" t="n">
        <v>0</v>
      </c>
      <c r="L697" t="n">
        <v>0</v>
      </c>
      <c r="M697" t="n">
        <v>0</v>
      </c>
      <c r="N697" t="n">
        <v>0</v>
      </c>
      <c r="O697" t="n">
        <v>0</v>
      </c>
      <c r="P697" t="n">
        <v>0</v>
      </c>
      <c r="Q697" t="n">
        <v>0</v>
      </c>
      <c r="R697" s="2" t="inlineStr"/>
    </row>
    <row r="698" ht="15" customHeight="1">
      <c r="A698" t="inlineStr">
        <is>
          <t>A 44167-2018</t>
        </is>
      </c>
      <c r="B698" s="1" t="n">
        <v>43355</v>
      </c>
      <c r="C698" s="1" t="n">
        <v>45212</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43417-2018</t>
        </is>
      </c>
      <c r="B699" s="1" t="n">
        <v>43356</v>
      </c>
      <c r="C699" s="1" t="n">
        <v>45212</v>
      </c>
      <c r="D699" t="inlineStr">
        <is>
          <t>VÄSTERNORRLANDS LÄN</t>
        </is>
      </c>
      <c r="E699" t="inlineStr">
        <is>
          <t>ÖRNSKÖLDSVIK</t>
        </is>
      </c>
      <c r="G699" t="n">
        <v>1.4</v>
      </c>
      <c r="H699" t="n">
        <v>0</v>
      </c>
      <c r="I699" t="n">
        <v>0</v>
      </c>
      <c r="J699" t="n">
        <v>0</v>
      </c>
      <c r="K699" t="n">
        <v>0</v>
      </c>
      <c r="L699" t="n">
        <v>0</v>
      </c>
      <c r="M699" t="n">
        <v>0</v>
      </c>
      <c r="N699" t="n">
        <v>0</v>
      </c>
      <c r="O699" t="n">
        <v>0</v>
      </c>
      <c r="P699" t="n">
        <v>0</v>
      </c>
      <c r="Q699" t="n">
        <v>0</v>
      </c>
      <c r="R699" s="2" t="inlineStr"/>
    </row>
    <row r="700" ht="15" customHeight="1">
      <c r="A700" t="inlineStr">
        <is>
          <t>A 44508-2018</t>
        </is>
      </c>
      <c r="B700" s="1" t="n">
        <v>43361</v>
      </c>
      <c r="C700" s="1" t="n">
        <v>45212</v>
      </c>
      <c r="D700" t="inlineStr">
        <is>
          <t>VÄSTERNORRLANDS LÄN</t>
        </is>
      </c>
      <c r="E700" t="inlineStr">
        <is>
          <t>ÖRNSKÖLDSVIK</t>
        </is>
      </c>
      <c r="F700" t="inlineStr">
        <is>
          <t>Holmen skog AB</t>
        </is>
      </c>
      <c r="G700" t="n">
        <v>5</v>
      </c>
      <c r="H700" t="n">
        <v>0</v>
      </c>
      <c r="I700" t="n">
        <v>0</v>
      </c>
      <c r="J700" t="n">
        <v>0</v>
      </c>
      <c r="K700" t="n">
        <v>0</v>
      </c>
      <c r="L700" t="n">
        <v>0</v>
      </c>
      <c r="M700" t="n">
        <v>0</v>
      </c>
      <c r="N700" t="n">
        <v>0</v>
      </c>
      <c r="O700" t="n">
        <v>0</v>
      </c>
      <c r="P700" t="n">
        <v>0</v>
      </c>
      <c r="Q700" t="n">
        <v>0</v>
      </c>
      <c r="R700" s="2" t="inlineStr"/>
    </row>
    <row r="701" ht="15" customHeight="1">
      <c r="A701" t="inlineStr">
        <is>
          <t>A 45379-2018</t>
        </is>
      </c>
      <c r="B701" s="1" t="n">
        <v>43361</v>
      </c>
      <c r="C701" s="1" t="n">
        <v>45212</v>
      </c>
      <c r="D701" t="inlineStr">
        <is>
          <t>VÄSTERNORRLANDS LÄN</t>
        </is>
      </c>
      <c r="E701" t="inlineStr">
        <is>
          <t>ÖRNSKÖLDSVIK</t>
        </is>
      </c>
      <c r="G701" t="n">
        <v>2.6</v>
      </c>
      <c r="H701" t="n">
        <v>0</v>
      </c>
      <c r="I701" t="n">
        <v>0</v>
      </c>
      <c r="J701" t="n">
        <v>0</v>
      </c>
      <c r="K701" t="n">
        <v>0</v>
      </c>
      <c r="L701" t="n">
        <v>0</v>
      </c>
      <c r="M701" t="n">
        <v>0</v>
      </c>
      <c r="N701" t="n">
        <v>0</v>
      </c>
      <c r="O701" t="n">
        <v>0</v>
      </c>
      <c r="P701" t="n">
        <v>0</v>
      </c>
      <c r="Q701" t="n">
        <v>0</v>
      </c>
      <c r="R701" s="2" t="inlineStr"/>
    </row>
    <row r="702" ht="15" customHeight="1">
      <c r="A702" t="inlineStr">
        <is>
          <t>A 45244-2018</t>
        </is>
      </c>
      <c r="B702" s="1" t="n">
        <v>43361</v>
      </c>
      <c r="C702" s="1" t="n">
        <v>45212</v>
      </c>
      <c r="D702" t="inlineStr">
        <is>
          <t>VÄSTERNORRLANDS LÄN</t>
        </is>
      </c>
      <c r="E702" t="inlineStr">
        <is>
          <t>SUNDSVALL</t>
        </is>
      </c>
      <c r="G702" t="n">
        <v>2.7</v>
      </c>
      <c r="H702" t="n">
        <v>0</v>
      </c>
      <c r="I702" t="n">
        <v>0</v>
      </c>
      <c r="J702" t="n">
        <v>0</v>
      </c>
      <c r="K702" t="n">
        <v>0</v>
      </c>
      <c r="L702" t="n">
        <v>0</v>
      </c>
      <c r="M702" t="n">
        <v>0</v>
      </c>
      <c r="N702" t="n">
        <v>0</v>
      </c>
      <c r="O702" t="n">
        <v>0</v>
      </c>
      <c r="P702" t="n">
        <v>0</v>
      </c>
      <c r="Q702" t="n">
        <v>0</v>
      </c>
      <c r="R702" s="2" t="inlineStr"/>
    </row>
    <row r="703" ht="15" customHeight="1">
      <c r="A703" t="inlineStr">
        <is>
          <t>A 44875-2018</t>
        </is>
      </c>
      <c r="B703" s="1" t="n">
        <v>43362</v>
      </c>
      <c r="C703" s="1" t="n">
        <v>45212</v>
      </c>
      <c r="D703" t="inlineStr">
        <is>
          <t>VÄSTERNORRLANDS LÄN</t>
        </is>
      </c>
      <c r="E703" t="inlineStr">
        <is>
          <t>ÖRNSKÖLDSVIK</t>
        </is>
      </c>
      <c r="G703" t="n">
        <v>3.4</v>
      </c>
      <c r="H703" t="n">
        <v>0</v>
      </c>
      <c r="I703" t="n">
        <v>0</v>
      </c>
      <c r="J703" t="n">
        <v>0</v>
      </c>
      <c r="K703" t="n">
        <v>0</v>
      </c>
      <c r="L703" t="n">
        <v>0</v>
      </c>
      <c r="M703" t="n">
        <v>0</v>
      </c>
      <c r="N703" t="n">
        <v>0</v>
      </c>
      <c r="O703" t="n">
        <v>0</v>
      </c>
      <c r="P703" t="n">
        <v>0</v>
      </c>
      <c r="Q703" t="n">
        <v>0</v>
      </c>
      <c r="R703" s="2" t="inlineStr"/>
    </row>
    <row r="704" ht="15" customHeight="1">
      <c r="A704" t="inlineStr">
        <is>
          <t>A 45074-2018</t>
        </is>
      </c>
      <c r="B704" s="1" t="n">
        <v>43362</v>
      </c>
      <c r="C704" s="1" t="n">
        <v>45212</v>
      </c>
      <c r="D704" t="inlineStr">
        <is>
          <t>VÄSTERNORRLANDS LÄN</t>
        </is>
      </c>
      <c r="E704" t="inlineStr">
        <is>
          <t>ÖRNSKÖLDSVIK</t>
        </is>
      </c>
      <c r="G704" t="n">
        <v>1.4</v>
      </c>
      <c r="H704" t="n">
        <v>0</v>
      </c>
      <c r="I704" t="n">
        <v>0</v>
      </c>
      <c r="J704" t="n">
        <v>0</v>
      </c>
      <c r="K704" t="n">
        <v>0</v>
      </c>
      <c r="L704" t="n">
        <v>0</v>
      </c>
      <c r="M704" t="n">
        <v>0</v>
      </c>
      <c r="N704" t="n">
        <v>0</v>
      </c>
      <c r="O704" t="n">
        <v>0</v>
      </c>
      <c r="P704" t="n">
        <v>0</v>
      </c>
      <c r="Q704" t="n">
        <v>0</v>
      </c>
      <c r="R704" s="2" t="inlineStr"/>
    </row>
    <row r="705" ht="15" customHeight="1">
      <c r="A705" t="inlineStr">
        <is>
          <t>A 45786-2018</t>
        </is>
      </c>
      <c r="B705" s="1" t="n">
        <v>43362</v>
      </c>
      <c r="C705" s="1" t="n">
        <v>45212</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46975-2018</t>
        </is>
      </c>
      <c r="B706" s="1" t="n">
        <v>43364</v>
      </c>
      <c r="C706" s="1" t="n">
        <v>45212</v>
      </c>
      <c r="D706" t="inlineStr">
        <is>
          <t>VÄSTERNORRLANDS LÄN</t>
        </is>
      </c>
      <c r="E706" t="inlineStr">
        <is>
          <t>KRAMFORS</t>
        </is>
      </c>
      <c r="F706" t="inlineStr">
        <is>
          <t>Kommuner</t>
        </is>
      </c>
      <c r="G706" t="n">
        <v>0.9</v>
      </c>
      <c r="H706" t="n">
        <v>0</v>
      </c>
      <c r="I706" t="n">
        <v>0</v>
      </c>
      <c r="J706" t="n">
        <v>0</v>
      </c>
      <c r="K706" t="n">
        <v>0</v>
      </c>
      <c r="L706" t="n">
        <v>0</v>
      </c>
      <c r="M706" t="n">
        <v>0</v>
      </c>
      <c r="N706" t="n">
        <v>0</v>
      </c>
      <c r="O706" t="n">
        <v>0</v>
      </c>
      <c r="P706" t="n">
        <v>0</v>
      </c>
      <c r="Q706" t="n">
        <v>0</v>
      </c>
      <c r="R706" s="2" t="inlineStr"/>
    </row>
    <row r="707" ht="15" customHeight="1">
      <c r="A707" t="inlineStr">
        <is>
          <t>A 45727-2018</t>
        </is>
      </c>
      <c r="B707" s="1" t="n">
        <v>43364</v>
      </c>
      <c r="C707" s="1" t="n">
        <v>45212</v>
      </c>
      <c r="D707" t="inlineStr">
        <is>
          <t>VÄSTERNORRLANDS LÄN</t>
        </is>
      </c>
      <c r="E707" t="inlineStr">
        <is>
          <t>ÖRNSKÖLDSVIK</t>
        </is>
      </c>
      <c r="G707" t="n">
        <v>2.3</v>
      </c>
      <c r="H707" t="n">
        <v>0</v>
      </c>
      <c r="I707" t="n">
        <v>0</v>
      </c>
      <c r="J707" t="n">
        <v>0</v>
      </c>
      <c r="K707" t="n">
        <v>0</v>
      </c>
      <c r="L707" t="n">
        <v>0</v>
      </c>
      <c r="M707" t="n">
        <v>0</v>
      </c>
      <c r="N707" t="n">
        <v>0</v>
      </c>
      <c r="O707" t="n">
        <v>0</v>
      </c>
      <c r="P707" t="n">
        <v>0</v>
      </c>
      <c r="Q707" t="n">
        <v>0</v>
      </c>
      <c r="R707" s="2" t="inlineStr"/>
    </row>
    <row r="708" ht="15" customHeight="1">
      <c r="A708" t="inlineStr">
        <is>
          <t>A 47012-2018</t>
        </is>
      </c>
      <c r="B708" s="1" t="n">
        <v>43364</v>
      </c>
      <c r="C708" s="1" t="n">
        <v>45212</v>
      </c>
      <c r="D708" t="inlineStr">
        <is>
          <t>VÄSTERNORRLANDS LÄN</t>
        </is>
      </c>
      <c r="E708" t="inlineStr">
        <is>
          <t>HÄRNÖSAND</t>
        </is>
      </c>
      <c r="G708" t="n">
        <v>3.3</v>
      </c>
      <c r="H708" t="n">
        <v>0</v>
      </c>
      <c r="I708" t="n">
        <v>0</v>
      </c>
      <c r="J708" t="n">
        <v>0</v>
      </c>
      <c r="K708" t="n">
        <v>0</v>
      </c>
      <c r="L708" t="n">
        <v>0</v>
      </c>
      <c r="M708" t="n">
        <v>0</v>
      </c>
      <c r="N708" t="n">
        <v>0</v>
      </c>
      <c r="O708" t="n">
        <v>0</v>
      </c>
      <c r="P708" t="n">
        <v>0</v>
      </c>
      <c r="Q708" t="n">
        <v>0</v>
      </c>
      <c r="R708" s="2" t="inlineStr"/>
    </row>
    <row r="709" ht="15" customHeight="1">
      <c r="A709" t="inlineStr">
        <is>
          <t>A 46839-2018</t>
        </is>
      </c>
      <c r="B709" s="1" t="n">
        <v>43364</v>
      </c>
      <c r="C709" s="1" t="n">
        <v>45212</v>
      </c>
      <c r="D709" t="inlineStr">
        <is>
          <t>VÄSTERNORRLANDS LÄN</t>
        </is>
      </c>
      <c r="E709" t="inlineStr">
        <is>
          <t>KRAMFORS</t>
        </is>
      </c>
      <c r="F709" t="inlineStr">
        <is>
          <t>Kommuner</t>
        </is>
      </c>
      <c r="G709" t="n">
        <v>1</v>
      </c>
      <c r="H709" t="n">
        <v>0</v>
      </c>
      <c r="I709" t="n">
        <v>0</v>
      </c>
      <c r="J709" t="n">
        <v>0</v>
      </c>
      <c r="K709" t="n">
        <v>0</v>
      </c>
      <c r="L709" t="n">
        <v>0</v>
      </c>
      <c r="M709" t="n">
        <v>0</v>
      </c>
      <c r="N709" t="n">
        <v>0</v>
      </c>
      <c r="O709" t="n">
        <v>0</v>
      </c>
      <c r="P709" t="n">
        <v>0</v>
      </c>
      <c r="Q709" t="n">
        <v>0</v>
      </c>
      <c r="R709" s="2" t="inlineStr"/>
    </row>
    <row r="710" ht="15" customHeight="1">
      <c r="A710" t="inlineStr">
        <is>
          <t>A 47003-2018</t>
        </is>
      </c>
      <c r="B710" s="1" t="n">
        <v>43364</v>
      </c>
      <c r="C710" s="1" t="n">
        <v>45212</v>
      </c>
      <c r="D710" t="inlineStr">
        <is>
          <t>VÄSTERNORRLANDS LÄN</t>
        </is>
      </c>
      <c r="E710" t="inlineStr">
        <is>
          <t>KRAMFORS</t>
        </is>
      </c>
      <c r="F710" t="inlineStr">
        <is>
          <t>Kommuner</t>
        </is>
      </c>
      <c r="G710" t="n">
        <v>3</v>
      </c>
      <c r="H710" t="n">
        <v>0</v>
      </c>
      <c r="I710" t="n">
        <v>0</v>
      </c>
      <c r="J710" t="n">
        <v>0</v>
      </c>
      <c r="K710" t="n">
        <v>0</v>
      </c>
      <c r="L710" t="n">
        <v>0</v>
      </c>
      <c r="M710" t="n">
        <v>0</v>
      </c>
      <c r="N710" t="n">
        <v>0</v>
      </c>
      <c r="O710" t="n">
        <v>0</v>
      </c>
      <c r="P710" t="n">
        <v>0</v>
      </c>
      <c r="Q710" t="n">
        <v>0</v>
      </c>
      <c r="R710" s="2" t="inlineStr"/>
    </row>
    <row r="711" ht="15" customHeight="1">
      <c r="A711" t="inlineStr">
        <is>
          <t>A 46105-2018</t>
        </is>
      </c>
      <c r="B711" s="1" t="n">
        <v>43367</v>
      </c>
      <c r="C711" s="1" t="n">
        <v>45212</v>
      </c>
      <c r="D711" t="inlineStr">
        <is>
          <t>VÄSTERNORRLANDS LÄN</t>
        </is>
      </c>
      <c r="E711" t="inlineStr">
        <is>
          <t>ÖRNSKÖLDSVIK</t>
        </is>
      </c>
      <c r="G711" t="n">
        <v>2</v>
      </c>
      <c r="H711" t="n">
        <v>0</v>
      </c>
      <c r="I711" t="n">
        <v>0</v>
      </c>
      <c r="J711" t="n">
        <v>0</v>
      </c>
      <c r="K711" t="n">
        <v>0</v>
      </c>
      <c r="L711" t="n">
        <v>0</v>
      </c>
      <c r="M711" t="n">
        <v>0</v>
      </c>
      <c r="N711" t="n">
        <v>0</v>
      </c>
      <c r="O711" t="n">
        <v>0</v>
      </c>
      <c r="P711" t="n">
        <v>0</v>
      </c>
      <c r="Q711" t="n">
        <v>0</v>
      </c>
      <c r="R711" s="2" t="inlineStr"/>
    </row>
    <row r="712" ht="15" customHeight="1">
      <c r="A712" t="inlineStr">
        <is>
          <t>A 47102-2018</t>
        </is>
      </c>
      <c r="B712" s="1" t="n">
        <v>43367</v>
      </c>
      <c r="C712" s="1" t="n">
        <v>45212</v>
      </c>
      <c r="D712" t="inlineStr">
        <is>
          <t>VÄSTERNORRLANDS LÄN</t>
        </is>
      </c>
      <c r="E712" t="inlineStr">
        <is>
          <t>KRAMFORS</t>
        </is>
      </c>
      <c r="F712" t="inlineStr">
        <is>
          <t>Kommuner</t>
        </is>
      </c>
      <c r="G712" t="n">
        <v>2.8</v>
      </c>
      <c r="H712" t="n">
        <v>0</v>
      </c>
      <c r="I712" t="n">
        <v>0</v>
      </c>
      <c r="J712" t="n">
        <v>0</v>
      </c>
      <c r="K712" t="n">
        <v>0</v>
      </c>
      <c r="L712" t="n">
        <v>0</v>
      </c>
      <c r="M712" t="n">
        <v>0</v>
      </c>
      <c r="N712" t="n">
        <v>0</v>
      </c>
      <c r="O712" t="n">
        <v>0</v>
      </c>
      <c r="P712" t="n">
        <v>0</v>
      </c>
      <c r="Q712" t="n">
        <v>0</v>
      </c>
      <c r="R712" s="2" t="inlineStr"/>
    </row>
    <row r="713" ht="15" customHeight="1">
      <c r="A713" t="inlineStr">
        <is>
          <t>A 47686-2018</t>
        </is>
      </c>
      <c r="B713" s="1" t="n">
        <v>43368</v>
      </c>
      <c r="C713" s="1" t="n">
        <v>45212</v>
      </c>
      <c r="D713" t="inlineStr">
        <is>
          <t>VÄSTERNORRLANDS LÄN</t>
        </is>
      </c>
      <c r="E713" t="inlineStr">
        <is>
          <t>SUNDSVALL</t>
        </is>
      </c>
      <c r="G713" t="n">
        <v>3.7</v>
      </c>
      <c r="H713" t="n">
        <v>0</v>
      </c>
      <c r="I713" t="n">
        <v>0</v>
      </c>
      <c r="J713" t="n">
        <v>0</v>
      </c>
      <c r="K713" t="n">
        <v>0</v>
      </c>
      <c r="L713" t="n">
        <v>0</v>
      </c>
      <c r="M713" t="n">
        <v>0</v>
      </c>
      <c r="N713" t="n">
        <v>0</v>
      </c>
      <c r="O713" t="n">
        <v>0</v>
      </c>
      <c r="P713" t="n">
        <v>0</v>
      </c>
      <c r="Q713" t="n">
        <v>0</v>
      </c>
      <c r="R713" s="2" t="inlineStr"/>
    </row>
    <row r="714" ht="15" customHeight="1">
      <c r="A714" t="inlineStr">
        <is>
          <t>A 47718-2018</t>
        </is>
      </c>
      <c r="B714" s="1" t="n">
        <v>43368</v>
      </c>
      <c r="C714" s="1" t="n">
        <v>45212</v>
      </c>
      <c r="D714" t="inlineStr">
        <is>
          <t>VÄSTERNORRLANDS LÄN</t>
        </is>
      </c>
      <c r="E714" t="inlineStr">
        <is>
          <t>SUNDSVALL</t>
        </is>
      </c>
      <c r="F714" t="inlineStr">
        <is>
          <t>Kommuner</t>
        </is>
      </c>
      <c r="G714" t="n">
        <v>2.8</v>
      </c>
      <c r="H714" t="n">
        <v>0</v>
      </c>
      <c r="I714" t="n">
        <v>0</v>
      </c>
      <c r="J714" t="n">
        <v>0</v>
      </c>
      <c r="K714" t="n">
        <v>0</v>
      </c>
      <c r="L714" t="n">
        <v>0</v>
      </c>
      <c r="M714" t="n">
        <v>0</v>
      </c>
      <c r="N714" t="n">
        <v>0</v>
      </c>
      <c r="O714" t="n">
        <v>0</v>
      </c>
      <c r="P714" t="n">
        <v>0</v>
      </c>
      <c r="Q714" t="n">
        <v>0</v>
      </c>
      <c r="R714" s="2" t="inlineStr"/>
    </row>
    <row r="715" ht="15" customHeight="1">
      <c r="A715" t="inlineStr">
        <is>
          <t>A 47643-2018</t>
        </is>
      </c>
      <c r="B715" s="1" t="n">
        <v>43369</v>
      </c>
      <c r="C715" s="1" t="n">
        <v>45212</v>
      </c>
      <c r="D715" t="inlineStr">
        <is>
          <t>VÄSTERNORRLANDS LÄN</t>
        </is>
      </c>
      <c r="E715" t="inlineStr">
        <is>
          <t>KRAMFORS</t>
        </is>
      </c>
      <c r="G715" t="n">
        <v>1.7</v>
      </c>
      <c r="H715" t="n">
        <v>0</v>
      </c>
      <c r="I715" t="n">
        <v>0</v>
      </c>
      <c r="J715" t="n">
        <v>0</v>
      </c>
      <c r="K715" t="n">
        <v>0</v>
      </c>
      <c r="L715" t="n">
        <v>0</v>
      </c>
      <c r="M715" t="n">
        <v>0</v>
      </c>
      <c r="N715" t="n">
        <v>0</v>
      </c>
      <c r="O715" t="n">
        <v>0</v>
      </c>
      <c r="P715" t="n">
        <v>0</v>
      </c>
      <c r="Q715" t="n">
        <v>0</v>
      </c>
      <c r="R715" s="2" t="inlineStr"/>
    </row>
    <row r="716" ht="15" customHeight="1">
      <c r="A716" t="inlineStr">
        <is>
          <t>A 48748-2018</t>
        </is>
      </c>
      <c r="B716" s="1" t="n">
        <v>43371</v>
      </c>
      <c r="C716" s="1" t="n">
        <v>45212</v>
      </c>
      <c r="D716" t="inlineStr">
        <is>
          <t>VÄSTERNORRLANDS LÄN</t>
        </is>
      </c>
      <c r="E716" t="inlineStr">
        <is>
          <t>ÖRNSKÖLDSVIK</t>
        </is>
      </c>
      <c r="G716" t="n">
        <v>5.9</v>
      </c>
      <c r="H716" t="n">
        <v>0</v>
      </c>
      <c r="I716" t="n">
        <v>0</v>
      </c>
      <c r="J716" t="n">
        <v>0</v>
      </c>
      <c r="K716" t="n">
        <v>0</v>
      </c>
      <c r="L716" t="n">
        <v>0</v>
      </c>
      <c r="M716" t="n">
        <v>0</v>
      </c>
      <c r="N716" t="n">
        <v>0</v>
      </c>
      <c r="O716" t="n">
        <v>0</v>
      </c>
      <c r="P716" t="n">
        <v>0</v>
      </c>
      <c r="Q716" t="n">
        <v>0</v>
      </c>
      <c r="R716" s="2" t="inlineStr"/>
    </row>
    <row r="717" ht="15" customHeight="1">
      <c r="A717" t="inlineStr">
        <is>
          <t>A 48975-2018</t>
        </is>
      </c>
      <c r="B717" s="1" t="n">
        <v>43371</v>
      </c>
      <c r="C717" s="1" t="n">
        <v>45212</v>
      </c>
      <c r="D717" t="inlineStr">
        <is>
          <t>VÄSTERNORRLANDS LÄN</t>
        </is>
      </c>
      <c r="E717" t="inlineStr">
        <is>
          <t>SUNDSVALL</t>
        </is>
      </c>
      <c r="G717" t="n">
        <v>2.5</v>
      </c>
      <c r="H717" t="n">
        <v>0</v>
      </c>
      <c r="I717" t="n">
        <v>0</v>
      </c>
      <c r="J717" t="n">
        <v>0</v>
      </c>
      <c r="K717" t="n">
        <v>0</v>
      </c>
      <c r="L717" t="n">
        <v>0</v>
      </c>
      <c r="M717" t="n">
        <v>0</v>
      </c>
      <c r="N717" t="n">
        <v>0</v>
      </c>
      <c r="O717" t="n">
        <v>0</v>
      </c>
      <c r="P717" t="n">
        <v>0</v>
      </c>
      <c r="Q717" t="n">
        <v>0</v>
      </c>
      <c r="R717" s="2" t="inlineStr"/>
    </row>
    <row r="718" ht="15" customHeight="1">
      <c r="A718" t="inlineStr">
        <is>
          <t>A 48960-2018</t>
        </is>
      </c>
      <c r="B718" s="1" t="n">
        <v>43371</v>
      </c>
      <c r="C718" s="1" t="n">
        <v>45212</v>
      </c>
      <c r="D718" t="inlineStr">
        <is>
          <t>VÄSTERNORRLANDS LÄN</t>
        </is>
      </c>
      <c r="E718" t="inlineStr">
        <is>
          <t>KRAMFORS</t>
        </is>
      </c>
      <c r="G718" t="n">
        <v>4.2</v>
      </c>
      <c r="H718" t="n">
        <v>0</v>
      </c>
      <c r="I718" t="n">
        <v>0</v>
      </c>
      <c r="J718" t="n">
        <v>0</v>
      </c>
      <c r="K718" t="n">
        <v>0</v>
      </c>
      <c r="L718" t="n">
        <v>0</v>
      </c>
      <c r="M718" t="n">
        <v>0</v>
      </c>
      <c r="N718" t="n">
        <v>0</v>
      </c>
      <c r="O718" t="n">
        <v>0</v>
      </c>
      <c r="P718" t="n">
        <v>0</v>
      </c>
      <c r="Q718" t="n">
        <v>0</v>
      </c>
      <c r="R718" s="2" t="inlineStr"/>
    </row>
    <row r="719" ht="15" customHeight="1">
      <c r="A719" t="inlineStr">
        <is>
          <t>A 49700-2018</t>
        </is>
      </c>
      <c r="B719" s="1" t="n">
        <v>43374</v>
      </c>
      <c r="C719" s="1" t="n">
        <v>45212</v>
      </c>
      <c r="D719" t="inlineStr">
        <is>
          <t>VÄSTERNORRLANDS LÄN</t>
        </is>
      </c>
      <c r="E719" t="inlineStr">
        <is>
          <t>ÖRNSKÖLDSVIK</t>
        </is>
      </c>
      <c r="G719" t="n">
        <v>2.6</v>
      </c>
      <c r="H719" t="n">
        <v>0</v>
      </c>
      <c r="I719" t="n">
        <v>0</v>
      </c>
      <c r="J719" t="n">
        <v>0</v>
      </c>
      <c r="K719" t="n">
        <v>0</v>
      </c>
      <c r="L719" t="n">
        <v>0</v>
      </c>
      <c r="M719" t="n">
        <v>0</v>
      </c>
      <c r="N719" t="n">
        <v>0</v>
      </c>
      <c r="O719" t="n">
        <v>0</v>
      </c>
      <c r="P719" t="n">
        <v>0</v>
      </c>
      <c r="Q719" t="n">
        <v>0</v>
      </c>
      <c r="R719" s="2" t="inlineStr"/>
    </row>
    <row r="720" ht="15" customHeight="1">
      <c r="A720" t="inlineStr">
        <is>
          <t>A 49435-2018</t>
        </is>
      </c>
      <c r="B720" s="1" t="n">
        <v>43374</v>
      </c>
      <c r="C720" s="1" t="n">
        <v>45212</v>
      </c>
      <c r="D720" t="inlineStr">
        <is>
          <t>VÄSTERNORRLANDS LÄN</t>
        </is>
      </c>
      <c r="E720" t="inlineStr">
        <is>
          <t>HÄRNÖSAND</t>
        </is>
      </c>
      <c r="G720" t="n">
        <v>0.9</v>
      </c>
      <c r="H720" t="n">
        <v>0</v>
      </c>
      <c r="I720" t="n">
        <v>0</v>
      </c>
      <c r="J720" t="n">
        <v>0</v>
      </c>
      <c r="K720" t="n">
        <v>0</v>
      </c>
      <c r="L720" t="n">
        <v>0</v>
      </c>
      <c r="M720" t="n">
        <v>0</v>
      </c>
      <c r="N720" t="n">
        <v>0</v>
      </c>
      <c r="O720" t="n">
        <v>0</v>
      </c>
      <c r="P720" t="n">
        <v>0</v>
      </c>
      <c r="Q720" t="n">
        <v>0</v>
      </c>
      <c r="R720" s="2" t="inlineStr"/>
    </row>
    <row r="721" ht="15" customHeight="1">
      <c r="A721" t="inlineStr">
        <is>
          <t>A 49352-2018</t>
        </is>
      </c>
      <c r="B721" s="1" t="n">
        <v>43374</v>
      </c>
      <c r="C721" s="1" t="n">
        <v>45212</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49699-2018</t>
        </is>
      </c>
      <c r="B722" s="1" t="n">
        <v>43374</v>
      </c>
      <c r="C722" s="1" t="n">
        <v>45212</v>
      </c>
      <c r="D722" t="inlineStr">
        <is>
          <t>VÄSTERNORRLANDS LÄN</t>
        </is>
      </c>
      <c r="E722" t="inlineStr">
        <is>
          <t>ÖRNSKÖLDSVIK</t>
        </is>
      </c>
      <c r="G722" t="n">
        <v>1.8</v>
      </c>
      <c r="H722" t="n">
        <v>0</v>
      </c>
      <c r="I722" t="n">
        <v>0</v>
      </c>
      <c r="J722" t="n">
        <v>0</v>
      </c>
      <c r="K722" t="n">
        <v>0</v>
      </c>
      <c r="L722" t="n">
        <v>0</v>
      </c>
      <c r="M722" t="n">
        <v>0</v>
      </c>
      <c r="N722" t="n">
        <v>0</v>
      </c>
      <c r="O722" t="n">
        <v>0</v>
      </c>
      <c r="P722" t="n">
        <v>0</v>
      </c>
      <c r="Q722" t="n">
        <v>0</v>
      </c>
      <c r="R722" s="2" t="inlineStr"/>
    </row>
    <row r="723" ht="15" customHeight="1">
      <c r="A723" t="inlineStr">
        <is>
          <t>A 48785-2018</t>
        </is>
      </c>
      <c r="B723" s="1" t="n">
        <v>43375</v>
      </c>
      <c r="C723" s="1" t="n">
        <v>45212</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48992-2018</t>
        </is>
      </c>
      <c r="B724" s="1" t="n">
        <v>43375</v>
      </c>
      <c r="C724" s="1" t="n">
        <v>45212</v>
      </c>
      <c r="D724" t="inlineStr">
        <is>
          <t>VÄSTERNORRLANDS LÄN</t>
        </is>
      </c>
      <c r="E724" t="inlineStr">
        <is>
          <t>SUNDSVALL</t>
        </is>
      </c>
      <c r="G724" t="n">
        <v>5.3</v>
      </c>
      <c r="H724" t="n">
        <v>0</v>
      </c>
      <c r="I724" t="n">
        <v>0</v>
      </c>
      <c r="J724" t="n">
        <v>0</v>
      </c>
      <c r="K724" t="n">
        <v>0</v>
      </c>
      <c r="L724" t="n">
        <v>0</v>
      </c>
      <c r="M724" t="n">
        <v>0</v>
      </c>
      <c r="N724" t="n">
        <v>0</v>
      </c>
      <c r="O724" t="n">
        <v>0</v>
      </c>
      <c r="P724" t="n">
        <v>0</v>
      </c>
      <c r="Q724" t="n">
        <v>0</v>
      </c>
      <c r="R724" s="2" t="inlineStr"/>
    </row>
    <row r="725" ht="15" customHeight="1">
      <c r="A725" t="inlineStr">
        <is>
          <t>A 49202-2018</t>
        </is>
      </c>
      <c r="B725" s="1" t="n">
        <v>43375</v>
      </c>
      <c r="C725" s="1" t="n">
        <v>45212</v>
      </c>
      <c r="D725" t="inlineStr">
        <is>
          <t>VÄSTERNORRLANDS LÄN</t>
        </is>
      </c>
      <c r="E725" t="inlineStr">
        <is>
          <t>SUNDSVALL</t>
        </is>
      </c>
      <c r="G725" t="n">
        <v>0.7</v>
      </c>
      <c r="H725" t="n">
        <v>0</v>
      </c>
      <c r="I725" t="n">
        <v>0</v>
      </c>
      <c r="J725" t="n">
        <v>0</v>
      </c>
      <c r="K725" t="n">
        <v>0</v>
      </c>
      <c r="L725" t="n">
        <v>0</v>
      </c>
      <c r="M725" t="n">
        <v>0</v>
      </c>
      <c r="N725" t="n">
        <v>0</v>
      </c>
      <c r="O725" t="n">
        <v>0</v>
      </c>
      <c r="P725" t="n">
        <v>0</v>
      </c>
      <c r="Q725" t="n">
        <v>0</v>
      </c>
      <c r="R725" s="2" t="inlineStr"/>
    </row>
    <row r="726" ht="15" customHeight="1">
      <c r="A726" t="inlineStr">
        <is>
          <t>A 48983-2018</t>
        </is>
      </c>
      <c r="B726" s="1" t="n">
        <v>43375</v>
      </c>
      <c r="C726" s="1" t="n">
        <v>45212</v>
      </c>
      <c r="D726" t="inlineStr">
        <is>
          <t>VÄSTERNORRLANDS LÄN</t>
        </is>
      </c>
      <c r="E726" t="inlineStr">
        <is>
          <t>SUNDSVALL</t>
        </is>
      </c>
      <c r="G726" t="n">
        <v>1.8</v>
      </c>
      <c r="H726" t="n">
        <v>0</v>
      </c>
      <c r="I726" t="n">
        <v>0</v>
      </c>
      <c r="J726" t="n">
        <v>0</v>
      </c>
      <c r="K726" t="n">
        <v>0</v>
      </c>
      <c r="L726" t="n">
        <v>0</v>
      </c>
      <c r="M726" t="n">
        <v>0</v>
      </c>
      <c r="N726" t="n">
        <v>0</v>
      </c>
      <c r="O726" t="n">
        <v>0</v>
      </c>
      <c r="P726" t="n">
        <v>0</v>
      </c>
      <c r="Q726" t="n">
        <v>0</v>
      </c>
      <c r="R726" s="2" t="inlineStr"/>
    </row>
    <row r="727" ht="15" customHeight="1">
      <c r="A727" t="inlineStr">
        <is>
          <t>A 49165-2018</t>
        </is>
      </c>
      <c r="B727" s="1" t="n">
        <v>43375</v>
      </c>
      <c r="C727" s="1" t="n">
        <v>45212</v>
      </c>
      <c r="D727" t="inlineStr">
        <is>
          <t>VÄSTERNORRLANDS LÄN</t>
        </is>
      </c>
      <c r="E727" t="inlineStr">
        <is>
          <t>ÅNGE</t>
        </is>
      </c>
      <c r="G727" t="n">
        <v>7.8</v>
      </c>
      <c r="H727" t="n">
        <v>0</v>
      </c>
      <c r="I727" t="n">
        <v>0</v>
      </c>
      <c r="J727" t="n">
        <v>0</v>
      </c>
      <c r="K727" t="n">
        <v>0</v>
      </c>
      <c r="L727" t="n">
        <v>0</v>
      </c>
      <c r="M727" t="n">
        <v>0</v>
      </c>
      <c r="N727" t="n">
        <v>0</v>
      </c>
      <c r="O727" t="n">
        <v>0</v>
      </c>
      <c r="P727" t="n">
        <v>0</v>
      </c>
      <c r="Q727" t="n">
        <v>0</v>
      </c>
      <c r="R727" s="2" t="inlineStr"/>
    </row>
    <row r="728" ht="15" customHeight="1">
      <c r="A728" t="inlineStr">
        <is>
          <t>A 49658-2018</t>
        </is>
      </c>
      <c r="B728" s="1" t="n">
        <v>43376</v>
      </c>
      <c r="C728" s="1" t="n">
        <v>45212</v>
      </c>
      <c r="D728" t="inlineStr">
        <is>
          <t>VÄSTERNORRLANDS LÄN</t>
        </is>
      </c>
      <c r="E728" t="inlineStr">
        <is>
          <t>ÅNGE</t>
        </is>
      </c>
      <c r="F728" t="inlineStr">
        <is>
          <t>Kyrkan</t>
        </is>
      </c>
      <c r="G728" t="n">
        <v>1.3</v>
      </c>
      <c r="H728" t="n">
        <v>0</v>
      </c>
      <c r="I728" t="n">
        <v>0</v>
      </c>
      <c r="J728" t="n">
        <v>0</v>
      </c>
      <c r="K728" t="n">
        <v>0</v>
      </c>
      <c r="L728" t="n">
        <v>0</v>
      </c>
      <c r="M728" t="n">
        <v>0</v>
      </c>
      <c r="N728" t="n">
        <v>0</v>
      </c>
      <c r="O728" t="n">
        <v>0</v>
      </c>
      <c r="P728" t="n">
        <v>0</v>
      </c>
      <c r="Q728" t="n">
        <v>0</v>
      </c>
      <c r="R728" s="2" t="inlineStr"/>
    </row>
    <row r="729" ht="15" customHeight="1">
      <c r="A729" t="inlineStr">
        <is>
          <t>A 49683-2018</t>
        </is>
      </c>
      <c r="B729" s="1" t="n">
        <v>43377</v>
      </c>
      <c r="C729" s="1" t="n">
        <v>45212</v>
      </c>
      <c r="D729" t="inlineStr">
        <is>
          <t>VÄSTERNORRLANDS LÄN</t>
        </is>
      </c>
      <c r="E729" t="inlineStr">
        <is>
          <t>ÖRNSKÖLDSVIK</t>
        </is>
      </c>
      <c r="G729" t="n">
        <v>1</v>
      </c>
      <c r="H729" t="n">
        <v>0</v>
      </c>
      <c r="I729" t="n">
        <v>0</v>
      </c>
      <c r="J729" t="n">
        <v>0</v>
      </c>
      <c r="K729" t="n">
        <v>0</v>
      </c>
      <c r="L729" t="n">
        <v>0</v>
      </c>
      <c r="M729" t="n">
        <v>0</v>
      </c>
      <c r="N729" t="n">
        <v>0</v>
      </c>
      <c r="O729" t="n">
        <v>0</v>
      </c>
      <c r="P729" t="n">
        <v>0</v>
      </c>
      <c r="Q729" t="n">
        <v>0</v>
      </c>
      <c r="R729" s="2" t="inlineStr"/>
    </row>
    <row r="730" ht="15" customHeight="1">
      <c r="A730" t="inlineStr">
        <is>
          <t>A 51064-2018</t>
        </is>
      </c>
      <c r="B730" s="1" t="n">
        <v>43377</v>
      </c>
      <c r="C730" s="1" t="n">
        <v>45212</v>
      </c>
      <c r="D730" t="inlineStr">
        <is>
          <t>VÄSTERNORRLANDS LÄN</t>
        </is>
      </c>
      <c r="E730" t="inlineStr">
        <is>
          <t>ÖRNSKÖLDSVIK</t>
        </is>
      </c>
      <c r="G730" t="n">
        <v>26.9</v>
      </c>
      <c r="H730" t="n">
        <v>0</v>
      </c>
      <c r="I730" t="n">
        <v>0</v>
      </c>
      <c r="J730" t="n">
        <v>0</v>
      </c>
      <c r="K730" t="n">
        <v>0</v>
      </c>
      <c r="L730" t="n">
        <v>0</v>
      </c>
      <c r="M730" t="n">
        <v>0</v>
      </c>
      <c r="N730" t="n">
        <v>0</v>
      </c>
      <c r="O730" t="n">
        <v>0</v>
      </c>
      <c r="P730" t="n">
        <v>0</v>
      </c>
      <c r="Q730" t="n">
        <v>0</v>
      </c>
      <c r="R730" s="2" t="inlineStr"/>
    </row>
    <row r="731" ht="15" customHeight="1">
      <c r="A731" t="inlineStr">
        <is>
          <t>A 50423-2018</t>
        </is>
      </c>
      <c r="B731" s="1" t="n">
        <v>43378</v>
      </c>
      <c r="C731" s="1" t="n">
        <v>45212</v>
      </c>
      <c r="D731" t="inlineStr">
        <is>
          <t>VÄSTERNORRLANDS LÄN</t>
        </is>
      </c>
      <c r="E731" t="inlineStr">
        <is>
          <t>SOLLEFTEÅ</t>
        </is>
      </c>
      <c r="F731" t="inlineStr">
        <is>
          <t>SCA</t>
        </is>
      </c>
      <c r="G731" t="n">
        <v>6.4</v>
      </c>
      <c r="H731" t="n">
        <v>0</v>
      </c>
      <c r="I731" t="n">
        <v>0</v>
      </c>
      <c r="J731" t="n">
        <v>0</v>
      </c>
      <c r="K731" t="n">
        <v>0</v>
      </c>
      <c r="L731" t="n">
        <v>0</v>
      </c>
      <c r="M731" t="n">
        <v>0</v>
      </c>
      <c r="N731" t="n">
        <v>0</v>
      </c>
      <c r="O731" t="n">
        <v>0</v>
      </c>
      <c r="P731" t="n">
        <v>0</v>
      </c>
      <c r="Q731" t="n">
        <v>0</v>
      </c>
      <c r="R731" s="2" t="inlineStr"/>
    </row>
    <row r="732" ht="15" customHeight="1">
      <c r="A732" t="inlineStr">
        <is>
          <t>A 50996-2018</t>
        </is>
      </c>
      <c r="B732" s="1" t="n">
        <v>43378</v>
      </c>
      <c r="C732" s="1" t="n">
        <v>45212</v>
      </c>
      <c r="D732" t="inlineStr">
        <is>
          <t>VÄSTERNORRLANDS LÄN</t>
        </is>
      </c>
      <c r="E732" t="inlineStr">
        <is>
          <t>SOLLEFTEÅ</t>
        </is>
      </c>
      <c r="G732" t="n">
        <v>2.5</v>
      </c>
      <c r="H732" t="n">
        <v>0</v>
      </c>
      <c r="I732" t="n">
        <v>0</v>
      </c>
      <c r="J732" t="n">
        <v>0</v>
      </c>
      <c r="K732" t="n">
        <v>0</v>
      </c>
      <c r="L732" t="n">
        <v>0</v>
      </c>
      <c r="M732" t="n">
        <v>0</v>
      </c>
      <c r="N732" t="n">
        <v>0</v>
      </c>
      <c r="O732" t="n">
        <v>0</v>
      </c>
      <c r="P732" t="n">
        <v>0</v>
      </c>
      <c r="Q732" t="n">
        <v>0</v>
      </c>
      <c r="R732" s="2" t="inlineStr"/>
    </row>
    <row r="733" ht="15" customHeight="1">
      <c r="A733" t="inlineStr">
        <is>
          <t>A 50911-2018</t>
        </is>
      </c>
      <c r="B733" s="1" t="n">
        <v>43382</v>
      </c>
      <c r="C733" s="1" t="n">
        <v>45212</v>
      </c>
      <c r="D733" t="inlineStr">
        <is>
          <t>VÄSTERNORRLANDS LÄN</t>
        </is>
      </c>
      <c r="E733" t="inlineStr">
        <is>
          <t>ÖRNSKÖLDSVIK</t>
        </is>
      </c>
      <c r="G733" t="n">
        <v>22.3</v>
      </c>
      <c r="H733" t="n">
        <v>0</v>
      </c>
      <c r="I733" t="n">
        <v>0</v>
      </c>
      <c r="J733" t="n">
        <v>0</v>
      </c>
      <c r="K733" t="n">
        <v>0</v>
      </c>
      <c r="L733" t="n">
        <v>0</v>
      </c>
      <c r="M733" t="n">
        <v>0</v>
      </c>
      <c r="N733" t="n">
        <v>0</v>
      </c>
      <c r="O733" t="n">
        <v>0</v>
      </c>
      <c r="P733" t="n">
        <v>0</v>
      </c>
      <c r="Q733" t="n">
        <v>0</v>
      </c>
      <c r="R733" s="2" t="inlineStr"/>
    </row>
    <row r="734" ht="15" customHeight="1">
      <c r="A734" t="inlineStr">
        <is>
          <t>A 51792-2018</t>
        </is>
      </c>
      <c r="B734" s="1" t="n">
        <v>43382</v>
      </c>
      <c r="C734" s="1" t="n">
        <v>45212</v>
      </c>
      <c r="D734" t="inlineStr">
        <is>
          <t>VÄSTERNORRLANDS LÄN</t>
        </is>
      </c>
      <c r="E734" t="inlineStr">
        <is>
          <t>SUNDSVALL</t>
        </is>
      </c>
      <c r="G734" t="n">
        <v>1.7</v>
      </c>
      <c r="H734" t="n">
        <v>0</v>
      </c>
      <c r="I734" t="n">
        <v>0</v>
      </c>
      <c r="J734" t="n">
        <v>0</v>
      </c>
      <c r="K734" t="n">
        <v>0</v>
      </c>
      <c r="L734" t="n">
        <v>0</v>
      </c>
      <c r="M734" t="n">
        <v>0</v>
      </c>
      <c r="N734" t="n">
        <v>0</v>
      </c>
      <c r="O734" t="n">
        <v>0</v>
      </c>
      <c r="P734" t="n">
        <v>0</v>
      </c>
      <c r="Q734" t="n">
        <v>0</v>
      </c>
      <c r="R734" s="2" t="inlineStr"/>
    </row>
    <row r="735" ht="15" customHeight="1">
      <c r="A735" t="inlineStr">
        <is>
          <t>A 51975-2018</t>
        </is>
      </c>
      <c r="B735" s="1" t="n">
        <v>43382</v>
      </c>
      <c r="C735" s="1" t="n">
        <v>45212</v>
      </c>
      <c r="D735" t="inlineStr">
        <is>
          <t>VÄSTERNORRLANDS LÄN</t>
        </is>
      </c>
      <c r="E735" t="inlineStr">
        <is>
          <t>ÖRNSKÖLDSVIK</t>
        </is>
      </c>
      <c r="G735" t="n">
        <v>0.6</v>
      </c>
      <c r="H735" t="n">
        <v>0</v>
      </c>
      <c r="I735" t="n">
        <v>0</v>
      </c>
      <c r="J735" t="n">
        <v>0</v>
      </c>
      <c r="K735" t="n">
        <v>0</v>
      </c>
      <c r="L735" t="n">
        <v>0</v>
      </c>
      <c r="M735" t="n">
        <v>0</v>
      </c>
      <c r="N735" t="n">
        <v>0</v>
      </c>
      <c r="O735" t="n">
        <v>0</v>
      </c>
      <c r="P735" t="n">
        <v>0</v>
      </c>
      <c r="Q735" t="n">
        <v>0</v>
      </c>
      <c r="R735" s="2" t="inlineStr"/>
    </row>
    <row r="736" ht="15" customHeight="1">
      <c r="A736" t="inlineStr">
        <is>
          <t>A 52621-2018</t>
        </is>
      </c>
      <c r="B736" s="1" t="n">
        <v>43383</v>
      </c>
      <c r="C736" s="1" t="n">
        <v>45212</v>
      </c>
      <c r="D736" t="inlineStr">
        <is>
          <t>VÄSTERNORRLANDS LÄN</t>
        </is>
      </c>
      <c r="E736" t="inlineStr">
        <is>
          <t>ÅNGE</t>
        </is>
      </c>
      <c r="G736" t="n">
        <v>2.1</v>
      </c>
      <c r="H736" t="n">
        <v>0</v>
      </c>
      <c r="I736" t="n">
        <v>0</v>
      </c>
      <c r="J736" t="n">
        <v>0</v>
      </c>
      <c r="K736" t="n">
        <v>0</v>
      </c>
      <c r="L736" t="n">
        <v>0</v>
      </c>
      <c r="M736" t="n">
        <v>0</v>
      </c>
      <c r="N736" t="n">
        <v>0</v>
      </c>
      <c r="O736" t="n">
        <v>0</v>
      </c>
      <c r="P736" t="n">
        <v>0</v>
      </c>
      <c r="Q736" t="n">
        <v>0</v>
      </c>
      <c r="R736" s="2" t="inlineStr"/>
    </row>
    <row r="737" ht="15" customHeight="1">
      <c r="A737" t="inlineStr">
        <is>
          <t>A 51439-2018</t>
        </is>
      </c>
      <c r="B737" s="1" t="n">
        <v>43383</v>
      </c>
      <c r="C737" s="1" t="n">
        <v>45212</v>
      </c>
      <c r="D737" t="inlineStr">
        <is>
          <t>VÄSTERNORRLANDS LÄN</t>
        </is>
      </c>
      <c r="E737" t="inlineStr">
        <is>
          <t>ÖRNSKÖLDSVIK</t>
        </is>
      </c>
      <c r="G737" t="n">
        <v>1.4</v>
      </c>
      <c r="H737" t="n">
        <v>0</v>
      </c>
      <c r="I737" t="n">
        <v>0</v>
      </c>
      <c r="J737" t="n">
        <v>0</v>
      </c>
      <c r="K737" t="n">
        <v>0</v>
      </c>
      <c r="L737" t="n">
        <v>0</v>
      </c>
      <c r="M737" t="n">
        <v>0</v>
      </c>
      <c r="N737" t="n">
        <v>0</v>
      </c>
      <c r="O737" t="n">
        <v>0</v>
      </c>
      <c r="P737" t="n">
        <v>0</v>
      </c>
      <c r="Q737" t="n">
        <v>0</v>
      </c>
      <c r="R737" s="2" t="inlineStr"/>
    </row>
    <row r="738" ht="15" customHeight="1">
      <c r="A738" t="inlineStr">
        <is>
          <t>A 52458-2018</t>
        </is>
      </c>
      <c r="B738" s="1" t="n">
        <v>43383</v>
      </c>
      <c r="C738" s="1" t="n">
        <v>45212</v>
      </c>
      <c r="D738" t="inlineStr">
        <is>
          <t>VÄSTERNORRLANDS LÄN</t>
        </is>
      </c>
      <c r="E738" t="inlineStr">
        <is>
          <t>SOLLEFTEÅ</t>
        </is>
      </c>
      <c r="G738" t="n">
        <v>7.6</v>
      </c>
      <c r="H738" t="n">
        <v>0</v>
      </c>
      <c r="I738" t="n">
        <v>0</v>
      </c>
      <c r="J738" t="n">
        <v>0</v>
      </c>
      <c r="K738" t="n">
        <v>0</v>
      </c>
      <c r="L738" t="n">
        <v>0</v>
      </c>
      <c r="M738" t="n">
        <v>0</v>
      </c>
      <c r="N738" t="n">
        <v>0</v>
      </c>
      <c r="O738" t="n">
        <v>0</v>
      </c>
      <c r="P738" t="n">
        <v>0</v>
      </c>
      <c r="Q738" t="n">
        <v>0</v>
      </c>
      <c r="R738" s="2" t="inlineStr"/>
    </row>
    <row r="739" ht="15" customHeight="1">
      <c r="A739" t="inlineStr">
        <is>
          <t>A 52745-2018</t>
        </is>
      </c>
      <c r="B739" s="1" t="n">
        <v>43384</v>
      </c>
      <c r="C739" s="1" t="n">
        <v>45212</v>
      </c>
      <c r="D739" t="inlineStr">
        <is>
          <t>VÄSTERNORRLANDS LÄN</t>
        </is>
      </c>
      <c r="E739" t="inlineStr">
        <is>
          <t>SOLLEFTEÅ</t>
        </is>
      </c>
      <c r="G739" t="n">
        <v>4.7</v>
      </c>
      <c r="H739" t="n">
        <v>0</v>
      </c>
      <c r="I739" t="n">
        <v>0</v>
      </c>
      <c r="J739" t="n">
        <v>0</v>
      </c>
      <c r="K739" t="n">
        <v>0</v>
      </c>
      <c r="L739" t="n">
        <v>0</v>
      </c>
      <c r="M739" t="n">
        <v>0</v>
      </c>
      <c r="N739" t="n">
        <v>0</v>
      </c>
      <c r="O739" t="n">
        <v>0</v>
      </c>
      <c r="P739" t="n">
        <v>0</v>
      </c>
      <c r="Q739" t="n">
        <v>0</v>
      </c>
      <c r="R739" s="2" t="inlineStr"/>
    </row>
    <row r="740" ht="15" customHeight="1">
      <c r="A740" t="inlineStr">
        <is>
          <t>A 53595-2018</t>
        </is>
      </c>
      <c r="B740" s="1" t="n">
        <v>43388</v>
      </c>
      <c r="C740" s="1" t="n">
        <v>45212</v>
      </c>
      <c r="D740" t="inlineStr">
        <is>
          <t>VÄSTERNORRLANDS LÄN</t>
        </is>
      </c>
      <c r="E740" t="inlineStr">
        <is>
          <t>SOLLEFTEÅ</t>
        </is>
      </c>
      <c r="G740" t="n">
        <v>4.5</v>
      </c>
      <c r="H740" t="n">
        <v>0</v>
      </c>
      <c r="I740" t="n">
        <v>0</v>
      </c>
      <c r="J740" t="n">
        <v>0</v>
      </c>
      <c r="K740" t="n">
        <v>0</v>
      </c>
      <c r="L740" t="n">
        <v>0</v>
      </c>
      <c r="M740" t="n">
        <v>0</v>
      </c>
      <c r="N740" t="n">
        <v>0</v>
      </c>
      <c r="O740" t="n">
        <v>0</v>
      </c>
      <c r="P740" t="n">
        <v>0</v>
      </c>
      <c r="Q740" t="n">
        <v>0</v>
      </c>
      <c r="R740" s="2" t="inlineStr"/>
    </row>
    <row r="741" ht="15" customHeight="1">
      <c r="A741" t="inlineStr">
        <is>
          <t>A 54076-2018</t>
        </is>
      </c>
      <c r="B741" s="1" t="n">
        <v>43388</v>
      </c>
      <c r="C741" s="1" t="n">
        <v>45212</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53633-2018</t>
        </is>
      </c>
      <c r="B742" s="1" t="n">
        <v>43388</v>
      </c>
      <c r="C742" s="1" t="n">
        <v>45212</v>
      </c>
      <c r="D742" t="inlineStr">
        <is>
          <t>VÄSTERNORRLANDS LÄN</t>
        </is>
      </c>
      <c r="E742" t="inlineStr">
        <is>
          <t>ÖRNSKÖLDSVIK</t>
        </is>
      </c>
      <c r="G742" t="n">
        <v>5.9</v>
      </c>
      <c r="H742" t="n">
        <v>0</v>
      </c>
      <c r="I742" t="n">
        <v>0</v>
      </c>
      <c r="J742" t="n">
        <v>0</v>
      </c>
      <c r="K742" t="n">
        <v>0</v>
      </c>
      <c r="L742" t="n">
        <v>0</v>
      </c>
      <c r="M742" t="n">
        <v>0</v>
      </c>
      <c r="N742" t="n">
        <v>0</v>
      </c>
      <c r="O742" t="n">
        <v>0</v>
      </c>
      <c r="P742" t="n">
        <v>0</v>
      </c>
      <c r="Q742" t="n">
        <v>0</v>
      </c>
      <c r="R742" s="2" t="inlineStr"/>
    </row>
    <row r="743" ht="15" customHeight="1">
      <c r="A743" t="inlineStr">
        <is>
          <t>A 52456-2018</t>
        </is>
      </c>
      <c r="B743" s="1" t="n">
        <v>43388</v>
      </c>
      <c r="C743" s="1" t="n">
        <v>45212</v>
      </c>
      <c r="D743" t="inlineStr">
        <is>
          <t>VÄSTERNORRLANDS LÄN</t>
        </is>
      </c>
      <c r="E743" t="inlineStr">
        <is>
          <t>ÖRNSKÖLDSVIK</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53642-2018</t>
        </is>
      </c>
      <c r="B744" s="1" t="n">
        <v>43388</v>
      </c>
      <c r="C744" s="1" t="n">
        <v>45212</v>
      </c>
      <c r="D744" t="inlineStr">
        <is>
          <t>VÄSTERNORRLANDS LÄN</t>
        </is>
      </c>
      <c r="E744" t="inlineStr">
        <is>
          <t>KRAMFORS</t>
        </is>
      </c>
      <c r="F744" t="inlineStr">
        <is>
          <t>Kommuner</t>
        </is>
      </c>
      <c r="G744" t="n">
        <v>4.6</v>
      </c>
      <c r="H744" t="n">
        <v>0</v>
      </c>
      <c r="I744" t="n">
        <v>0</v>
      </c>
      <c r="J744" t="n">
        <v>0</v>
      </c>
      <c r="K744" t="n">
        <v>0</v>
      </c>
      <c r="L744" t="n">
        <v>0</v>
      </c>
      <c r="M744" t="n">
        <v>0</v>
      </c>
      <c r="N744" t="n">
        <v>0</v>
      </c>
      <c r="O744" t="n">
        <v>0</v>
      </c>
      <c r="P744" t="n">
        <v>0</v>
      </c>
      <c r="Q744" t="n">
        <v>0</v>
      </c>
      <c r="R744" s="2" t="inlineStr"/>
    </row>
    <row r="745" ht="15" customHeight="1">
      <c r="A745" t="inlineStr">
        <is>
          <t>A 54637-2018</t>
        </is>
      </c>
      <c r="B745" s="1" t="n">
        <v>43389</v>
      </c>
      <c r="C745" s="1" t="n">
        <v>45212</v>
      </c>
      <c r="D745" t="inlineStr">
        <is>
          <t>VÄSTERNORRLANDS LÄN</t>
        </is>
      </c>
      <c r="E745" t="inlineStr">
        <is>
          <t>TIMRÅ</t>
        </is>
      </c>
      <c r="G745" t="n">
        <v>1.3</v>
      </c>
      <c r="H745" t="n">
        <v>0</v>
      </c>
      <c r="I745" t="n">
        <v>0</v>
      </c>
      <c r="J745" t="n">
        <v>0</v>
      </c>
      <c r="K745" t="n">
        <v>0</v>
      </c>
      <c r="L745" t="n">
        <v>0</v>
      </c>
      <c r="M745" t="n">
        <v>0</v>
      </c>
      <c r="N745" t="n">
        <v>0</v>
      </c>
      <c r="O745" t="n">
        <v>0</v>
      </c>
      <c r="P745" t="n">
        <v>0</v>
      </c>
      <c r="Q745" t="n">
        <v>0</v>
      </c>
      <c r="R745" s="2" t="inlineStr"/>
    </row>
    <row r="746" ht="15" customHeight="1">
      <c r="A746" t="inlineStr">
        <is>
          <t>A 56189-2018</t>
        </is>
      </c>
      <c r="B746" s="1" t="n">
        <v>43389</v>
      </c>
      <c r="C746" s="1" t="n">
        <v>45212</v>
      </c>
      <c r="D746" t="inlineStr">
        <is>
          <t>VÄSTERNORRLANDS LÄN</t>
        </is>
      </c>
      <c r="E746" t="inlineStr">
        <is>
          <t>SOLLEFTEÅ</t>
        </is>
      </c>
      <c r="G746" t="n">
        <v>1.2</v>
      </c>
      <c r="H746" t="n">
        <v>0</v>
      </c>
      <c r="I746" t="n">
        <v>0</v>
      </c>
      <c r="J746" t="n">
        <v>0</v>
      </c>
      <c r="K746" t="n">
        <v>0</v>
      </c>
      <c r="L746" t="n">
        <v>0</v>
      </c>
      <c r="M746" t="n">
        <v>0</v>
      </c>
      <c r="N746" t="n">
        <v>0</v>
      </c>
      <c r="O746" t="n">
        <v>0</v>
      </c>
      <c r="P746" t="n">
        <v>0</v>
      </c>
      <c r="Q746" t="n">
        <v>0</v>
      </c>
      <c r="R746" s="2" t="inlineStr"/>
    </row>
    <row r="747" ht="15" customHeight="1">
      <c r="A747" t="inlineStr">
        <is>
          <t>A 54518-2018</t>
        </is>
      </c>
      <c r="B747" s="1" t="n">
        <v>43389</v>
      </c>
      <c r="C747" s="1" t="n">
        <v>45212</v>
      </c>
      <c r="D747" t="inlineStr">
        <is>
          <t>VÄSTERNORRLANDS LÄN</t>
        </is>
      </c>
      <c r="E747" t="inlineStr">
        <is>
          <t>ÖRNSKÖLDSVIK</t>
        </is>
      </c>
      <c r="G747" t="n">
        <v>3.6</v>
      </c>
      <c r="H747" t="n">
        <v>0</v>
      </c>
      <c r="I747" t="n">
        <v>0</v>
      </c>
      <c r="J747" t="n">
        <v>0</v>
      </c>
      <c r="K747" t="n">
        <v>0</v>
      </c>
      <c r="L747" t="n">
        <v>0</v>
      </c>
      <c r="M747" t="n">
        <v>0</v>
      </c>
      <c r="N747" t="n">
        <v>0</v>
      </c>
      <c r="O747" t="n">
        <v>0</v>
      </c>
      <c r="P747" t="n">
        <v>0</v>
      </c>
      <c r="Q747" t="n">
        <v>0</v>
      </c>
      <c r="R747" s="2" t="inlineStr"/>
    </row>
    <row r="748" ht="15" customHeight="1">
      <c r="A748" t="inlineStr">
        <is>
          <t>A 54667-2018</t>
        </is>
      </c>
      <c r="B748" s="1" t="n">
        <v>43389</v>
      </c>
      <c r="C748" s="1" t="n">
        <v>45212</v>
      </c>
      <c r="D748" t="inlineStr">
        <is>
          <t>VÄSTERNORRLANDS LÄN</t>
        </is>
      </c>
      <c r="E748" t="inlineStr">
        <is>
          <t>SOLLEFTEÅ</t>
        </is>
      </c>
      <c r="G748" t="n">
        <v>1.8</v>
      </c>
      <c r="H748" t="n">
        <v>0</v>
      </c>
      <c r="I748" t="n">
        <v>0</v>
      </c>
      <c r="J748" t="n">
        <v>0</v>
      </c>
      <c r="K748" t="n">
        <v>0</v>
      </c>
      <c r="L748" t="n">
        <v>0</v>
      </c>
      <c r="M748" t="n">
        <v>0</v>
      </c>
      <c r="N748" t="n">
        <v>0</v>
      </c>
      <c r="O748" t="n">
        <v>0</v>
      </c>
      <c r="P748" t="n">
        <v>0</v>
      </c>
      <c r="Q748" t="n">
        <v>0</v>
      </c>
      <c r="R748" s="2" t="inlineStr"/>
    </row>
    <row r="749" ht="15" customHeight="1">
      <c r="A749" t="inlineStr">
        <is>
          <t>A 53746-2018</t>
        </is>
      </c>
      <c r="B749" s="1" t="n">
        <v>43391</v>
      </c>
      <c r="C749" s="1" t="n">
        <v>45212</v>
      </c>
      <c r="D749" t="inlineStr">
        <is>
          <t>VÄSTERNORRLANDS LÄN</t>
        </is>
      </c>
      <c r="E749" t="inlineStr">
        <is>
          <t>SOLLEFTEÅ</t>
        </is>
      </c>
      <c r="G749" t="n">
        <v>1</v>
      </c>
      <c r="H749" t="n">
        <v>0</v>
      </c>
      <c r="I749" t="n">
        <v>0</v>
      </c>
      <c r="J749" t="n">
        <v>0</v>
      </c>
      <c r="K749" t="n">
        <v>0</v>
      </c>
      <c r="L749" t="n">
        <v>0</v>
      </c>
      <c r="M749" t="n">
        <v>0</v>
      </c>
      <c r="N749" t="n">
        <v>0</v>
      </c>
      <c r="O749" t="n">
        <v>0</v>
      </c>
      <c r="P749" t="n">
        <v>0</v>
      </c>
      <c r="Q749" t="n">
        <v>0</v>
      </c>
      <c r="R749" s="2" t="inlineStr"/>
    </row>
    <row r="750" ht="15" customHeight="1">
      <c r="A750" t="inlineStr">
        <is>
          <t>A 55442-2018</t>
        </is>
      </c>
      <c r="B750" s="1" t="n">
        <v>43391</v>
      </c>
      <c r="C750" s="1" t="n">
        <v>45212</v>
      </c>
      <c r="D750" t="inlineStr">
        <is>
          <t>VÄSTERNORRLANDS LÄN</t>
        </is>
      </c>
      <c r="E750" t="inlineStr">
        <is>
          <t>SUNDSVALL</t>
        </is>
      </c>
      <c r="G750" t="n">
        <v>1.2</v>
      </c>
      <c r="H750" t="n">
        <v>0</v>
      </c>
      <c r="I750" t="n">
        <v>0</v>
      </c>
      <c r="J750" t="n">
        <v>0</v>
      </c>
      <c r="K750" t="n">
        <v>0</v>
      </c>
      <c r="L750" t="n">
        <v>0</v>
      </c>
      <c r="M750" t="n">
        <v>0</v>
      </c>
      <c r="N750" t="n">
        <v>0</v>
      </c>
      <c r="O750" t="n">
        <v>0</v>
      </c>
      <c r="P750" t="n">
        <v>0</v>
      </c>
      <c r="Q750" t="n">
        <v>0</v>
      </c>
      <c r="R750" s="2" t="inlineStr"/>
    </row>
    <row r="751" ht="15" customHeight="1">
      <c r="A751" t="inlineStr">
        <is>
          <t>A 54936-2018</t>
        </is>
      </c>
      <c r="B751" s="1" t="n">
        <v>43391</v>
      </c>
      <c r="C751" s="1" t="n">
        <v>45212</v>
      </c>
      <c r="D751" t="inlineStr">
        <is>
          <t>VÄSTERNORRLANDS LÄN</t>
        </is>
      </c>
      <c r="E751" t="inlineStr">
        <is>
          <t>ÖRNSKÖLDSVIK</t>
        </is>
      </c>
      <c r="G751" t="n">
        <v>3</v>
      </c>
      <c r="H751" t="n">
        <v>0</v>
      </c>
      <c r="I751" t="n">
        <v>0</v>
      </c>
      <c r="J751" t="n">
        <v>0</v>
      </c>
      <c r="K751" t="n">
        <v>0</v>
      </c>
      <c r="L751" t="n">
        <v>0</v>
      </c>
      <c r="M751" t="n">
        <v>0</v>
      </c>
      <c r="N751" t="n">
        <v>0</v>
      </c>
      <c r="O751" t="n">
        <v>0</v>
      </c>
      <c r="P751" t="n">
        <v>0</v>
      </c>
      <c r="Q751" t="n">
        <v>0</v>
      </c>
      <c r="R751" s="2" t="inlineStr"/>
    </row>
    <row r="752" ht="15" customHeight="1">
      <c r="A752" t="inlineStr">
        <is>
          <t>A 55453-2018</t>
        </is>
      </c>
      <c r="B752" s="1" t="n">
        <v>43391</v>
      </c>
      <c r="C752" s="1" t="n">
        <v>45212</v>
      </c>
      <c r="D752" t="inlineStr">
        <is>
          <t>VÄSTERNORRLANDS LÄN</t>
        </is>
      </c>
      <c r="E752" t="inlineStr">
        <is>
          <t>ÖRNSKÖLDSVIK</t>
        </is>
      </c>
      <c r="G752" t="n">
        <v>7.1</v>
      </c>
      <c r="H752" t="n">
        <v>0</v>
      </c>
      <c r="I752" t="n">
        <v>0</v>
      </c>
      <c r="J752" t="n">
        <v>0</v>
      </c>
      <c r="K752" t="n">
        <v>0</v>
      </c>
      <c r="L752" t="n">
        <v>0</v>
      </c>
      <c r="M752" t="n">
        <v>0</v>
      </c>
      <c r="N752" t="n">
        <v>0</v>
      </c>
      <c r="O752" t="n">
        <v>0</v>
      </c>
      <c r="P752" t="n">
        <v>0</v>
      </c>
      <c r="Q752" t="n">
        <v>0</v>
      </c>
      <c r="R752" s="2" t="inlineStr"/>
    </row>
    <row r="753" ht="15" customHeight="1">
      <c r="A753" t="inlineStr">
        <is>
          <t>A 55523-2018</t>
        </is>
      </c>
      <c r="B753" s="1" t="n">
        <v>43391</v>
      </c>
      <c r="C753" s="1" t="n">
        <v>45212</v>
      </c>
      <c r="D753" t="inlineStr">
        <is>
          <t>VÄSTERNORRLANDS LÄN</t>
        </is>
      </c>
      <c r="E753" t="inlineStr">
        <is>
          <t>KRAMFORS</t>
        </is>
      </c>
      <c r="G753" t="n">
        <v>1.3</v>
      </c>
      <c r="H753" t="n">
        <v>0</v>
      </c>
      <c r="I753" t="n">
        <v>0</v>
      </c>
      <c r="J753" t="n">
        <v>0</v>
      </c>
      <c r="K753" t="n">
        <v>0</v>
      </c>
      <c r="L753" t="n">
        <v>0</v>
      </c>
      <c r="M753" t="n">
        <v>0</v>
      </c>
      <c r="N753" t="n">
        <v>0</v>
      </c>
      <c r="O753" t="n">
        <v>0</v>
      </c>
      <c r="P753" t="n">
        <v>0</v>
      </c>
      <c r="Q753" t="n">
        <v>0</v>
      </c>
      <c r="R753" s="2" t="inlineStr"/>
    </row>
    <row r="754" ht="15" customHeight="1">
      <c r="A754" t="inlineStr">
        <is>
          <t>A 55528-2018</t>
        </is>
      </c>
      <c r="B754" s="1" t="n">
        <v>43391</v>
      </c>
      <c r="C754" s="1" t="n">
        <v>45212</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55476-2018</t>
        </is>
      </c>
      <c r="B755" s="1" t="n">
        <v>43391</v>
      </c>
      <c r="C755" s="1" t="n">
        <v>45212</v>
      </c>
      <c r="D755" t="inlineStr">
        <is>
          <t>VÄSTERNORRLANDS LÄN</t>
        </is>
      </c>
      <c r="E755" t="inlineStr">
        <is>
          <t>ÖRNSKÖLDSVIK</t>
        </is>
      </c>
      <c r="G755" t="n">
        <v>1.5</v>
      </c>
      <c r="H755" t="n">
        <v>0</v>
      </c>
      <c r="I755" t="n">
        <v>0</v>
      </c>
      <c r="J755" t="n">
        <v>0</v>
      </c>
      <c r="K755" t="n">
        <v>0</v>
      </c>
      <c r="L755" t="n">
        <v>0</v>
      </c>
      <c r="M755" t="n">
        <v>0</v>
      </c>
      <c r="N755" t="n">
        <v>0</v>
      </c>
      <c r="O755" t="n">
        <v>0</v>
      </c>
      <c r="P755" t="n">
        <v>0</v>
      </c>
      <c r="Q755" t="n">
        <v>0</v>
      </c>
      <c r="R755" s="2" t="inlineStr"/>
    </row>
    <row r="756" ht="15" customHeight="1">
      <c r="A756" t="inlineStr">
        <is>
          <t>A 54226-2018</t>
        </is>
      </c>
      <c r="B756" s="1" t="n">
        <v>43392</v>
      </c>
      <c r="C756" s="1" t="n">
        <v>45212</v>
      </c>
      <c r="D756" t="inlineStr">
        <is>
          <t>VÄSTERNORRLANDS LÄN</t>
        </is>
      </c>
      <c r="E756" t="inlineStr">
        <is>
          <t>SOLLEFTEÅ</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55445-2018</t>
        </is>
      </c>
      <c r="B757" s="1" t="n">
        <v>43392</v>
      </c>
      <c r="C757" s="1" t="n">
        <v>45212</v>
      </c>
      <c r="D757" t="inlineStr">
        <is>
          <t>VÄSTERNORRLANDS LÄN</t>
        </is>
      </c>
      <c r="E757" t="inlineStr">
        <is>
          <t>ÖRNSKÖLDSVIK</t>
        </is>
      </c>
      <c r="G757" t="n">
        <v>2.6</v>
      </c>
      <c r="H757" t="n">
        <v>0</v>
      </c>
      <c r="I757" t="n">
        <v>0</v>
      </c>
      <c r="J757" t="n">
        <v>0</v>
      </c>
      <c r="K757" t="n">
        <v>0</v>
      </c>
      <c r="L757" t="n">
        <v>0</v>
      </c>
      <c r="M757" t="n">
        <v>0</v>
      </c>
      <c r="N757" t="n">
        <v>0</v>
      </c>
      <c r="O757" t="n">
        <v>0</v>
      </c>
      <c r="P757" t="n">
        <v>0</v>
      </c>
      <c r="Q757" t="n">
        <v>0</v>
      </c>
      <c r="R757" s="2" t="inlineStr"/>
    </row>
    <row r="758" ht="15" customHeight="1">
      <c r="A758" t="inlineStr">
        <is>
          <t>A 55996-2018</t>
        </is>
      </c>
      <c r="B758" s="1" t="n">
        <v>43392</v>
      </c>
      <c r="C758" s="1" t="n">
        <v>45212</v>
      </c>
      <c r="D758" t="inlineStr">
        <is>
          <t>VÄSTERNORRLANDS LÄN</t>
        </is>
      </c>
      <c r="E758" t="inlineStr">
        <is>
          <t>SOLLEFTEÅ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55497-2018</t>
        </is>
      </c>
      <c r="B759" s="1" t="n">
        <v>43392</v>
      </c>
      <c r="C759" s="1" t="n">
        <v>45212</v>
      </c>
      <c r="D759" t="inlineStr">
        <is>
          <t>VÄSTERNORRLANDS LÄN</t>
        </is>
      </c>
      <c r="E759" t="inlineStr">
        <is>
          <t>ÖRNSKÖLDSVIK</t>
        </is>
      </c>
      <c r="G759" t="n">
        <v>4.4</v>
      </c>
      <c r="H759" t="n">
        <v>0</v>
      </c>
      <c r="I759" t="n">
        <v>0</v>
      </c>
      <c r="J759" t="n">
        <v>0</v>
      </c>
      <c r="K759" t="n">
        <v>0</v>
      </c>
      <c r="L759" t="n">
        <v>0</v>
      </c>
      <c r="M759" t="n">
        <v>0</v>
      </c>
      <c r="N759" t="n">
        <v>0</v>
      </c>
      <c r="O759" t="n">
        <v>0</v>
      </c>
      <c r="P759" t="n">
        <v>0</v>
      </c>
      <c r="Q759" t="n">
        <v>0</v>
      </c>
      <c r="R759" s="2" t="inlineStr"/>
    </row>
    <row r="760" ht="15" customHeight="1">
      <c r="A760" t="inlineStr">
        <is>
          <t>A 55778-2018</t>
        </is>
      </c>
      <c r="B760" s="1" t="n">
        <v>43392</v>
      </c>
      <c r="C760" s="1" t="n">
        <v>45212</v>
      </c>
      <c r="D760" t="inlineStr">
        <is>
          <t>VÄSTERNORRLANDS LÄN</t>
        </is>
      </c>
      <c r="E760" t="inlineStr">
        <is>
          <t>KRAMFORS</t>
        </is>
      </c>
      <c r="F760" t="inlineStr">
        <is>
          <t>Kommuner</t>
        </is>
      </c>
      <c r="G760" t="n">
        <v>1</v>
      </c>
      <c r="H760" t="n">
        <v>0</v>
      </c>
      <c r="I760" t="n">
        <v>0</v>
      </c>
      <c r="J760" t="n">
        <v>0</v>
      </c>
      <c r="K760" t="n">
        <v>0</v>
      </c>
      <c r="L760" t="n">
        <v>0</v>
      </c>
      <c r="M760" t="n">
        <v>0</v>
      </c>
      <c r="N760" t="n">
        <v>0</v>
      </c>
      <c r="O760" t="n">
        <v>0</v>
      </c>
      <c r="P760" t="n">
        <v>0</v>
      </c>
      <c r="Q760" t="n">
        <v>0</v>
      </c>
      <c r="R760" s="2" t="inlineStr"/>
    </row>
    <row r="761" ht="15" customHeight="1">
      <c r="A761" t="inlineStr">
        <is>
          <t>A 55499-2018</t>
        </is>
      </c>
      <c r="B761" s="1" t="n">
        <v>43392</v>
      </c>
      <c r="C761" s="1" t="n">
        <v>45212</v>
      </c>
      <c r="D761" t="inlineStr">
        <is>
          <t>VÄSTERNORRLANDS LÄN</t>
        </is>
      </c>
      <c r="E761" t="inlineStr">
        <is>
          <t>ÖRNSKÖLDSVIK</t>
        </is>
      </c>
      <c r="G761" t="n">
        <v>18.7</v>
      </c>
      <c r="H761" t="n">
        <v>0</v>
      </c>
      <c r="I761" t="n">
        <v>0</v>
      </c>
      <c r="J761" t="n">
        <v>0</v>
      </c>
      <c r="K761" t="n">
        <v>0</v>
      </c>
      <c r="L761" t="n">
        <v>0</v>
      </c>
      <c r="M761" t="n">
        <v>0</v>
      </c>
      <c r="N761" t="n">
        <v>0</v>
      </c>
      <c r="O761" t="n">
        <v>0</v>
      </c>
      <c r="P761" t="n">
        <v>0</v>
      </c>
      <c r="Q761" t="n">
        <v>0</v>
      </c>
      <c r="R761" s="2" t="inlineStr"/>
    </row>
    <row r="762" ht="15" customHeight="1">
      <c r="A762" t="inlineStr">
        <is>
          <t>A 55490-2018</t>
        </is>
      </c>
      <c r="B762" s="1" t="n">
        <v>43392</v>
      </c>
      <c r="C762" s="1" t="n">
        <v>45212</v>
      </c>
      <c r="D762" t="inlineStr">
        <is>
          <t>VÄSTERNORRLANDS LÄN</t>
        </is>
      </c>
      <c r="E762" t="inlineStr">
        <is>
          <t>ÖRNSKÖLDSVIK</t>
        </is>
      </c>
      <c r="G762" t="n">
        <v>1.7</v>
      </c>
      <c r="H762" t="n">
        <v>0</v>
      </c>
      <c r="I762" t="n">
        <v>0</v>
      </c>
      <c r="J762" t="n">
        <v>0</v>
      </c>
      <c r="K762" t="n">
        <v>0</v>
      </c>
      <c r="L762" t="n">
        <v>0</v>
      </c>
      <c r="M762" t="n">
        <v>0</v>
      </c>
      <c r="N762" t="n">
        <v>0</v>
      </c>
      <c r="O762" t="n">
        <v>0</v>
      </c>
      <c r="P762" t="n">
        <v>0</v>
      </c>
      <c r="Q762" t="n">
        <v>0</v>
      </c>
      <c r="R762" s="2" t="inlineStr"/>
    </row>
    <row r="763" ht="15" customHeight="1">
      <c r="A763" t="inlineStr">
        <is>
          <t>A 56862-2018</t>
        </is>
      </c>
      <c r="B763" s="1" t="n">
        <v>43395</v>
      </c>
      <c r="C763" s="1" t="n">
        <v>45212</v>
      </c>
      <c r="D763" t="inlineStr">
        <is>
          <t>VÄSTERNORRLANDS LÄN</t>
        </is>
      </c>
      <c r="E763" t="inlineStr">
        <is>
          <t>KRAMFORS</t>
        </is>
      </c>
      <c r="G763" t="n">
        <v>2.2</v>
      </c>
      <c r="H763" t="n">
        <v>0</v>
      </c>
      <c r="I763" t="n">
        <v>0</v>
      </c>
      <c r="J763" t="n">
        <v>0</v>
      </c>
      <c r="K763" t="n">
        <v>0</v>
      </c>
      <c r="L763" t="n">
        <v>0</v>
      </c>
      <c r="M763" t="n">
        <v>0</v>
      </c>
      <c r="N763" t="n">
        <v>0</v>
      </c>
      <c r="O763" t="n">
        <v>0</v>
      </c>
      <c r="P763" t="n">
        <v>0</v>
      </c>
      <c r="Q763" t="n">
        <v>0</v>
      </c>
      <c r="R763" s="2" t="inlineStr"/>
    </row>
    <row r="764" ht="15" customHeight="1">
      <c r="A764" t="inlineStr">
        <is>
          <t>A 54487-2018</t>
        </is>
      </c>
      <c r="B764" s="1" t="n">
        <v>43395</v>
      </c>
      <c r="C764" s="1" t="n">
        <v>45212</v>
      </c>
      <c r="D764" t="inlineStr">
        <is>
          <t>VÄSTERNORRLANDS LÄN</t>
        </is>
      </c>
      <c r="E764" t="inlineStr">
        <is>
          <t>ÖRNSKÖLDSVIK</t>
        </is>
      </c>
      <c r="F764" t="inlineStr">
        <is>
          <t>Holmen skog AB</t>
        </is>
      </c>
      <c r="G764" t="n">
        <v>9.1</v>
      </c>
      <c r="H764" t="n">
        <v>0</v>
      </c>
      <c r="I764" t="n">
        <v>0</v>
      </c>
      <c r="J764" t="n">
        <v>0</v>
      </c>
      <c r="K764" t="n">
        <v>0</v>
      </c>
      <c r="L764" t="n">
        <v>0</v>
      </c>
      <c r="M764" t="n">
        <v>0</v>
      </c>
      <c r="N764" t="n">
        <v>0</v>
      </c>
      <c r="O764" t="n">
        <v>0</v>
      </c>
      <c r="P764" t="n">
        <v>0</v>
      </c>
      <c r="Q764" t="n">
        <v>0</v>
      </c>
      <c r="R764" s="2" t="inlineStr"/>
    </row>
    <row r="765" ht="15" customHeight="1">
      <c r="A765" t="inlineStr">
        <is>
          <t>A 56546-2018</t>
        </is>
      </c>
      <c r="B765" s="1" t="n">
        <v>43395</v>
      </c>
      <c r="C765" s="1" t="n">
        <v>45212</v>
      </c>
      <c r="D765" t="inlineStr">
        <is>
          <t>VÄSTERNORRLANDS LÄN</t>
        </is>
      </c>
      <c r="E765" t="inlineStr">
        <is>
          <t>KRAMFORS</t>
        </is>
      </c>
      <c r="G765" t="n">
        <v>2.5</v>
      </c>
      <c r="H765" t="n">
        <v>0</v>
      </c>
      <c r="I765" t="n">
        <v>0</v>
      </c>
      <c r="J765" t="n">
        <v>0</v>
      </c>
      <c r="K765" t="n">
        <v>0</v>
      </c>
      <c r="L765" t="n">
        <v>0</v>
      </c>
      <c r="M765" t="n">
        <v>0</v>
      </c>
      <c r="N765" t="n">
        <v>0</v>
      </c>
      <c r="O765" t="n">
        <v>0</v>
      </c>
      <c r="P765" t="n">
        <v>0</v>
      </c>
      <c r="Q765" t="n">
        <v>0</v>
      </c>
      <c r="R765" s="2" t="inlineStr"/>
    </row>
    <row r="766" ht="15" customHeight="1">
      <c r="A766" t="inlineStr">
        <is>
          <t>A 56610-2018</t>
        </is>
      </c>
      <c r="B766" s="1" t="n">
        <v>43395</v>
      </c>
      <c r="C766" s="1" t="n">
        <v>45212</v>
      </c>
      <c r="D766" t="inlineStr">
        <is>
          <t>VÄSTERNORRLANDS LÄN</t>
        </is>
      </c>
      <c r="E766" t="inlineStr">
        <is>
          <t>SOLLEFTEÅ</t>
        </is>
      </c>
      <c r="G766" t="n">
        <v>0.5</v>
      </c>
      <c r="H766" t="n">
        <v>0</v>
      </c>
      <c r="I766" t="n">
        <v>0</v>
      </c>
      <c r="J766" t="n">
        <v>0</v>
      </c>
      <c r="K766" t="n">
        <v>0</v>
      </c>
      <c r="L766" t="n">
        <v>0</v>
      </c>
      <c r="M766" t="n">
        <v>0</v>
      </c>
      <c r="N766" t="n">
        <v>0</v>
      </c>
      <c r="O766" t="n">
        <v>0</v>
      </c>
      <c r="P766" t="n">
        <v>0</v>
      </c>
      <c r="Q766" t="n">
        <v>0</v>
      </c>
      <c r="R766" s="2" t="inlineStr"/>
    </row>
    <row r="767" ht="15" customHeight="1">
      <c r="A767" t="inlineStr">
        <is>
          <t>A 55667-2018</t>
        </is>
      </c>
      <c r="B767" s="1" t="n">
        <v>43395</v>
      </c>
      <c r="C767" s="1" t="n">
        <v>45212</v>
      </c>
      <c r="D767" t="inlineStr">
        <is>
          <t>VÄSTERNORRLANDS LÄN</t>
        </is>
      </c>
      <c r="E767" t="inlineStr">
        <is>
          <t>ÖRNSKÖLDSVIK</t>
        </is>
      </c>
      <c r="G767" t="n">
        <v>3.2</v>
      </c>
      <c r="H767" t="n">
        <v>0</v>
      </c>
      <c r="I767" t="n">
        <v>0</v>
      </c>
      <c r="J767" t="n">
        <v>0</v>
      </c>
      <c r="K767" t="n">
        <v>0</v>
      </c>
      <c r="L767" t="n">
        <v>0</v>
      </c>
      <c r="M767" t="n">
        <v>0</v>
      </c>
      <c r="N767" t="n">
        <v>0</v>
      </c>
      <c r="O767" t="n">
        <v>0</v>
      </c>
      <c r="P767" t="n">
        <v>0</v>
      </c>
      <c r="Q767" t="n">
        <v>0</v>
      </c>
      <c r="R767" s="2" t="inlineStr"/>
    </row>
    <row r="768" ht="15" customHeight="1">
      <c r="A768" t="inlineStr">
        <is>
          <t>A 56666-2018</t>
        </is>
      </c>
      <c r="B768" s="1" t="n">
        <v>43395</v>
      </c>
      <c r="C768" s="1" t="n">
        <v>45212</v>
      </c>
      <c r="D768" t="inlineStr">
        <is>
          <t>VÄSTERNORRLANDS LÄN</t>
        </is>
      </c>
      <c r="E768" t="inlineStr">
        <is>
          <t>SOLLEFTEÅ</t>
        </is>
      </c>
      <c r="G768" t="n">
        <v>6</v>
      </c>
      <c r="H768" t="n">
        <v>0</v>
      </c>
      <c r="I768" t="n">
        <v>0</v>
      </c>
      <c r="J768" t="n">
        <v>0</v>
      </c>
      <c r="K768" t="n">
        <v>0</v>
      </c>
      <c r="L768" t="n">
        <v>0</v>
      </c>
      <c r="M768" t="n">
        <v>0</v>
      </c>
      <c r="N768" t="n">
        <v>0</v>
      </c>
      <c r="O768" t="n">
        <v>0</v>
      </c>
      <c r="P768" t="n">
        <v>0</v>
      </c>
      <c r="Q768" t="n">
        <v>0</v>
      </c>
      <c r="R768" s="2" t="inlineStr"/>
    </row>
    <row r="769" ht="15" customHeight="1">
      <c r="A769" t="inlineStr">
        <is>
          <t>A 56629-2018</t>
        </is>
      </c>
      <c r="B769" s="1" t="n">
        <v>43395</v>
      </c>
      <c r="C769" s="1" t="n">
        <v>45212</v>
      </c>
      <c r="D769" t="inlineStr">
        <is>
          <t>VÄSTERNORRLANDS LÄN</t>
        </is>
      </c>
      <c r="E769" t="inlineStr">
        <is>
          <t>SOLLEFTEÅ</t>
        </is>
      </c>
      <c r="G769" t="n">
        <v>10.6</v>
      </c>
      <c r="H769" t="n">
        <v>0</v>
      </c>
      <c r="I769" t="n">
        <v>0</v>
      </c>
      <c r="J769" t="n">
        <v>0</v>
      </c>
      <c r="K769" t="n">
        <v>0</v>
      </c>
      <c r="L769" t="n">
        <v>0</v>
      </c>
      <c r="M769" t="n">
        <v>0</v>
      </c>
      <c r="N769" t="n">
        <v>0</v>
      </c>
      <c r="O769" t="n">
        <v>0</v>
      </c>
      <c r="P769" t="n">
        <v>0</v>
      </c>
      <c r="Q769" t="n">
        <v>0</v>
      </c>
      <c r="R769" s="2" t="inlineStr"/>
    </row>
    <row r="770" ht="15" customHeight="1">
      <c r="A770" t="inlineStr">
        <is>
          <t>A 54818-2018</t>
        </is>
      </c>
      <c r="B770" s="1" t="n">
        <v>43396</v>
      </c>
      <c r="C770" s="1" t="n">
        <v>45212</v>
      </c>
      <c r="D770" t="inlineStr">
        <is>
          <t>VÄSTERNORRLANDS LÄN</t>
        </is>
      </c>
      <c r="E770" t="inlineStr">
        <is>
          <t>ÖRNSKÖLDSVIK</t>
        </is>
      </c>
      <c r="G770" t="n">
        <v>1.1</v>
      </c>
      <c r="H770" t="n">
        <v>0</v>
      </c>
      <c r="I770" t="n">
        <v>0</v>
      </c>
      <c r="J770" t="n">
        <v>0</v>
      </c>
      <c r="K770" t="n">
        <v>0</v>
      </c>
      <c r="L770" t="n">
        <v>0</v>
      </c>
      <c r="M770" t="n">
        <v>0</v>
      </c>
      <c r="N770" t="n">
        <v>0</v>
      </c>
      <c r="O770" t="n">
        <v>0</v>
      </c>
      <c r="P770" t="n">
        <v>0</v>
      </c>
      <c r="Q770" t="n">
        <v>0</v>
      </c>
      <c r="R770" s="2" t="inlineStr"/>
    </row>
    <row r="771" ht="15" customHeight="1">
      <c r="A771" t="inlineStr">
        <is>
          <t>A 55212-2018</t>
        </is>
      </c>
      <c r="B771" s="1" t="n">
        <v>43396</v>
      </c>
      <c r="C771" s="1" t="n">
        <v>45212</v>
      </c>
      <c r="D771" t="inlineStr">
        <is>
          <t>VÄSTERNORRLANDS LÄN</t>
        </is>
      </c>
      <c r="E771" t="inlineStr">
        <is>
          <t>HÄRNÖSAND</t>
        </is>
      </c>
      <c r="F771" t="inlineStr">
        <is>
          <t>SCA</t>
        </is>
      </c>
      <c r="G771" t="n">
        <v>3.9</v>
      </c>
      <c r="H771" t="n">
        <v>0</v>
      </c>
      <c r="I771" t="n">
        <v>0</v>
      </c>
      <c r="J771" t="n">
        <v>0</v>
      </c>
      <c r="K771" t="n">
        <v>0</v>
      </c>
      <c r="L771" t="n">
        <v>0</v>
      </c>
      <c r="M771" t="n">
        <v>0</v>
      </c>
      <c r="N771" t="n">
        <v>0</v>
      </c>
      <c r="O771" t="n">
        <v>0</v>
      </c>
      <c r="P771" t="n">
        <v>0</v>
      </c>
      <c r="Q771" t="n">
        <v>0</v>
      </c>
      <c r="R771" s="2" t="inlineStr"/>
    </row>
    <row r="772" ht="15" customHeight="1">
      <c r="A772" t="inlineStr">
        <is>
          <t>A 57169-2018</t>
        </is>
      </c>
      <c r="B772" s="1" t="n">
        <v>43396</v>
      </c>
      <c r="C772" s="1" t="n">
        <v>45212</v>
      </c>
      <c r="D772" t="inlineStr">
        <is>
          <t>VÄSTERNORRLANDS LÄN</t>
        </is>
      </c>
      <c r="E772" t="inlineStr">
        <is>
          <t>KRAMFORS</t>
        </is>
      </c>
      <c r="G772" t="n">
        <v>13.4</v>
      </c>
      <c r="H772" t="n">
        <v>0</v>
      </c>
      <c r="I772" t="n">
        <v>0</v>
      </c>
      <c r="J772" t="n">
        <v>0</v>
      </c>
      <c r="K772" t="n">
        <v>0</v>
      </c>
      <c r="L772" t="n">
        <v>0</v>
      </c>
      <c r="M772" t="n">
        <v>0</v>
      </c>
      <c r="N772" t="n">
        <v>0</v>
      </c>
      <c r="O772" t="n">
        <v>0</v>
      </c>
      <c r="P772" t="n">
        <v>0</v>
      </c>
      <c r="Q772" t="n">
        <v>0</v>
      </c>
      <c r="R772" s="2" t="inlineStr"/>
    </row>
    <row r="773" ht="15" customHeight="1">
      <c r="A773" t="inlineStr">
        <is>
          <t>A 55322-2018</t>
        </is>
      </c>
      <c r="B773" s="1" t="n">
        <v>43397</v>
      </c>
      <c r="C773" s="1" t="n">
        <v>45212</v>
      </c>
      <c r="D773" t="inlineStr">
        <is>
          <t>VÄSTERNORRLANDS LÄN</t>
        </is>
      </c>
      <c r="E773" t="inlineStr">
        <is>
          <t>ÖRNSKÖLDSVIK</t>
        </is>
      </c>
      <c r="G773" t="n">
        <v>1.6</v>
      </c>
      <c r="H773" t="n">
        <v>0</v>
      </c>
      <c r="I773" t="n">
        <v>0</v>
      </c>
      <c r="J773" t="n">
        <v>0</v>
      </c>
      <c r="K773" t="n">
        <v>0</v>
      </c>
      <c r="L773" t="n">
        <v>0</v>
      </c>
      <c r="M773" t="n">
        <v>0</v>
      </c>
      <c r="N773" t="n">
        <v>0</v>
      </c>
      <c r="O773" t="n">
        <v>0</v>
      </c>
      <c r="P773" t="n">
        <v>0</v>
      </c>
      <c r="Q773" t="n">
        <v>0</v>
      </c>
      <c r="R773" s="2" t="inlineStr"/>
    </row>
    <row r="774" ht="15" customHeight="1">
      <c r="A774" t="inlineStr">
        <is>
          <t>A 55636-2018</t>
        </is>
      </c>
      <c r="B774" s="1" t="n">
        <v>43397</v>
      </c>
      <c r="C774" s="1" t="n">
        <v>45212</v>
      </c>
      <c r="D774" t="inlineStr">
        <is>
          <t>VÄSTERNORRLANDS LÄN</t>
        </is>
      </c>
      <c r="E774" t="inlineStr">
        <is>
          <t>SUNDSVALL</t>
        </is>
      </c>
      <c r="F774" t="inlineStr">
        <is>
          <t>SCA</t>
        </is>
      </c>
      <c r="G774" t="n">
        <v>3.5</v>
      </c>
      <c r="H774" t="n">
        <v>0</v>
      </c>
      <c r="I774" t="n">
        <v>0</v>
      </c>
      <c r="J774" t="n">
        <v>0</v>
      </c>
      <c r="K774" t="n">
        <v>0</v>
      </c>
      <c r="L774" t="n">
        <v>0</v>
      </c>
      <c r="M774" t="n">
        <v>0</v>
      </c>
      <c r="N774" t="n">
        <v>0</v>
      </c>
      <c r="O774" t="n">
        <v>0</v>
      </c>
      <c r="P774" t="n">
        <v>0</v>
      </c>
      <c r="Q774" t="n">
        <v>0</v>
      </c>
      <c r="R774" s="2" t="inlineStr"/>
    </row>
    <row r="775" ht="15" customHeight="1">
      <c r="A775" t="inlineStr">
        <is>
          <t>A 57891-2018</t>
        </is>
      </c>
      <c r="B775" s="1" t="n">
        <v>43397</v>
      </c>
      <c r="C775" s="1" t="n">
        <v>45212</v>
      </c>
      <c r="D775" t="inlineStr">
        <is>
          <t>VÄSTERNORRLANDS LÄN</t>
        </is>
      </c>
      <c r="E775" t="inlineStr">
        <is>
          <t>ÖRNSKÖLDSVIK</t>
        </is>
      </c>
      <c r="G775" t="n">
        <v>1.2</v>
      </c>
      <c r="H775" t="n">
        <v>0</v>
      </c>
      <c r="I775" t="n">
        <v>0</v>
      </c>
      <c r="J775" t="n">
        <v>0</v>
      </c>
      <c r="K775" t="n">
        <v>0</v>
      </c>
      <c r="L775" t="n">
        <v>0</v>
      </c>
      <c r="M775" t="n">
        <v>0</v>
      </c>
      <c r="N775" t="n">
        <v>0</v>
      </c>
      <c r="O775" t="n">
        <v>0</v>
      </c>
      <c r="P775" t="n">
        <v>0</v>
      </c>
      <c r="Q775" t="n">
        <v>0</v>
      </c>
      <c r="R775" s="2" t="inlineStr"/>
    </row>
    <row r="776" ht="15" customHeight="1">
      <c r="A776" t="inlineStr">
        <is>
          <t>A 55639-2018</t>
        </is>
      </c>
      <c r="B776" s="1" t="n">
        <v>43397</v>
      </c>
      <c r="C776" s="1" t="n">
        <v>45212</v>
      </c>
      <c r="D776" t="inlineStr">
        <is>
          <t>VÄSTERNORRLANDS LÄN</t>
        </is>
      </c>
      <c r="E776" t="inlineStr">
        <is>
          <t>SUNDSVALL</t>
        </is>
      </c>
      <c r="F776" t="inlineStr">
        <is>
          <t>SCA</t>
        </is>
      </c>
      <c r="G776" t="n">
        <v>15</v>
      </c>
      <c r="H776" t="n">
        <v>0</v>
      </c>
      <c r="I776" t="n">
        <v>0</v>
      </c>
      <c r="J776" t="n">
        <v>0</v>
      </c>
      <c r="K776" t="n">
        <v>0</v>
      </c>
      <c r="L776" t="n">
        <v>0</v>
      </c>
      <c r="M776" t="n">
        <v>0</v>
      </c>
      <c r="N776" t="n">
        <v>0</v>
      </c>
      <c r="O776" t="n">
        <v>0</v>
      </c>
      <c r="P776" t="n">
        <v>0</v>
      </c>
      <c r="Q776" t="n">
        <v>0</v>
      </c>
      <c r="R776" s="2" t="inlineStr"/>
    </row>
    <row r="777" ht="15" customHeight="1">
      <c r="A777" t="inlineStr">
        <is>
          <t>A 55634-2018</t>
        </is>
      </c>
      <c r="B777" s="1" t="n">
        <v>43397</v>
      </c>
      <c r="C777" s="1" t="n">
        <v>45212</v>
      </c>
      <c r="D777" t="inlineStr">
        <is>
          <t>VÄSTERNORRLANDS LÄN</t>
        </is>
      </c>
      <c r="E777" t="inlineStr">
        <is>
          <t>SUNDSVALL</t>
        </is>
      </c>
      <c r="G777" t="n">
        <v>1.7</v>
      </c>
      <c r="H777" t="n">
        <v>0</v>
      </c>
      <c r="I777" t="n">
        <v>0</v>
      </c>
      <c r="J777" t="n">
        <v>0</v>
      </c>
      <c r="K777" t="n">
        <v>0</v>
      </c>
      <c r="L777" t="n">
        <v>0</v>
      </c>
      <c r="M777" t="n">
        <v>0</v>
      </c>
      <c r="N777" t="n">
        <v>0</v>
      </c>
      <c r="O777" t="n">
        <v>0</v>
      </c>
      <c r="P777" t="n">
        <v>0</v>
      </c>
      <c r="Q777" t="n">
        <v>0</v>
      </c>
      <c r="R777" s="2" t="inlineStr"/>
    </row>
    <row r="778" ht="15" customHeight="1">
      <c r="A778" t="inlineStr">
        <is>
          <t>A 56139-2018</t>
        </is>
      </c>
      <c r="B778" s="1" t="n">
        <v>43398</v>
      </c>
      <c r="C778" s="1" t="n">
        <v>45212</v>
      </c>
      <c r="D778" t="inlineStr">
        <is>
          <t>VÄSTERNORRLANDS LÄN</t>
        </is>
      </c>
      <c r="E778" t="inlineStr">
        <is>
          <t>SOLLEFTEÅ</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58390-2018</t>
        </is>
      </c>
      <c r="B779" s="1" t="n">
        <v>43398</v>
      </c>
      <c r="C779" s="1" t="n">
        <v>45212</v>
      </c>
      <c r="D779" t="inlineStr">
        <is>
          <t>VÄSTERNORRLANDS LÄN</t>
        </is>
      </c>
      <c r="E779" t="inlineStr">
        <is>
          <t>ÖRNSKÖLDSVIK</t>
        </is>
      </c>
      <c r="G779" t="n">
        <v>1.5</v>
      </c>
      <c r="H779" t="n">
        <v>0</v>
      </c>
      <c r="I779" t="n">
        <v>0</v>
      </c>
      <c r="J779" t="n">
        <v>0</v>
      </c>
      <c r="K779" t="n">
        <v>0</v>
      </c>
      <c r="L779" t="n">
        <v>0</v>
      </c>
      <c r="M779" t="n">
        <v>0</v>
      </c>
      <c r="N779" t="n">
        <v>0</v>
      </c>
      <c r="O779" t="n">
        <v>0</v>
      </c>
      <c r="P779" t="n">
        <v>0</v>
      </c>
      <c r="Q779" t="n">
        <v>0</v>
      </c>
      <c r="R779" s="2" t="inlineStr"/>
    </row>
    <row r="780" ht="15" customHeight="1">
      <c r="A780" t="inlineStr">
        <is>
          <t>A 58020-2018</t>
        </is>
      </c>
      <c r="B780" s="1" t="n">
        <v>43398</v>
      </c>
      <c r="C780" s="1" t="n">
        <v>45212</v>
      </c>
      <c r="D780" t="inlineStr">
        <is>
          <t>VÄSTERNORRLANDS LÄN</t>
        </is>
      </c>
      <c r="E780" t="inlineStr">
        <is>
          <t>SOLLEFTEÅ</t>
        </is>
      </c>
      <c r="G780" t="n">
        <v>6.5</v>
      </c>
      <c r="H780" t="n">
        <v>0</v>
      </c>
      <c r="I780" t="n">
        <v>0</v>
      </c>
      <c r="J780" t="n">
        <v>0</v>
      </c>
      <c r="K780" t="n">
        <v>0</v>
      </c>
      <c r="L780" t="n">
        <v>0</v>
      </c>
      <c r="M780" t="n">
        <v>0</v>
      </c>
      <c r="N780" t="n">
        <v>0</v>
      </c>
      <c r="O780" t="n">
        <v>0</v>
      </c>
      <c r="P780" t="n">
        <v>0</v>
      </c>
      <c r="Q780" t="n">
        <v>0</v>
      </c>
      <c r="R780" s="2" t="inlineStr"/>
    </row>
    <row r="781" ht="15" customHeight="1">
      <c r="A781" t="inlineStr">
        <is>
          <t>A 56170-2018</t>
        </is>
      </c>
      <c r="B781" s="1" t="n">
        <v>43399</v>
      </c>
      <c r="C781" s="1" t="n">
        <v>45212</v>
      </c>
      <c r="D781" t="inlineStr">
        <is>
          <t>VÄSTERNORRLANDS LÄN</t>
        </is>
      </c>
      <c r="E781" t="inlineStr">
        <is>
          <t>ÖRNSKÖLDSVIK</t>
        </is>
      </c>
      <c r="G781" t="n">
        <v>1.8</v>
      </c>
      <c r="H781" t="n">
        <v>0</v>
      </c>
      <c r="I781" t="n">
        <v>0</v>
      </c>
      <c r="J781" t="n">
        <v>0</v>
      </c>
      <c r="K781" t="n">
        <v>0</v>
      </c>
      <c r="L781" t="n">
        <v>0</v>
      </c>
      <c r="M781" t="n">
        <v>0</v>
      </c>
      <c r="N781" t="n">
        <v>0</v>
      </c>
      <c r="O781" t="n">
        <v>0</v>
      </c>
      <c r="P781" t="n">
        <v>0</v>
      </c>
      <c r="Q781" t="n">
        <v>0</v>
      </c>
      <c r="R781" s="2" t="inlineStr"/>
    </row>
    <row r="782" ht="15" customHeight="1">
      <c r="A782" t="inlineStr">
        <is>
          <t>A 58397-2018</t>
        </is>
      </c>
      <c r="B782" s="1" t="n">
        <v>43399</v>
      </c>
      <c r="C782" s="1" t="n">
        <v>45212</v>
      </c>
      <c r="D782" t="inlineStr">
        <is>
          <t>VÄSTERNORRLANDS LÄN</t>
        </is>
      </c>
      <c r="E782" t="inlineStr">
        <is>
          <t>SOLLEFTEÅ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58711-2018</t>
        </is>
      </c>
      <c r="B783" s="1" t="n">
        <v>43399</v>
      </c>
      <c r="C783" s="1" t="n">
        <v>45212</v>
      </c>
      <c r="D783" t="inlineStr">
        <is>
          <t>VÄSTERNORRLANDS LÄN</t>
        </is>
      </c>
      <c r="E783" t="inlineStr">
        <is>
          <t>ÖRNSKÖLDSVIK</t>
        </is>
      </c>
      <c r="G783" t="n">
        <v>5</v>
      </c>
      <c r="H783" t="n">
        <v>0</v>
      </c>
      <c r="I783" t="n">
        <v>0</v>
      </c>
      <c r="J783" t="n">
        <v>0</v>
      </c>
      <c r="K783" t="n">
        <v>0</v>
      </c>
      <c r="L783" t="n">
        <v>0</v>
      </c>
      <c r="M783" t="n">
        <v>0</v>
      </c>
      <c r="N783" t="n">
        <v>0</v>
      </c>
      <c r="O783" t="n">
        <v>0</v>
      </c>
      <c r="P783" t="n">
        <v>0</v>
      </c>
      <c r="Q783" t="n">
        <v>0</v>
      </c>
      <c r="R783" s="2" t="inlineStr"/>
    </row>
    <row r="784" ht="15" customHeight="1">
      <c r="A784" t="inlineStr">
        <is>
          <t>A 56420-2018</t>
        </is>
      </c>
      <c r="B784" s="1" t="n">
        <v>43399</v>
      </c>
      <c r="C784" s="1" t="n">
        <v>45212</v>
      </c>
      <c r="D784" t="inlineStr">
        <is>
          <t>VÄSTERNORRLANDS LÄN</t>
        </is>
      </c>
      <c r="E784" t="inlineStr">
        <is>
          <t>ÖRNSKÖLDSVIK</t>
        </is>
      </c>
      <c r="G784" t="n">
        <v>0.4</v>
      </c>
      <c r="H784" t="n">
        <v>0</v>
      </c>
      <c r="I784" t="n">
        <v>0</v>
      </c>
      <c r="J784" t="n">
        <v>0</v>
      </c>
      <c r="K784" t="n">
        <v>0</v>
      </c>
      <c r="L784" t="n">
        <v>0</v>
      </c>
      <c r="M784" t="n">
        <v>0</v>
      </c>
      <c r="N784" t="n">
        <v>0</v>
      </c>
      <c r="O784" t="n">
        <v>0</v>
      </c>
      <c r="P784" t="n">
        <v>0</v>
      </c>
      <c r="Q784" t="n">
        <v>0</v>
      </c>
      <c r="R784" s="2" t="inlineStr"/>
    </row>
    <row r="785" ht="15" customHeight="1">
      <c r="A785" t="inlineStr">
        <is>
          <t>A 58728-2018</t>
        </is>
      </c>
      <c r="B785" s="1" t="n">
        <v>43399</v>
      </c>
      <c r="C785" s="1" t="n">
        <v>45212</v>
      </c>
      <c r="D785" t="inlineStr">
        <is>
          <t>VÄSTERNORRLANDS LÄN</t>
        </is>
      </c>
      <c r="E785" t="inlineStr">
        <is>
          <t>ÖRNSKÖLDSVIK</t>
        </is>
      </c>
      <c r="G785" t="n">
        <v>5</v>
      </c>
      <c r="H785" t="n">
        <v>0</v>
      </c>
      <c r="I785" t="n">
        <v>0</v>
      </c>
      <c r="J785" t="n">
        <v>0</v>
      </c>
      <c r="K785" t="n">
        <v>0</v>
      </c>
      <c r="L785" t="n">
        <v>0</v>
      </c>
      <c r="M785" t="n">
        <v>0</v>
      </c>
      <c r="N785" t="n">
        <v>0</v>
      </c>
      <c r="O785" t="n">
        <v>0</v>
      </c>
      <c r="P785" t="n">
        <v>0</v>
      </c>
      <c r="Q785" t="n">
        <v>0</v>
      </c>
      <c r="R785" s="2" t="inlineStr"/>
    </row>
    <row r="786" ht="15" customHeight="1">
      <c r="A786" t="inlineStr">
        <is>
          <t>A 56500-2018</t>
        </is>
      </c>
      <c r="B786" s="1" t="n">
        <v>43399</v>
      </c>
      <c r="C786" s="1" t="n">
        <v>45212</v>
      </c>
      <c r="D786" t="inlineStr">
        <is>
          <t>VÄSTERNORRLANDS LÄN</t>
        </is>
      </c>
      <c r="E786" t="inlineStr">
        <is>
          <t>SOLLEFTEÅ</t>
        </is>
      </c>
      <c r="F786" t="inlineStr">
        <is>
          <t>SCA</t>
        </is>
      </c>
      <c r="G786" t="n">
        <v>6.7</v>
      </c>
      <c r="H786" t="n">
        <v>0</v>
      </c>
      <c r="I786" t="n">
        <v>0</v>
      </c>
      <c r="J786" t="n">
        <v>0</v>
      </c>
      <c r="K786" t="n">
        <v>0</v>
      </c>
      <c r="L786" t="n">
        <v>0</v>
      </c>
      <c r="M786" t="n">
        <v>0</v>
      </c>
      <c r="N786" t="n">
        <v>0</v>
      </c>
      <c r="O786" t="n">
        <v>0</v>
      </c>
      <c r="P786" t="n">
        <v>0</v>
      </c>
      <c r="Q786" t="n">
        <v>0</v>
      </c>
      <c r="R786" s="2" t="inlineStr"/>
    </row>
    <row r="787" ht="15" customHeight="1">
      <c r="A787" t="inlineStr">
        <is>
          <t>A 58726-2018</t>
        </is>
      </c>
      <c r="B787" s="1" t="n">
        <v>43399</v>
      </c>
      <c r="C787" s="1" t="n">
        <v>45212</v>
      </c>
      <c r="D787" t="inlineStr">
        <is>
          <t>VÄSTERNORRLANDS LÄN</t>
        </is>
      </c>
      <c r="E787" t="inlineStr">
        <is>
          <t>ÖRNSKÖLDSVIK</t>
        </is>
      </c>
      <c r="G787" t="n">
        <v>3.9</v>
      </c>
      <c r="H787" t="n">
        <v>0</v>
      </c>
      <c r="I787" t="n">
        <v>0</v>
      </c>
      <c r="J787" t="n">
        <v>0</v>
      </c>
      <c r="K787" t="n">
        <v>0</v>
      </c>
      <c r="L787" t="n">
        <v>0</v>
      </c>
      <c r="M787" t="n">
        <v>0</v>
      </c>
      <c r="N787" t="n">
        <v>0</v>
      </c>
      <c r="O787" t="n">
        <v>0</v>
      </c>
      <c r="P787" t="n">
        <v>0</v>
      </c>
      <c r="Q787" t="n">
        <v>0</v>
      </c>
      <c r="R787" s="2" t="inlineStr"/>
    </row>
    <row r="788" ht="15" customHeight="1">
      <c r="A788" t="inlineStr">
        <is>
          <t>A 56182-2018</t>
        </is>
      </c>
      <c r="B788" s="1" t="n">
        <v>43399</v>
      </c>
      <c r="C788" s="1" t="n">
        <v>45212</v>
      </c>
      <c r="D788" t="inlineStr">
        <is>
          <t>VÄSTERNORRLANDS LÄN</t>
        </is>
      </c>
      <c r="E788" t="inlineStr">
        <is>
          <t>ÖRNSKÖLDSVIK</t>
        </is>
      </c>
      <c r="G788" t="n">
        <v>1.1</v>
      </c>
      <c r="H788" t="n">
        <v>0</v>
      </c>
      <c r="I788" t="n">
        <v>0</v>
      </c>
      <c r="J788" t="n">
        <v>0</v>
      </c>
      <c r="K788" t="n">
        <v>0</v>
      </c>
      <c r="L788" t="n">
        <v>0</v>
      </c>
      <c r="M788" t="n">
        <v>0</v>
      </c>
      <c r="N788" t="n">
        <v>0</v>
      </c>
      <c r="O788" t="n">
        <v>0</v>
      </c>
      <c r="P788" t="n">
        <v>0</v>
      </c>
      <c r="Q788" t="n">
        <v>0</v>
      </c>
      <c r="R788" s="2" t="inlineStr"/>
    </row>
    <row r="789" ht="15" customHeight="1">
      <c r="A789" t="inlineStr">
        <is>
          <t>A 58839-2018</t>
        </is>
      </c>
      <c r="B789" s="1" t="n">
        <v>43400</v>
      </c>
      <c r="C789" s="1" t="n">
        <v>45212</v>
      </c>
      <c r="D789" t="inlineStr">
        <is>
          <t>VÄSTERNORRLANDS LÄN</t>
        </is>
      </c>
      <c r="E789" t="inlineStr">
        <is>
          <t>SUNDSVALL</t>
        </is>
      </c>
      <c r="G789" t="n">
        <v>0.2</v>
      </c>
      <c r="H789" t="n">
        <v>0</v>
      </c>
      <c r="I789" t="n">
        <v>0</v>
      </c>
      <c r="J789" t="n">
        <v>0</v>
      </c>
      <c r="K789" t="n">
        <v>0</v>
      </c>
      <c r="L789" t="n">
        <v>0</v>
      </c>
      <c r="M789" t="n">
        <v>0</v>
      </c>
      <c r="N789" t="n">
        <v>0</v>
      </c>
      <c r="O789" t="n">
        <v>0</v>
      </c>
      <c r="P789" t="n">
        <v>0</v>
      </c>
      <c r="Q789" t="n">
        <v>0</v>
      </c>
      <c r="R789" s="2" t="inlineStr"/>
    </row>
    <row r="790" ht="15" customHeight="1">
      <c r="A790" t="inlineStr">
        <is>
          <t>A 56842-2018</t>
        </is>
      </c>
      <c r="B790" s="1" t="n">
        <v>43402</v>
      </c>
      <c r="C790" s="1" t="n">
        <v>45212</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56839-2018</t>
        </is>
      </c>
      <c r="B791" s="1" t="n">
        <v>43402</v>
      </c>
      <c r="C791" s="1" t="n">
        <v>45212</v>
      </c>
      <c r="D791" t="inlineStr">
        <is>
          <t>VÄSTERNORRLANDS LÄN</t>
        </is>
      </c>
      <c r="E791" t="inlineStr">
        <is>
          <t>ÅNGE</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56838-2018</t>
        </is>
      </c>
      <c r="B792" s="1" t="n">
        <v>43402</v>
      </c>
      <c r="C792" s="1" t="n">
        <v>45212</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59058-2018</t>
        </is>
      </c>
      <c r="B793" s="1" t="n">
        <v>43403</v>
      </c>
      <c r="C793" s="1" t="n">
        <v>45212</v>
      </c>
      <c r="D793" t="inlineStr">
        <is>
          <t>VÄSTERNORRLANDS LÄN</t>
        </is>
      </c>
      <c r="E793" t="inlineStr">
        <is>
          <t>ÖRNSKÖLDSVIK</t>
        </is>
      </c>
      <c r="G793" t="n">
        <v>8.1</v>
      </c>
      <c r="H793" t="n">
        <v>0</v>
      </c>
      <c r="I793" t="n">
        <v>0</v>
      </c>
      <c r="J793" t="n">
        <v>0</v>
      </c>
      <c r="K793" t="n">
        <v>0</v>
      </c>
      <c r="L793" t="n">
        <v>0</v>
      </c>
      <c r="M793" t="n">
        <v>0</v>
      </c>
      <c r="N793" t="n">
        <v>0</v>
      </c>
      <c r="O793" t="n">
        <v>0</v>
      </c>
      <c r="P793" t="n">
        <v>0</v>
      </c>
      <c r="Q793" t="n">
        <v>0</v>
      </c>
      <c r="R793" s="2" t="inlineStr"/>
    </row>
    <row r="794" ht="15" customHeight="1">
      <c r="A794" t="inlineStr">
        <is>
          <t>A 56900-2018</t>
        </is>
      </c>
      <c r="B794" s="1" t="n">
        <v>43403</v>
      </c>
      <c r="C794" s="1" t="n">
        <v>45212</v>
      </c>
      <c r="D794" t="inlineStr">
        <is>
          <t>VÄSTERNORRLANDS LÄN</t>
        </is>
      </c>
      <c r="E794" t="inlineStr">
        <is>
          <t>TIMRÅ</t>
        </is>
      </c>
      <c r="G794" t="n">
        <v>4.6</v>
      </c>
      <c r="H794" t="n">
        <v>0</v>
      </c>
      <c r="I794" t="n">
        <v>0</v>
      </c>
      <c r="J794" t="n">
        <v>0</v>
      </c>
      <c r="K794" t="n">
        <v>0</v>
      </c>
      <c r="L794" t="n">
        <v>0</v>
      </c>
      <c r="M794" t="n">
        <v>0</v>
      </c>
      <c r="N794" t="n">
        <v>0</v>
      </c>
      <c r="O794" t="n">
        <v>0</v>
      </c>
      <c r="P794" t="n">
        <v>0</v>
      </c>
      <c r="Q794" t="n">
        <v>0</v>
      </c>
      <c r="R794" s="2" t="inlineStr"/>
    </row>
    <row r="795" ht="15" customHeight="1">
      <c r="A795" t="inlineStr">
        <is>
          <t>A 59061-2018</t>
        </is>
      </c>
      <c r="B795" s="1" t="n">
        <v>43403</v>
      </c>
      <c r="C795" s="1" t="n">
        <v>45212</v>
      </c>
      <c r="D795" t="inlineStr">
        <is>
          <t>VÄSTERNORRLANDS LÄN</t>
        </is>
      </c>
      <c r="E795" t="inlineStr">
        <is>
          <t>ÖRNSKÖLDSVIK</t>
        </is>
      </c>
      <c r="G795" t="n">
        <v>1.3</v>
      </c>
      <c r="H795" t="n">
        <v>0</v>
      </c>
      <c r="I795" t="n">
        <v>0</v>
      </c>
      <c r="J795" t="n">
        <v>0</v>
      </c>
      <c r="K795" t="n">
        <v>0</v>
      </c>
      <c r="L795" t="n">
        <v>0</v>
      </c>
      <c r="M795" t="n">
        <v>0</v>
      </c>
      <c r="N795" t="n">
        <v>0</v>
      </c>
      <c r="O795" t="n">
        <v>0</v>
      </c>
      <c r="P795" t="n">
        <v>0</v>
      </c>
      <c r="Q795" t="n">
        <v>0</v>
      </c>
      <c r="R795" s="2" t="inlineStr"/>
    </row>
    <row r="796" ht="15" customHeight="1">
      <c r="A796" t="inlineStr">
        <is>
          <t>A 59202-2018</t>
        </is>
      </c>
      <c r="B796" s="1" t="n">
        <v>43403</v>
      </c>
      <c r="C796" s="1" t="n">
        <v>45212</v>
      </c>
      <c r="D796" t="inlineStr">
        <is>
          <t>VÄSTERNORRLANDS LÄN</t>
        </is>
      </c>
      <c r="E796" t="inlineStr">
        <is>
          <t>ÖRNSKÖLDSVIK</t>
        </is>
      </c>
      <c r="G796" t="n">
        <v>0.5</v>
      </c>
      <c r="H796" t="n">
        <v>0</v>
      </c>
      <c r="I796" t="n">
        <v>0</v>
      </c>
      <c r="J796" t="n">
        <v>0</v>
      </c>
      <c r="K796" t="n">
        <v>0</v>
      </c>
      <c r="L796" t="n">
        <v>0</v>
      </c>
      <c r="M796" t="n">
        <v>0</v>
      </c>
      <c r="N796" t="n">
        <v>0</v>
      </c>
      <c r="O796" t="n">
        <v>0</v>
      </c>
      <c r="P796" t="n">
        <v>0</v>
      </c>
      <c r="Q796" t="n">
        <v>0</v>
      </c>
      <c r="R796" s="2" t="inlineStr"/>
    </row>
    <row r="797" ht="15" customHeight="1">
      <c r="A797" t="inlineStr">
        <is>
          <t>A 57249-2018</t>
        </is>
      </c>
      <c r="B797" s="1" t="n">
        <v>43403</v>
      </c>
      <c r="C797" s="1" t="n">
        <v>45212</v>
      </c>
      <c r="D797" t="inlineStr">
        <is>
          <t>VÄSTERNORRLANDS LÄN</t>
        </is>
      </c>
      <c r="E797" t="inlineStr">
        <is>
          <t>SUNDSVALL</t>
        </is>
      </c>
      <c r="F797" t="inlineStr">
        <is>
          <t>SCA</t>
        </is>
      </c>
      <c r="G797" t="n">
        <v>3.2</v>
      </c>
      <c r="H797" t="n">
        <v>0</v>
      </c>
      <c r="I797" t="n">
        <v>0</v>
      </c>
      <c r="J797" t="n">
        <v>0</v>
      </c>
      <c r="K797" t="n">
        <v>0</v>
      </c>
      <c r="L797" t="n">
        <v>0</v>
      </c>
      <c r="M797" t="n">
        <v>0</v>
      </c>
      <c r="N797" t="n">
        <v>0</v>
      </c>
      <c r="O797" t="n">
        <v>0</v>
      </c>
      <c r="P797" t="n">
        <v>0</v>
      </c>
      <c r="Q797" t="n">
        <v>0</v>
      </c>
      <c r="R797" s="2" t="inlineStr"/>
    </row>
    <row r="798" ht="15" customHeight="1">
      <c r="A798" t="inlineStr">
        <is>
          <t>A 59201-2018</t>
        </is>
      </c>
      <c r="B798" s="1" t="n">
        <v>43403</v>
      </c>
      <c r="C798" s="1" t="n">
        <v>45212</v>
      </c>
      <c r="D798" t="inlineStr">
        <is>
          <t>VÄSTERNORRLANDS LÄN</t>
        </is>
      </c>
      <c r="E798" t="inlineStr">
        <is>
          <t>ÖRNSKÖLDSVIK</t>
        </is>
      </c>
      <c r="G798" t="n">
        <v>1.5</v>
      </c>
      <c r="H798" t="n">
        <v>0</v>
      </c>
      <c r="I798" t="n">
        <v>0</v>
      </c>
      <c r="J798" t="n">
        <v>0</v>
      </c>
      <c r="K798" t="n">
        <v>0</v>
      </c>
      <c r="L798" t="n">
        <v>0</v>
      </c>
      <c r="M798" t="n">
        <v>0</v>
      </c>
      <c r="N798" t="n">
        <v>0</v>
      </c>
      <c r="O798" t="n">
        <v>0</v>
      </c>
      <c r="P798" t="n">
        <v>0</v>
      </c>
      <c r="Q798" t="n">
        <v>0</v>
      </c>
      <c r="R798" s="2" t="inlineStr"/>
    </row>
    <row r="799" ht="15" customHeight="1">
      <c r="A799" t="inlineStr">
        <is>
          <t>A 56944-2018</t>
        </is>
      </c>
      <c r="B799" s="1" t="n">
        <v>43403</v>
      </c>
      <c r="C799" s="1" t="n">
        <v>45212</v>
      </c>
      <c r="D799" t="inlineStr">
        <is>
          <t>VÄSTERNORRLANDS LÄN</t>
        </is>
      </c>
      <c r="E799" t="inlineStr">
        <is>
          <t>SUNDSVALL</t>
        </is>
      </c>
      <c r="F799" t="inlineStr">
        <is>
          <t>Holmen skog AB</t>
        </is>
      </c>
      <c r="G799" t="n">
        <v>25.6</v>
      </c>
      <c r="H799" t="n">
        <v>0</v>
      </c>
      <c r="I799" t="n">
        <v>0</v>
      </c>
      <c r="J799" t="n">
        <v>0</v>
      </c>
      <c r="K799" t="n">
        <v>0</v>
      </c>
      <c r="L799" t="n">
        <v>0</v>
      </c>
      <c r="M799" t="n">
        <v>0</v>
      </c>
      <c r="N799" t="n">
        <v>0</v>
      </c>
      <c r="O799" t="n">
        <v>0</v>
      </c>
      <c r="P799" t="n">
        <v>0</v>
      </c>
      <c r="Q799" t="n">
        <v>0</v>
      </c>
      <c r="R799" s="2" t="inlineStr"/>
    </row>
    <row r="800" ht="15" customHeight="1">
      <c r="A800" t="inlineStr">
        <is>
          <t>A 59203-2018</t>
        </is>
      </c>
      <c r="B800" s="1" t="n">
        <v>43403</v>
      </c>
      <c r="C800" s="1" t="n">
        <v>45212</v>
      </c>
      <c r="D800" t="inlineStr">
        <is>
          <t>VÄSTERNORRLANDS LÄN</t>
        </is>
      </c>
      <c r="E800" t="inlineStr">
        <is>
          <t>ÖRNSKÖLDSVIK</t>
        </is>
      </c>
      <c r="G800" t="n">
        <v>0.8</v>
      </c>
      <c r="H800" t="n">
        <v>0</v>
      </c>
      <c r="I800" t="n">
        <v>0</v>
      </c>
      <c r="J800" t="n">
        <v>0</v>
      </c>
      <c r="K800" t="n">
        <v>0</v>
      </c>
      <c r="L800" t="n">
        <v>0</v>
      </c>
      <c r="M800" t="n">
        <v>0</v>
      </c>
      <c r="N800" t="n">
        <v>0</v>
      </c>
      <c r="O800" t="n">
        <v>0</v>
      </c>
      <c r="P800" t="n">
        <v>0</v>
      </c>
      <c r="Q800" t="n">
        <v>0</v>
      </c>
      <c r="R800" s="2" t="inlineStr"/>
    </row>
    <row r="801" ht="15" customHeight="1">
      <c r="A801" t="inlineStr">
        <is>
          <t>A 57613-2018</t>
        </is>
      </c>
      <c r="B801" s="1" t="n">
        <v>43404</v>
      </c>
      <c r="C801" s="1" t="n">
        <v>45212</v>
      </c>
      <c r="D801" t="inlineStr">
        <is>
          <t>VÄSTERNORRLANDS LÄN</t>
        </is>
      </c>
      <c r="E801" t="inlineStr">
        <is>
          <t>ÅNGE</t>
        </is>
      </c>
      <c r="G801" t="n">
        <v>1.4</v>
      </c>
      <c r="H801" t="n">
        <v>0</v>
      </c>
      <c r="I801" t="n">
        <v>0</v>
      </c>
      <c r="J801" t="n">
        <v>0</v>
      </c>
      <c r="K801" t="n">
        <v>0</v>
      </c>
      <c r="L801" t="n">
        <v>0</v>
      </c>
      <c r="M801" t="n">
        <v>0</v>
      </c>
      <c r="N801" t="n">
        <v>0</v>
      </c>
      <c r="O801" t="n">
        <v>0</v>
      </c>
      <c r="P801" t="n">
        <v>0</v>
      </c>
      <c r="Q801" t="n">
        <v>0</v>
      </c>
      <c r="R801" s="2" t="inlineStr"/>
    </row>
    <row r="802" ht="15" customHeight="1">
      <c r="A802" t="inlineStr">
        <is>
          <t>A 57606-2018</t>
        </is>
      </c>
      <c r="B802" s="1" t="n">
        <v>43404</v>
      </c>
      <c r="C802" s="1" t="n">
        <v>45212</v>
      </c>
      <c r="D802" t="inlineStr">
        <is>
          <t>VÄSTERNORRLANDS LÄN</t>
        </is>
      </c>
      <c r="E802" t="inlineStr">
        <is>
          <t>SUNDSVALL</t>
        </is>
      </c>
      <c r="F802" t="inlineStr">
        <is>
          <t>SCA</t>
        </is>
      </c>
      <c r="G802" t="n">
        <v>6.5</v>
      </c>
      <c r="H802" t="n">
        <v>0</v>
      </c>
      <c r="I802" t="n">
        <v>0</v>
      </c>
      <c r="J802" t="n">
        <v>0</v>
      </c>
      <c r="K802" t="n">
        <v>0</v>
      </c>
      <c r="L802" t="n">
        <v>0</v>
      </c>
      <c r="M802" t="n">
        <v>0</v>
      </c>
      <c r="N802" t="n">
        <v>0</v>
      </c>
      <c r="O802" t="n">
        <v>0</v>
      </c>
      <c r="P802" t="n">
        <v>0</v>
      </c>
      <c r="Q802" t="n">
        <v>0</v>
      </c>
      <c r="R802" s="2" t="inlineStr"/>
    </row>
    <row r="803" ht="15" customHeight="1">
      <c r="A803" t="inlineStr">
        <is>
          <t>A 57619-2018</t>
        </is>
      </c>
      <c r="B803" s="1" t="n">
        <v>43404</v>
      </c>
      <c r="C803" s="1" t="n">
        <v>45212</v>
      </c>
      <c r="D803" t="inlineStr">
        <is>
          <t>VÄSTERNORRLANDS LÄN</t>
        </is>
      </c>
      <c r="E803" t="inlineStr">
        <is>
          <t>SUNDSVALL</t>
        </is>
      </c>
      <c r="F803" t="inlineStr">
        <is>
          <t>SCA</t>
        </is>
      </c>
      <c r="G803" t="n">
        <v>5.3</v>
      </c>
      <c r="H803" t="n">
        <v>0</v>
      </c>
      <c r="I803" t="n">
        <v>0</v>
      </c>
      <c r="J803" t="n">
        <v>0</v>
      </c>
      <c r="K803" t="n">
        <v>0</v>
      </c>
      <c r="L803" t="n">
        <v>0</v>
      </c>
      <c r="M803" t="n">
        <v>0</v>
      </c>
      <c r="N803" t="n">
        <v>0</v>
      </c>
      <c r="O803" t="n">
        <v>0</v>
      </c>
      <c r="P803" t="n">
        <v>0</v>
      </c>
      <c r="Q803" t="n">
        <v>0</v>
      </c>
      <c r="R803" s="2" t="inlineStr"/>
    </row>
    <row r="804" ht="15" customHeight="1">
      <c r="A804" t="inlineStr">
        <is>
          <t>A 59371-2018</t>
        </is>
      </c>
      <c r="B804" s="1" t="n">
        <v>43404</v>
      </c>
      <c r="C804" s="1" t="n">
        <v>45212</v>
      </c>
      <c r="D804" t="inlineStr">
        <is>
          <t>VÄSTERNORRLANDS LÄN</t>
        </is>
      </c>
      <c r="E804" t="inlineStr">
        <is>
          <t>SOLLEFTEÅ</t>
        </is>
      </c>
      <c r="G804" t="n">
        <v>2.5</v>
      </c>
      <c r="H804" t="n">
        <v>0</v>
      </c>
      <c r="I804" t="n">
        <v>0</v>
      </c>
      <c r="J804" t="n">
        <v>0</v>
      </c>
      <c r="K804" t="n">
        <v>0</v>
      </c>
      <c r="L804" t="n">
        <v>0</v>
      </c>
      <c r="M804" t="n">
        <v>0</v>
      </c>
      <c r="N804" t="n">
        <v>0</v>
      </c>
      <c r="O804" t="n">
        <v>0</v>
      </c>
      <c r="P804" t="n">
        <v>0</v>
      </c>
      <c r="Q804" t="n">
        <v>0</v>
      </c>
      <c r="R804" s="2" t="inlineStr"/>
    </row>
    <row r="805" ht="15" customHeight="1">
      <c r="A805" t="inlineStr">
        <is>
          <t>A 57616-2018</t>
        </is>
      </c>
      <c r="B805" s="1" t="n">
        <v>43404</v>
      </c>
      <c r="C805" s="1" t="n">
        <v>45212</v>
      </c>
      <c r="D805" t="inlineStr">
        <is>
          <t>VÄSTERNORRLANDS LÄN</t>
        </is>
      </c>
      <c r="E805" t="inlineStr">
        <is>
          <t>ÅNGE</t>
        </is>
      </c>
      <c r="G805" t="n">
        <v>0.6</v>
      </c>
      <c r="H805" t="n">
        <v>0</v>
      </c>
      <c r="I805" t="n">
        <v>0</v>
      </c>
      <c r="J805" t="n">
        <v>0</v>
      </c>
      <c r="K805" t="n">
        <v>0</v>
      </c>
      <c r="L805" t="n">
        <v>0</v>
      </c>
      <c r="M805" t="n">
        <v>0</v>
      </c>
      <c r="N805" t="n">
        <v>0</v>
      </c>
      <c r="O805" t="n">
        <v>0</v>
      </c>
      <c r="P805" t="n">
        <v>0</v>
      </c>
      <c r="Q805" t="n">
        <v>0</v>
      </c>
      <c r="R805" s="2" t="inlineStr"/>
    </row>
    <row r="806" ht="15" customHeight="1">
      <c r="A806" t="inlineStr">
        <is>
          <t>A 57954-2018</t>
        </is>
      </c>
      <c r="B806" s="1" t="n">
        <v>43405</v>
      </c>
      <c r="C806" s="1" t="n">
        <v>45212</v>
      </c>
      <c r="D806" t="inlineStr">
        <is>
          <t>VÄSTERNORRLANDS LÄN</t>
        </is>
      </c>
      <c r="E806" t="inlineStr">
        <is>
          <t>SOLLEFTEÅ</t>
        </is>
      </c>
      <c r="G806" t="n">
        <v>1.1</v>
      </c>
      <c r="H806" t="n">
        <v>0</v>
      </c>
      <c r="I806" t="n">
        <v>0</v>
      </c>
      <c r="J806" t="n">
        <v>0</v>
      </c>
      <c r="K806" t="n">
        <v>0</v>
      </c>
      <c r="L806" t="n">
        <v>0</v>
      </c>
      <c r="M806" t="n">
        <v>0</v>
      </c>
      <c r="N806" t="n">
        <v>0</v>
      </c>
      <c r="O806" t="n">
        <v>0</v>
      </c>
      <c r="P806" t="n">
        <v>0</v>
      </c>
      <c r="Q806" t="n">
        <v>0</v>
      </c>
      <c r="R806" s="2" t="inlineStr"/>
    </row>
    <row r="807" ht="15" customHeight="1">
      <c r="A807" t="inlineStr">
        <is>
          <t>A 59576-2018</t>
        </is>
      </c>
      <c r="B807" s="1" t="n">
        <v>43405</v>
      </c>
      <c r="C807" s="1" t="n">
        <v>45212</v>
      </c>
      <c r="D807" t="inlineStr">
        <is>
          <t>VÄSTERNORRLANDS LÄN</t>
        </is>
      </c>
      <c r="E807" t="inlineStr">
        <is>
          <t>KRAMFORS</t>
        </is>
      </c>
      <c r="F807" t="inlineStr">
        <is>
          <t>Kommuner</t>
        </is>
      </c>
      <c r="G807" t="n">
        <v>1.1</v>
      </c>
      <c r="H807" t="n">
        <v>0</v>
      </c>
      <c r="I807" t="n">
        <v>0</v>
      </c>
      <c r="J807" t="n">
        <v>0</v>
      </c>
      <c r="K807" t="n">
        <v>0</v>
      </c>
      <c r="L807" t="n">
        <v>0</v>
      </c>
      <c r="M807" t="n">
        <v>0</v>
      </c>
      <c r="N807" t="n">
        <v>0</v>
      </c>
      <c r="O807" t="n">
        <v>0</v>
      </c>
      <c r="P807" t="n">
        <v>0</v>
      </c>
      <c r="Q807" t="n">
        <v>0</v>
      </c>
      <c r="R807" s="2" t="inlineStr"/>
    </row>
    <row r="808" ht="15" customHeight="1">
      <c r="A808" t="inlineStr">
        <is>
          <t>A 57747-2018</t>
        </is>
      </c>
      <c r="B808" s="1" t="n">
        <v>43405</v>
      </c>
      <c r="C808" s="1" t="n">
        <v>45212</v>
      </c>
      <c r="D808" t="inlineStr">
        <is>
          <t>VÄSTERNORRLANDS LÄN</t>
        </is>
      </c>
      <c r="E808" t="inlineStr">
        <is>
          <t>SOLLEFTEÅ</t>
        </is>
      </c>
      <c r="G808" t="n">
        <v>2.4</v>
      </c>
      <c r="H808" t="n">
        <v>0</v>
      </c>
      <c r="I808" t="n">
        <v>0</v>
      </c>
      <c r="J808" t="n">
        <v>0</v>
      </c>
      <c r="K808" t="n">
        <v>0</v>
      </c>
      <c r="L808" t="n">
        <v>0</v>
      </c>
      <c r="M808" t="n">
        <v>0</v>
      </c>
      <c r="N808" t="n">
        <v>0</v>
      </c>
      <c r="O808" t="n">
        <v>0</v>
      </c>
      <c r="P808" t="n">
        <v>0</v>
      </c>
      <c r="Q808" t="n">
        <v>0</v>
      </c>
      <c r="R808" s="2" t="inlineStr"/>
    </row>
    <row r="809" ht="15" customHeight="1">
      <c r="A809" t="inlineStr">
        <is>
          <t>A 57956-2018</t>
        </is>
      </c>
      <c r="B809" s="1" t="n">
        <v>43405</v>
      </c>
      <c r="C809" s="1" t="n">
        <v>45212</v>
      </c>
      <c r="D809" t="inlineStr">
        <is>
          <t>VÄSTERNORRLANDS LÄN</t>
        </is>
      </c>
      <c r="E809" t="inlineStr">
        <is>
          <t>SOLLEFTEÅ</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57727-2018</t>
        </is>
      </c>
      <c r="B810" s="1" t="n">
        <v>43405</v>
      </c>
      <c r="C810" s="1" t="n">
        <v>45212</v>
      </c>
      <c r="D810" t="inlineStr">
        <is>
          <t>VÄSTERNORRLANDS LÄN</t>
        </is>
      </c>
      <c r="E810" t="inlineStr">
        <is>
          <t>ÖRNSKÖLDSVIK</t>
        </is>
      </c>
      <c r="G810" t="n">
        <v>4.8</v>
      </c>
      <c r="H810" t="n">
        <v>0</v>
      </c>
      <c r="I810" t="n">
        <v>0</v>
      </c>
      <c r="J810" t="n">
        <v>0</v>
      </c>
      <c r="K810" t="n">
        <v>0</v>
      </c>
      <c r="L810" t="n">
        <v>0</v>
      </c>
      <c r="M810" t="n">
        <v>0</v>
      </c>
      <c r="N810" t="n">
        <v>0</v>
      </c>
      <c r="O810" t="n">
        <v>0</v>
      </c>
      <c r="P810" t="n">
        <v>0</v>
      </c>
      <c r="Q810" t="n">
        <v>0</v>
      </c>
      <c r="R810" s="2" t="inlineStr"/>
    </row>
    <row r="811" ht="15" customHeight="1">
      <c r="A811" t="inlineStr">
        <is>
          <t>A 60467-2018</t>
        </is>
      </c>
      <c r="B811" s="1" t="n">
        <v>43405</v>
      </c>
      <c r="C811" s="1" t="n">
        <v>45212</v>
      </c>
      <c r="D811" t="inlineStr">
        <is>
          <t>VÄSTERNORRLANDS LÄN</t>
        </is>
      </c>
      <c r="E811" t="inlineStr">
        <is>
          <t>ÖRNSKÖLDSVIK</t>
        </is>
      </c>
      <c r="G811" t="n">
        <v>5.1</v>
      </c>
      <c r="H811" t="n">
        <v>0</v>
      </c>
      <c r="I811" t="n">
        <v>0</v>
      </c>
      <c r="J811" t="n">
        <v>0</v>
      </c>
      <c r="K811" t="n">
        <v>0</v>
      </c>
      <c r="L811" t="n">
        <v>0</v>
      </c>
      <c r="M811" t="n">
        <v>0</v>
      </c>
      <c r="N811" t="n">
        <v>0</v>
      </c>
      <c r="O811" t="n">
        <v>0</v>
      </c>
      <c r="P811" t="n">
        <v>0</v>
      </c>
      <c r="Q811" t="n">
        <v>0</v>
      </c>
      <c r="R811" s="2" t="inlineStr"/>
    </row>
    <row r="812" ht="15" customHeight="1">
      <c r="A812" t="inlineStr">
        <is>
          <t>A 58569-2018</t>
        </is>
      </c>
      <c r="B812" s="1" t="n">
        <v>43409</v>
      </c>
      <c r="C812" s="1" t="n">
        <v>45212</v>
      </c>
      <c r="D812" t="inlineStr">
        <is>
          <t>VÄSTERNORRLANDS LÄN</t>
        </is>
      </c>
      <c r="E812" t="inlineStr">
        <is>
          <t>SUNDSVALL</t>
        </is>
      </c>
      <c r="G812" t="n">
        <v>4.1</v>
      </c>
      <c r="H812" t="n">
        <v>0</v>
      </c>
      <c r="I812" t="n">
        <v>0</v>
      </c>
      <c r="J812" t="n">
        <v>0</v>
      </c>
      <c r="K812" t="n">
        <v>0</v>
      </c>
      <c r="L812" t="n">
        <v>0</v>
      </c>
      <c r="M812" t="n">
        <v>0</v>
      </c>
      <c r="N812" t="n">
        <v>0</v>
      </c>
      <c r="O812" t="n">
        <v>0</v>
      </c>
      <c r="P812" t="n">
        <v>0</v>
      </c>
      <c r="Q812" t="n">
        <v>0</v>
      </c>
      <c r="R812" s="2" t="inlineStr"/>
    </row>
    <row r="813" ht="15" customHeight="1">
      <c r="A813" t="inlineStr">
        <is>
          <t>A 58567-2018</t>
        </is>
      </c>
      <c r="B813" s="1" t="n">
        <v>43409</v>
      </c>
      <c r="C813" s="1" t="n">
        <v>45212</v>
      </c>
      <c r="D813" t="inlineStr">
        <is>
          <t>VÄSTERNORRLANDS LÄN</t>
        </is>
      </c>
      <c r="E813" t="inlineStr">
        <is>
          <t>ÅNGE</t>
        </is>
      </c>
      <c r="F813" t="inlineStr">
        <is>
          <t>SCA</t>
        </is>
      </c>
      <c r="G813" t="n">
        <v>12.7</v>
      </c>
      <c r="H813" t="n">
        <v>0</v>
      </c>
      <c r="I813" t="n">
        <v>0</v>
      </c>
      <c r="J813" t="n">
        <v>0</v>
      </c>
      <c r="K813" t="n">
        <v>0</v>
      </c>
      <c r="L813" t="n">
        <v>0</v>
      </c>
      <c r="M813" t="n">
        <v>0</v>
      </c>
      <c r="N813" t="n">
        <v>0</v>
      </c>
      <c r="O813" t="n">
        <v>0</v>
      </c>
      <c r="P813" t="n">
        <v>0</v>
      </c>
      <c r="Q813" t="n">
        <v>0</v>
      </c>
      <c r="R813" s="2" t="inlineStr"/>
    </row>
    <row r="814" ht="15" customHeight="1">
      <c r="A814" t="inlineStr">
        <is>
          <t>A 60737-2018</t>
        </is>
      </c>
      <c r="B814" s="1" t="n">
        <v>43409</v>
      </c>
      <c r="C814" s="1" t="n">
        <v>45212</v>
      </c>
      <c r="D814" t="inlineStr">
        <is>
          <t>VÄSTERNORRLANDS LÄN</t>
        </is>
      </c>
      <c r="E814" t="inlineStr">
        <is>
          <t>HÄRNÖSAND</t>
        </is>
      </c>
      <c r="G814" t="n">
        <v>2</v>
      </c>
      <c r="H814" t="n">
        <v>0</v>
      </c>
      <c r="I814" t="n">
        <v>0</v>
      </c>
      <c r="J814" t="n">
        <v>0</v>
      </c>
      <c r="K814" t="n">
        <v>0</v>
      </c>
      <c r="L814" t="n">
        <v>0</v>
      </c>
      <c r="M814" t="n">
        <v>0</v>
      </c>
      <c r="N814" t="n">
        <v>0</v>
      </c>
      <c r="O814" t="n">
        <v>0</v>
      </c>
      <c r="P814" t="n">
        <v>0</v>
      </c>
      <c r="Q814" t="n">
        <v>0</v>
      </c>
      <c r="R814" s="2" t="inlineStr"/>
    </row>
    <row r="815" ht="15" customHeight="1">
      <c r="A815" t="inlineStr">
        <is>
          <t>A 58588-2018</t>
        </is>
      </c>
      <c r="B815" s="1" t="n">
        <v>43409</v>
      </c>
      <c r="C815" s="1" t="n">
        <v>45212</v>
      </c>
      <c r="D815" t="inlineStr">
        <is>
          <t>VÄSTERNORRLANDS LÄN</t>
        </is>
      </c>
      <c r="E815" t="inlineStr">
        <is>
          <t>SUNDSVALL</t>
        </is>
      </c>
      <c r="F815" t="inlineStr">
        <is>
          <t>SCA</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58828-2018</t>
        </is>
      </c>
      <c r="B816" s="1" t="n">
        <v>43410</v>
      </c>
      <c r="C816" s="1" t="n">
        <v>45212</v>
      </c>
      <c r="D816" t="inlineStr">
        <is>
          <t>VÄSTERNORRLANDS LÄN</t>
        </is>
      </c>
      <c r="E816" t="inlineStr">
        <is>
          <t>ÖRNSKÖLDSVIK</t>
        </is>
      </c>
      <c r="G816" t="n">
        <v>4.7</v>
      </c>
      <c r="H816" t="n">
        <v>0</v>
      </c>
      <c r="I816" t="n">
        <v>0</v>
      </c>
      <c r="J816" t="n">
        <v>0</v>
      </c>
      <c r="K816" t="n">
        <v>0</v>
      </c>
      <c r="L816" t="n">
        <v>0</v>
      </c>
      <c r="M816" t="n">
        <v>0</v>
      </c>
      <c r="N816" t="n">
        <v>0</v>
      </c>
      <c r="O816" t="n">
        <v>0</v>
      </c>
      <c r="P816" t="n">
        <v>0</v>
      </c>
      <c r="Q816" t="n">
        <v>0</v>
      </c>
      <c r="R816" s="2" t="inlineStr"/>
    </row>
    <row r="817" ht="15" customHeight="1">
      <c r="A817" t="inlineStr">
        <is>
          <t>A 58920-2018</t>
        </is>
      </c>
      <c r="B817" s="1" t="n">
        <v>43410</v>
      </c>
      <c r="C817" s="1" t="n">
        <v>45212</v>
      </c>
      <c r="D817" t="inlineStr">
        <is>
          <t>VÄSTERNORRLANDS LÄN</t>
        </is>
      </c>
      <c r="E817" t="inlineStr">
        <is>
          <t>ÅNGE</t>
        </is>
      </c>
      <c r="G817" t="n">
        <v>2.4</v>
      </c>
      <c r="H817" t="n">
        <v>0</v>
      </c>
      <c r="I817" t="n">
        <v>0</v>
      </c>
      <c r="J817" t="n">
        <v>0</v>
      </c>
      <c r="K817" t="n">
        <v>0</v>
      </c>
      <c r="L817" t="n">
        <v>0</v>
      </c>
      <c r="M817" t="n">
        <v>0</v>
      </c>
      <c r="N817" t="n">
        <v>0</v>
      </c>
      <c r="O817" t="n">
        <v>0</v>
      </c>
      <c r="P817" t="n">
        <v>0</v>
      </c>
      <c r="Q817" t="n">
        <v>0</v>
      </c>
      <c r="R817" s="2" t="inlineStr"/>
    </row>
    <row r="818" ht="15" customHeight="1">
      <c r="A818" t="inlineStr">
        <is>
          <t>A 58790-2018</t>
        </is>
      </c>
      <c r="B818" s="1" t="n">
        <v>43410</v>
      </c>
      <c r="C818" s="1" t="n">
        <v>45212</v>
      </c>
      <c r="D818" t="inlineStr">
        <is>
          <t>VÄSTERNORRLANDS LÄN</t>
        </is>
      </c>
      <c r="E818" t="inlineStr">
        <is>
          <t>ÅNGE</t>
        </is>
      </c>
      <c r="G818" t="n">
        <v>0.7</v>
      </c>
      <c r="H818" t="n">
        <v>0</v>
      </c>
      <c r="I818" t="n">
        <v>0</v>
      </c>
      <c r="J818" t="n">
        <v>0</v>
      </c>
      <c r="K818" t="n">
        <v>0</v>
      </c>
      <c r="L818" t="n">
        <v>0</v>
      </c>
      <c r="M818" t="n">
        <v>0</v>
      </c>
      <c r="N818" t="n">
        <v>0</v>
      </c>
      <c r="O818" t="n">
        <v>0</v>
      </c>
      <c r="P818" t="n">
        <v>0</v>
      </c>
      <c r="Q818" t="n">
        <v>0</v>
      </c>
      <c r="R818" s="2" t="inlineStr"/>
    </row>
    <row r="819" ht="15" customHeight="1">
      <c r="A819" t="inlineStr">
        <is>
          <t>A 59695-2018</t>
        </is>
      </c>
      <c r="B819" s="1" t="n">
        <v>43411</v>
      </c>
      <c r="C819" s="1" t="n">
        <v>45212</v>
      </c>
      <c r="D819" t="inlineStr">
        <is>
          <t>VÄSTERNORRLANDS LÄN</t>
        </is>
      </c>
      <c r="E819" t="inlineStr">
        <is>
          <t>ÖRNSKÖLDSVIK</t>
        </is>
      </c>
      <c r="F819" t="inlineStr">
        <is>
          <t>Holmen skog AB</t>
        </is>
      </c>
      <c r="G819" t="n">
        <v>17.4</v>
      </c>
      <c r="H819" t="n">
        <v>0</v>
      </c>
      <c r="I819" t="n">
        <v>0</v>
      </c>
      <c r="J819" t="n">
        <v>0</v>
      </c>
      <c r="K819" t="n">
        <v>0</v>
      </c>
      <c r="L819" t="n">
        <v>0</v>
      </c>
      <c r="M819" t="n">
        <v>0</v>
      </c>
      <c r="N819" t="n">
        <v>0</v>
      </c>
      <c r="O819" t="n">
        <v>0</v>
      </c>
      <c r="P819" t="n">
        <v>0</v>
      </c>
      <c r="Q819" t="n">
        <v>0</v>
      </c>
      <c r="R819" s="2" t="inlineStr"/>
    </row>
    <row r="820" ht="15" customHeight="1">
      <c r="A820" t="inlineStr">
        <is>
          <t>A 59320-2018</t>
        </is>
      </c>
      <c r="B820" s="1" t="n">
        <v>43411</v>
      </c>
      <c r="C820" s="1" t="n">
        <v>45212</v>
      </c>
      <c r="D820" t="inlineStr">
        <is>
          <t>VÄSTERNORRLANDS LÄN</t>
        </is>
      </c>
      <c r="E820" t="inlineStr">
        <is>
          <t>ÖRNSKÖLDSVIK</t>
        </is>
      </c>
      <c r="F820" t="inlineStr">
        <is>
          <t>Kommuner</t>
        </is>
      </c>
      <c r="G820" t="n">
        <v>2</v>
      </c>
      <c r="H820" t="n">
        <v>0</v>
      </c>
      <c r="I820" t="n">
        <v>0</v>
      </c>
      <c r="J820" t="n">
        <v>0</v>
      </c>
      <c r="K820" t="n">
        <v>0</v>
      </c>
      <c r="L820" t="n">
        <v>0</v>
      </c>
      <c r="M820" t="n">
        <v>0</v>
      </c>
      <c r="N820" t="n">
        <v>0</v>
      </c>
      <c r="O820" t="n">
        <v>0</v>
      </c>
      <c r="P820" t="n">
        <v>0</v>
      </c>
      <c r="Q820" t="n">
        <v>0</v>
      </c>
      <c r="R820" s="2" t="inlineStr"/>
    </row>
    <row r="821" ht="15" customHeight="1">
      <c r="A821" t="inlineStr">
        <is>
          <t>A 59691-2018</t>
        </is>
      </c>
      <c r="B821" s="1" t="n">
        <v>43411</v>
      </c>
      <c r="C821" s="1" t="n">
        <v>45212</v>
      </c>
      <c r="D821" t="inlineStr">
        <is>
          <t>VÄSTERNORRLANDS LÄN</t>
        </is>
      </c>
      <c r="E821" t="inlineStr">
        <is>
          <t>ÅNGE</t>
        </is>
      </c>
      <c r="G821" t="n">
        <v>2.6</v>
      </c>
      <c r="H821" t="n">
        <v>0</v>
      </c>
      <c r="I821" t="n">
        <v>0</v>
      </c>
      <c r="J821" t="n">
        <v>0</v>
      </c>
      <c r="K821" t="n">
        <v>0</v>
      </c>
      <c r="L821" t="n">
        <v>0</v>
      </c>
      <c r="M821" t="n">
        <v>0</v>
      </c>
      <c r="N821" t="n">
        <v>0</v>
      </c>
      <c r="O821" t="n">
        <v>0</v>
      </c>
      <c r="P821" t="n">
        <v>0</v>
      </c>
      <c r="Q821" t="n">
        <v>0</v>
      </c>
      <c r="R821" s="2" t="inlineStr"/>
    </row>
    <row r="822" ht="15" customHeight="1">
      <c r="A822" t="inlineStr">
        <is>
          <t>A 59989-2018</t>
        </is>
      </c>
      <c r="B822" s="1" t="n">
        <v>43411</v>
      </c>
      <c r="C822" s="1" t="n">
        <v>45212</v>
      </c>
      <c r="D822" t="inlineStr">
        <is>
          <t>VÄSTERNORRLANDS LÄN</t>
        </is>
      </c>
      <c r="E822" t="inlineStr">
        <is>
          <t>ÅNGE</t>
        </is>
      </c>
      <c r="F822" t="inlineStr">
        <is>
          <t>SCA</t>
        </is>
      </c>
      <c r="G822" t="n">
        <v>14.2</v>
      </c>
      <c r="H822" t="n">
        <v>0</v>
      </c>
      <c r="I822" t="n">
        <v>0</v>
      </c>
      <c r="J822" t="n">
        <v>0</v>
      </c>
      <c r="K822" t="n">
        <v>0</v>
      </c>
      <c r="L822" t="n">
        <v>0</v>
      </c>
      <c r="M822" t="n">
        <v>0</v>
      </c>
      <c r="N822" t="n">
        <v>0</v>
      </c>
      <c r="O822" t="n">
        <v>0</v>
      </c>
      <c r="P822" t="n">
        <v>0</v>
      </c>
      <c r="Q822" t="n">
        <v>0</v>
      </c>
      <c r="R822" s="2" t="inlineStr"/>
    </row>
    <row r="823" ht="15" customHeight="1">
      <c r="A823" t="inlineStr">
        <is>
          <t>A 58971-2018</t>
        </is>
      </c>
      <c r="B823" s="1" t="n">
        <v>43411</v>
      </c>
      <c r="C823" s="1" t="n">
        <v>45212</v>
      </c>
      <c r="D823" t="inlineStr">
        <is>
          <t>VÄSTERNORRLANDS LÄN</t>
        </is>
      </c>
      <c r="E823" t="inlineStr">
        <is>
          <t>ÅNGE</t>
        </is>
      </c>
      <c r="G823" t="n">
        <v>4.3</v>
      </c>
      <c r="H823" t="n">
        <v>0</v>
      </c>
      <c r="I823" t="n">
        <v>0</v>
      </c>
      <c r="J823" t="n">
        <v>0</v>
      </c>
      <c r="K823" t="n">
        <v>0</v>
      </c>
      <c r="L823" t="n">
        <v>0</v>
      </c>
      <c r="M823" t="n">
        <v>0</v>
      </c>
      <c r="N823" t="n">
        <v>0</v>
      </c>
      <c r="O823" t="n">
        <v>0</v>
      </c>
      <c r="P823" t="n">
        <v>0</v>
      </c>
      <c r="Q823" t="n">
        <v>0</v>
      </c>
      <c r="R823" s="2" t="inlineStr"/>
    </row>
    <row r="824" ht="15" customHeight="1">
      <c r="A824" t="inlineStr">
        <is>
          <t>A 60183-2018</t>
        </is>
      </c>
      <c r="B824" s="1" t="n">
        <v>43412</v>
      </c>
      <c r="C824" s="1" t="n">
        <v>45212</v>
      </c>
      <c r="D824" t="inlineStr">
        <is>
          <t>VÄSTERNORRLANDS LÄN</t>
        </is>
      </c>
      <c r="E824" t="inlineStr">
        <is>
          <t>SUNDSVALL</t>
        </is>
      </c>
      <c r="G824" t="n">
        <v>0.9</v>
      </c>
      <c r="H824" t="n">
        <v>0</v>
      </c>
      <c r="I824" t="n">
        <v>0</v>
      </c>
      <c r="J824" t="n">
        <v>0</v>
      </c>
      <c r="K824" t="n">
        <v>0</v>
      </c>
      <c r="L824" t="n">
        <v>0</v>
      </c>
      <c r="M824" t="n">
        <v>0</v>
      </c>
      <c r="N824" t="n">
        <v>0</v>
      </c>
      <c r="O824" t="n">
        <v>0</v>
      </c>
      <c r="P824" t="n">
        <v>0</v>
      </c>
      <c r="Q824" t="n">
        <v>0</v>
      </c>
      <c r="R824" s="2" t="inlineStr"/>
    </row>
    <row r="825" ht="15" customHeight="1">
      <c r="A825" t="inlineStr">
        <is>
          <t>A 60015-2018</t>
        </is>
      </c>
      <c r="B825" s="1" t="n">
        <v>43412</v>
      </c>
      <c r="C825" s="1" t="n">
        <v>45212</v>
      </c>
      <c r="D825" t="inlineStr">
        <is>
          <t>VÄSTERNORRLANDS LÄN</t>
        </is>
      </c>
      <c r="E825" t="inlineStr">
        <is>
          <t>ÅNGE</t>
        </is>
      </c>
      <c r="G825" t="n">
        <v>0.4</v>
      </c>
      <c r="H825" t="n">
        <v>0</v>
      </c>
      <c r="I825" t="n">
        <v>0</v>
      </c>
      <c r="J825" t="n">
        <v>0</v>
      </c>
      <c r="K825" t="n">
        <v>0</v>
      </c>
      <c r="L825" t="n">
        <v>0</v>
      </c>
      <c r="M825" t="n">
        <v>0</v>
      </c>
      <c r="N825" t="n">
        <v>0</v>
      </c>
      <c r="O825" t="n">
        <v>0</v>
      </c>
      <c r="P825" t="n">
        <v>0</v>
      </c>
      <c r="Q825" t="n">
        <v>0</v>
      </c>
      <c r="R825" s="2" t="inlineStr"/>
    </row>
    <row r="826" ht="15" customHeight="1">
      <c r="A826" t="inlineStr">
        <is>
          <t>A 60119-2018</t>
        </is>
      </c>
      <c r="B826" s="1" t="n">
        <v>43412</v>
      </c>
      <c r="C826" s="1" t="n">
        <v>45212</v>
      </c>
      <c r="D826" t="inlineStr">
        <is>
          <t>VÄSTERNORRLANDS LÄN</t>
        </is>
      </c>
      <c r="E826" t="inlineStr">
        <is>
          <t>ÖRNSKÖLDSVIK</t>
        </is>
      </c>
      <c r="G826" t="n">
        <v>2.1</v>
      </c>
      <c r="H826" t="n">
        <v>0</v>
      </c>
      <c r="I826" t="n">
        <v>0</v>
      </c>
      <c r="J826" t="n">
        <v>0</v>
      </c>
      <c r="K826" t="n">
        <v>0</v>
      </c>
      <c r="L826" t="n">
        <v>0</v>
      </c>
      <c r="M826" t="n">
        <v>0</v>
      </c>
      <c r="N826" t="n">
        <v>0</v>
      </c>
      <c r="O826" t="n">
        <v>0</v>
      </c>
      <c r="P826" t="n">
        <v>0</v>
      </c>
      <c r="Q826" t="n">
        <v>0</v>
      </c>
      <c r="R826" s="2" t="inlineStr"/>
    </row>
    <row r="827" ht="15" customHeight="1">
      <c r="A827" t="inlineStr">
        <is>
          <t>A 60176-2018</t>
        </is>
      </c>
      <c r="B827" s="1" t="n">
        <v>43412</v>
      </c>
      <c r="C827" s="1" t="n">
        <v>45212</v>
      </c>
      <c r="D827" t="inlineStr">
        <is>
          <t>VÄSTERNORRLANDS LÄN</t>
        </is>
      </c>
      <c r="E827" t="inlineStr">
        <is>
          <t>ÅNGE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60184-2018</t>
        </is>
      </c>
      <c r="B828" s="1" t="n">
        <v>43412</v>
      </c>
      <c r="C828" s="1" t="n">
        <v>45212</v>
      </c>
      <c r="D828" t="inlineStr">
        <is>
          <t>VÄSTERNORRLANDS LÄN</t>
        </is>
      </c>
      <c r="E828" t="inlineStr">
        <is>
          <t>SUNDSVALL</t>
        </is>
      </c>
      <c r="G828" t="n">
        <v>1.8</v>
      </c>
      <c r="H828" t="n">
        <v>0</v>
      </c>
      <c r="I828" t="n">
        <v>0</v>
      </c>
      <c r="J828" t="n">
        <v>0</v>
      </c>
      <c r="K828" t="n">
        <v>0</v>
      </c>
      <c r="L828" t="n">
        <v>0</v>
      </c>
      <c r="M828" t="n">
        <v>0</v>
      </c>
      <c r="N828" t="n">
        <v>0</v>
      </c>
      <c r="O828" t="n">
        <v>0</v>
      </c>
      <c r="P828" t="n">
        <v>0</v>
      </c>
      <c r="Q828" t="n">
        <v>0</v>
      </c>
      <c r="R828" s="2" t="inlineStr"/>
    </row>
    <row r="829" ht="15" customHeight="1">
      <c r="A829" t="inlineStr">
        <is>
          <t>A 60212-2018</t>
        </is>
      </c>
      <c r="B829" s="1" t="n">
        <v>43412</v>
      </c>
      <c r="C829" s="1" t="n">
        <v>45212</v>
      </c>
      <c r="D829" t="inlineStr">
        <is>
          <t>VÄSTERNORRLANDS LÄN</t>
        </is>
      </c>
      <c r="E829" t="inlineStr">
        <is>
          <t>SUNDSVALL</t>
        </is>
      </c>
      <c r="G829" t="n">
        <v>1.6</v>
      </c>
      <c r="H829" t="n">
        <v>0</v>
      </c>
      <c r="I829" t="n">
        <v>0</v>
      </c>
      <c r="J829" t="n">
        <v>0</v>
      </c>
      <c r="K829" t="n">
        <v>0</v>
      </c>
      <c r="L829" t="n">
        <v>0</v>
      </c>
      <c r="M829" t="n">
        <v>0</v>
      </c>
      <c r="N829" t="n">
        <v>0</v>
      </c>
      <c r="O829" t="n">
        <v>0</v>
      </c>
      <c r="P829" t="n">
        <v>0</v>
      </c>
      <c r="Q829" t="n">
        <v>0</v>
      </c>
      <c r="R829" s="2" t="inlineStr"/>
    </row>
    <row r="830" ht="15" customHeight="1">
      <c r="A830" t="inlineStr">
        <is>
          <t>A 64851-2018</t>
        </is>
      </c>
      <c r="B830" s="1" t="n">
        <v>43412</v>
      </c>
      <c r="C830" s="1" t="n">
        <v>45212</v>
      </c>
      <c r="D830" t="inlineStr">
        <is>
          <t>VÄSTERNORRLANDS LÄN</t>
        </is>
      </c>
      <c r="E830" t="inlineStr">
        <is>
          <t>ÖRNSKÖLDSVIK</t>
        </is>
      </c>
      <c r="G830" t="n">
        <v>2.4</v>
      </c>
      <c r="H830" t="n">
        <v>0</v>
      </c>
      <c r="I830" t="n">
        <v>0</v>
      </c>
      <c r="J830" t="n">
        <v>0</v>
      </c>
      <c r="K830" t="n">
        <v>0</v>
      </c>
      <c r="L830" t="n">
        <v>0</v>
      </c>
      <c r="M830" t="n">
        <v>0</v>
      </c>
      <c r="N830" t="n">
        <v>0</v>
      </c>
      <c r="O830" t="n">
        <v>0</v>
      </c>
      <c r="P830" t="n">
        <v>0</v>
      </c>
      <c r="Q830" t="n">
        <v>0</v>
      </c>
      <c r="R830" s="2" t="inlineStr"/>
    </row>
    <row r="831" ht="15" customHeight="1">
      <c r="A831" t="inlineStr">
        <is>
          <t>A 60186-2018</t>
        </is>
      </c>
      <c r="B831" s="1" t="n">
        <v>43412</v>
      </c>
      <c r="C831" s="1" t="n">
        <v>45212</v>
      </c>
      <c r="D831" t="inlineStr">
        <is>
          <t>VÄSTERNORRLANDS LÄN</t>
        </is>
      </c>
      <c r="E831" t="inlineStr">
        <is>
          <t>SUNDSVALL</t>
        </is>
      </c>
      <c r="G831" t="n">
        <v>8</v>
      </c>
      <c r="H831" t="n">
        <v>0</v>
      </c>
      <c r="I831" t="n">
        <v>0</v>
      </c>
      <c r="J831" t="n">
        <v>0</v>
      </c>
      <c r="K831" t="n">
        <v>0</v>
      </c>
      <c r="L831" t="n">
        <v>0</v>
      </c>
      <c r="M831" t="n">
        <v>0</v>
      </c>
      <c r="N831" t="n">
        <v>0</v>
      </c>
      <c r="O831" t="n">
        <v>0</v>
      </c>
      <c r="P831" t="n">
        <v>0</v>
      </c>
      <c r="Q831" t="n">
        <v>0</v>
      </c>
      <c r="R831" s="2" t="inlineStr"/>
    </row>
    <row r="832" ht="15" customHeight="1">
      <c r="A832" t="inlineStr">
        <is>
          <t>A 60023-2018</t>
        </is>
      </c>
      <c r="B832" s="1" t="n">
        <v>43412</v>
      </c>
      <c r="C832" s="1" t="n">
        <v>45212</v>
      </c>
      <c r="D832" t="inlineStr">
        <is>
          <t>VÄSTERNORRLANDS LÄN</t>
        </is>
      </c>
      <c r="E832" t="inlineStr">
        <is>
          <t>ÅNGE</t>
        </is>
      </c>
      <c r="G832" t="n">
        <v>1.9</v>
      </c>
      <c r="H832" t="n">
        <v>0</v>
      </c>
      <c r="I832" t="n">
        <v>0</v>
      </c>
      <c r="J832" t="n">
        <v>0</v>
      </c>
      <c r="K832" t="n">
        <v>0</v>
      </c>
      <c r="L832" t="n">
        <v>0</v>
      </c>
      <c r="M832" t="n">
        <v>0</v>
      </c>
      <c r="N832" t="n">
        <v>0</v>
      </c>
      <c r="O832" t="n">
        <v>0</v>
      </c>
      <c r="P832" t="n">
        <v>0</v>
      </c>
      <c r="Q832" t="n">
        <v>0</v>
      </c>
      <c r="R832" s="2" t="inlineStr"/>
    </row>
    <row r="833" ht="15" customHeight="1">
      <c r="A833" t="inlineStr">
        <is>
          <t>A 60057-2018</t>
        </is>
      </c>
      <c r="B833" s="1" t="n">
        <v>43412</v>
      </c>
      <c r="C833" s="1" t="n">
        <v>45212</v>
      </c>
      <c r="D833" t="inlineStr">
        <is>
          <t>VÄSTERNORRLANDS LÄN</t>
        </is>
      </c>
      <c r="E833" t="inlineStr">
        <is>
          <t>SOLLEFTEÅ</t>
        </is>
      </c>
      <c r="F833" t="inlineStr">
        <is>
          <t>Holmen skog AB</t>
        </is>
      </c>
      <c r="G833" t="n">
        <v>1.3</v>
      </c>
      <c r="H833" t="n">
        <v>0</v>
      </c>
      <c r="I833" t="n">
        <v>0</v>
      </c>
      <c r="J833" t="n">
        <v>0</v>
      </c>
      <c r="K833" t="n">
        <v>0</v>
      </c>
      <c r="L833" t="n">
        <v>0</v>
      </c>
      <c r="M833" t="n">
        <v>0</v>
      </c>
      <c r="N833" t="n">
        <v>0</v>
      </c>
      <c r="O833" t="n">
        <v>0</v>
      </c>
      <c r="P833" t="n">
        <v>0</v>
      </c>
      <c r="Q833" t="n">
        <v>0</v>
      </c>
      <c r="R833" s="2" t="inlineStr"/>
    </row>
    <row r="834" ht="15" customHeight="1">
      <c r="A834" t="inlineStr">
        <is>
          <t>A 60068-2018</t>
        </is>
      </c>
      <c r="B834" s="1" t="n">
        <v>43412</v>
      </c>
      <c r="C834" s="1" t="n">
        <v>45212</v>
      </c>
      <c r="D834" t="inlineStr">
        <is>
          <t>VÄSTERNORRLANDS LÄN</t>
        </is>
      </c>
      <c r="E834" t="inlineStr">
        <is>
          <t>TIMRÅ</t>
        </is>
      </c>
      <c r="G834" t="n">
        <v>0.8</v>
      </c>
      <c r="H834" t="n">
        <v>0</v>
      </c>
      <c r="I834" t="n">
        <v>0</v>
      </c>
      <c r="J834" t="n">
        <v>0</v>
      </c>
      <c r="K834" t="n">
        <v>0</v>
      </c>
      <c r="L834" t="n">
        <v>0</v>
      </c>
      <c r="M834" t="n">
        <v>0</v>
      </c>
      <c r="N834" t="n">
        <v>0</v>
      </c>
      <c r="O834" t="n">
        <v>0</v>
      </c>
      <c r="P834" t="n">
        <v>0</v>
      </c>
      <c r="Q834" t="n">
        <v>0</v>
      </c>
      <c r="R834" s="2" t="inlineStr"/>
    </row>
    <row r="835" ht="15" customHeight="1">
      <c r="A835" t="inlineStr">
        <is>
          <t>A 60165-2018</t>
        </is>
      </c>
      <c r="B835" s="1" t="n">
        <v>43412</v>
      </c>
      <c r="C835" s="1" t="n">
        <v>45212</v>
      </c>
      <c r="D835" t="inlineStr">
        <is>
          <t>VÄSTERNORRLANDS LÄN</t>
        </is>
      </c>
      <c r="E835" t="inlineStr">
        <is>
          <t>KRAMFORS</t>
        </is>
      </c>
      <c r="F835" t="inlineStr">
        <is>
          <t>SCA</t>
        </is>
      </c>
      <c r="G835" t="n">
        <v>0.7</v>
      </c>
      <c r="H835" t="n">
        <v>0</v>
      </c>
      <c r="I835" t="n">
        <v>0</v>
      </c>
      <c r="J835" t="n">
        <v>0</v>
      </c>
      <c r="K835" t="n">
        <v>0</v>
      </c>
      <c r="L835" t="n">
        <v>0</v>
      </c>
      <c r="M835" t="n">
        <v>0</v>
      </c>
      <c r="N835" t="n">
        <v>0</v>
      </c>
      <c r="O835" t="n">
        <v>0</v>
      </c>
      <c r="P835" t="n">
        <v>0</v>
      </c>
      <c r="Q835" t="n">
        <v>0</v>
      </c>
      <c r="R835" s="2" t="inlineStr"/>
    </row>
    <row r="836" ht="15" customHeight="1">
      <c r="A836" t="inlineStr">
        <is>
          <t>A 60206-2018</t>
        </is>
      </c>
      <c r="B836" s="1" t="n">
        <v>43412</v>
      </c>
      <c r="C836" s="1" t="n">
        <v>45212</v>
      </c>
      <c r="D836" t="inlineStr">
        <is>
          <t>VÄSTERNORRLANDS LÄN</t>
        </is>
      </c>
      <c r="E836" t="inlineStr">
        <is>
          <t>SOLLEFTEÅ</t>
        </is>
      </c>
      <c r="G836" t="n">
        <v>0.6</v>
      </c>
      <c r="H836" t="n">
        <v>0</v>
      </c>
      <c r="I836" t="n">
        <v>0</v>
      </c>
      <c r="J836" t="n">
        <v>0</v>
      </c>
      <c r="K836" t="n">
        <v>0</v>
      </c>
      <c r="L836" t="n">
        <v>0</v>
      </c>
      <c r="M836" t="n">
        <v>0</v>
      </c>
      <c r="N836" t="n">
        <v>0</v>
      </c>
      <c r="O836" t="n">
        <v>0</v>
      </c>
      <c r="P836" t="n">
        <v>0</v>
      </c>
      <c r="Q836" t="n">
        <v>0</v>
      </c>
      <c r="R836" s="2" t="inlineStr"/>
    </row>
    <row r="837" ht="15" customHeight="1">
      <c r="A837" t="inlineStr">
        <is>
          <t>A 61354-2018</t>
        </is>
      </c>
      <c r="B837" s="1" t="n">
        <v>43412</v>
      </c>
      <c r="C837" s="1" t="n">
        <v>45212</v>
      </c>
      <c r="D837" t="inlineStr">
        <is>
          <t>VÄSTERNORRLANDS LÄN</t>
        </is>
      </c>
      <c r="E837" t="inlineStr">
        <is>
          <t>SUNDSVALL</t>
        </is>
      </c>
      <c r="G837" t="n">
        <v>8.4</v>
      </c>
      <c r="H837" t="n">
        <v>0</v>
      </c>
      <c r="I837" t="n">
        <v>0</v>
      </c>
      <c r="J837" t="n">
        <v>0</v>
      </c>
      <c r="K837" t="n">
        <v>0</v>
      </c>
      <c r="L837" t="n">
        <v>0</v>
      </c>
      <c r="M837" t="n">
        <v>0</v>
      </c>
      <c r="N837" t="n">
        <v>0</v>
      </c>
      <c r="O837" t="n">
        <v>0</v>
      </c>
      <c r="P837" t="n">
        <v>0</v>
      </c>
      <c r="Q837" t="n">
        <v>0</v>
      </c>
      <c r="R837" s="2" t="inlineStr"/>
    </row>
    <row r="838" ht="15" customHeight="1">
      <c r="A838" t="inlineStr">
        <is>
          <t>A 61875-2018</t>
        </is>
      </c>
      <c r="B838" s="1" t="n">
        <v>43413</v>
      </c>
      <c r="C838" s="1" t="n">
        <v>45212</v>
      </c>
      <c r="D838" t="inlineStr">
        <is>
          <t>VÄSTERNORRLANDS LÄN</t>
        </is>
      </c>
      <c r="E838" t="inlineStr">
        <is>
          <t>SUNDSVALL</t>
        </is>
      </c>
      <c r="G838" t="n">
        <v>1.9</v>
      </c>
      <c r="H838" t="n">
        <v>0</v>
      </c>
      <c r="I838" t="n">
        <v>0</v>
      </c>
      <c r="J838" t="n">
        <v>0</v>
      </c>
      <c r="K838" t="n">
        <v>0</v>
      </c>
      <c r="L838" t="n">
        <v>0</v>
      </c>
      <c r="M838" t="n">
        <v>0</v>
      </c>
      <c r="N838" t="n">
        <v>0</v>
      </c>
      <c r="O838" t="n">
        <v>0</v>
      </c>
      <c r="P838" t="n">
        <v>0</v>
      </c>
      <c r="Q838" t="n">
        <v>0</v>
      </c>
      <c r="R838" s="2" t="inlineStr"/>
    </row>
    <row r="839" ht="15" customHeight="1">
      <c r="A839" t="inlineStr">
        <is>
          <t>A 62533-2018</t>
        </is>
      </c>
      <c r="B839" s="1" t="n">
        <v>43413</v>
      </c>
      <c r="C839" s="1" t="n">
        <v>45212</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61684-2018</t>
        </is>
      </c>
      <c r="B840" s="1" t="n">
        <v>43413</v>
      </c>
      <c r="C840" s="1" t="n">
        <v>45212</v>
      </c>
      <c r="D840" t="inlineStr">
        <is>
          <t>VÄSTERNORRLANDS LÄN</t>
        </is>
      </c>
      <c r="E840" t="inlineStr">
        <is>
          <t>ÅNGE</t>
        </is>
      </c>
      <c r="G840" t="n">
        <v>5.6</v>
      </c>
      <c r="H840" t="n">
        <v>0</v>
      </c>
      <c r="I840" t="n">
        <v>0</v>
      </c>
      <c r="J840" t="n">
        <v>0</v>
      </c>
      <c r="K840" t="n">
        <v>0</v>
      </c>
      <c r="L840" t="n">
        <v>0</v>
      </c>
      <c r="M840" t="n">
        <v>0</v>
      </c>
      <c r="N840" t="n">
        <v>0</v>
      </c>
      <c r="O840" t="n">
        <v>0</v>
      </c>
      <c r="P840" t="n">
        <v>0</v>
      </c>
      <c r="Q840" t="n">
        <v>0</v>
      </c>
      <c r="R840" s="2" t="inlineStr"/>
    </row>
    <row r="841" ht="15" customHeight="1">
      <c r="A841" t="inlineStr">
        <is>
          <t>A 60283-2018</t>
        </is>
      </c>
      <c r="B841" s="1" t="n">
        <v>43413</v>
      </c>
      <c r="C841" s="1" t="n">
        <v>45212</v>
      </c>
      <c r="D841" t="inlineStr">
        <is>
          <t>VÄSTERNORRLANDS LÄN</t>
        </is>
      </c>
      <c r="E841" t="inlineStr">
        <is>
          <t>ÖRNSKÖLDSVIK</t>
        </is>
      </c>
      <c r="G841" t="n">
        <v>1.2</v>
      </c>
      <c r="H841" t="n">
        <v>0</v>
      </c>
      <c r="I841" t="n">
        <v>0</v>
      </c>
      <c r="J841" t="n">
        <v>0</v>
      </c>
      <c r="K841" t="n">
        <v>0</v>
      </c>
      <c r="L841" t="n">
        <v>0</v>
      </c>
      <c r="M841" t="n">
        <v>0</v>
      </c>
      <c r="N841" t="n">
        <v>0</v>
      </c>
      <c r="O841" t="n">
        <v>0</v>
      </c>
      <c r="P841" t="n">
        <v>0</v>
      </c>
      <c r="Q841" t="n">
        <v>0</v>
      </c>
      <c r="R841" s="2" t="inlineStr"/>
    </row>
    <row r="842" ht="15" customHeight="1">
      <c r="A842" t="inlineStr">
        <is>
          <t>A 61872-2018</t>
        </is>
      </c>
      <c r="B842" s="1" t="n">
        <v>43413</v>
      </c>
      <c r="C842" s="1" t="n">
        <v>45212</v>
      </c>
      <c r="D842" t="inlineStr">
        <is>
          <t>VÄSTERNORRLANDS LÄN</t>
        </is>
      </c>
      <c r="E842" t="inlineStr">
        <is>
          <t>SUNDSVALL</t>
        </is>
      </c>
      <c r="G842" t="n">
        <v>2.1</v>
      </c>
      <c r="H842" t="n">
        <v>0</v>
      </c>
      <c r="I842" t="n">
        <v>0</v>
      </c>
      <c r="J842" t="n">
        <v>0</v>
      </c>
      <c r="K842" t="n">
        <v>0</v>
      </c>
      <c r="L842" t="n">
        <v>0</v>
      </c>
      <c r="M842" t="n">
        <v>0</v>
      </c>
      <c r="N842" t="n">
        <v>0</v>
      </c>
      <c r="O842" t="n">
        <v>0</v>
      </c>
      <c r="P842" t="n">
        <v>0</v>
      </c>
      <c r="Q842" t="n">
        <v>0</v>
      </c>
      <c r="R842" s="2" t="inlineStr"/>
    </row>
    <row r="843" ht="15" customHeight="1">
      <c r="A843" t="inlineStr">
        <is>
          <t>A 62523-2018</t>
        </is>
      </c>
      <c r="B843" s="1" t="n">
        <v>43413</v>
      </c>
      <c r="C843" s="1" t="n">
        <v>45212</v>
      </c>
      <c r="D843" t="inlineStr">
        <is>
          <t>VÄSTERNORRLANDS LÄN</t>
        </is>
      </c>
      <c r="E843" t="inlineStr">
        <is>
          <t>SUNDSVALL</t>
        </is>
      </c>
      <c r="G843" t="n">
        <v>2.7</v>
      </c>
      <c r="H843" t="n">
        <v>0</v>
      </c>
      <c r="I843" t="n">
        <v>0</v>
      </c>
      <c r="J843" t="n">
        <v>0</v>
      </c>
      <c r="K843" t="n">
        <v>0</v>
      </c>
      <c r="L843" t="n">
        <v>0</v>
      </c>
      <c r="M843" t="n">
        <v>0</v>
      </c>
      <c r="N843" t="n">
        <v>0</v>
      </c>
      <c r="O843" t="n">
        <v>0</v>
      </c>
      <c r="P843" t="n">
        <v>0</v>
      </c>
      <c r="Q843" t="n">
        <v>0</v>
      </c>
      <c r="R843" s="2" t="inlineStr"/>
    </row>
    <row r="844" ht="15" customHeight="1">
      <c r="A844" t="inlineStr">
        <is>
          <t>A 62444-2018</t>
        </is>
      </c>
      <c r="B844" s="1" t="n">
        <v>43415</v>
      </c>
      <c r="C844" s="1" t="n">
        <v>45212</v>
      </c>
      <c r="D844" t="inlineStr">
        <is>
          <t>VÄSTERNORRLANDS LÄN</t>
        </is>
      </c>
      <c r="E844" t="inlineStr">
        <is>
          <t>ÖRNSKÖLDSVIK</t>
        </is>
      </c>
      <c r="G844" t="n">
        <v>3.5</v>
      </c>
      <c r="H844" t="n">
        <v>0</v>
      </c>
      <c r="I844" t="n">
        <v>0</v>
      </c>
      <c r="J844" t="n">
        <v>0</v>
      </c>
      <c r="K844" t="n">
        <v>0</v>
      </c>
      <c r="L844" t="n">
        <v>0</v>
      </c>
      <c r="M844" t="n">
        <v>0</v>
      </c>
      <c r="N844" t="n">
        <v>0</v>
      </c>
      <c r="O844" t="n">
        <v>0</v>
      </c>
      <c r="P844" t="n">
        <v>0</v>
      </c>
      <c r="Q844" t="n">
        <v>0</v>
      </c>
      <c r="R844" s="2" t="inlineStr"/>
    </row>
    <row r="845" ht="15" customHeight="1">
      <c r="A845" t="inlineStr">
        <is>
          <t>A 62037-2018</t>
        </is>
      </c>
      <c r="B845" s="1" t="n">
        <v>43416</v>
      </c>
      <c r="C845" s="1" t="n">
        <v>45212</v>
      </c>
      <c r="D845" t="inlineStr">
        <is>
          <t>VÄSTERNORRLANDS LÄN</t>
        </is>
      </c>
      <c r="E845" t="inlineStr">
        <is>
          <t>KRAMFORS</t>
        </is>
      </c>
      <c r="G845" t="n">
        <v>0.5</v>
      </c>
      <c r="H845" t="n">
        <v>0</v>
      </c>
      <c r="I845" t="n">
        <v>0</v>
      </c>
      <c r="J845" t="n">
        <v>0</v>
      </c>
      <c r="K845" t="n">
        <v>0</v>
      </c>
      <c r="L845" t="n">
        <v>0</v>
      </c>
      <c r="M845" t="n">
        <v>0</v>
      </c>
      <c r="N845" t="n">
        <v>0</v>
      </c>
      <c r="O845" t="n">
        <v>0</v>
      </c>
      <c r="P845" t="n">
        <v>0</v>
      </c>
      <c r="Q845" t="n">
        <v>0</v>
      </c>
      <c r="R845" s="2" t="inlineStr"/>
    </row>
    <row r="846" ht="15" customHeight="1">
      <c r="A846" t="inlineStr">
        <is>
          <t>A 62072-2018</t>
        </is>
      </c>
      <c r="B846" s="1" t="n">
        <v>43416</v>
      </c>
      <c r="C846" s="1" t="n">
        <v>45212</v>
      </c>
      <c r="D846" t="inlineStr">
        <is>
          <t>VÄSTERNORRLANDS LÄN</t>
        </is>
      </c>
      <c r="E846" t="inlineStr">
        <is>
          <t>ÅNGE</t>
        </is>
      </c>
      <c r="F846" t="inlineStr">
        <is>
          <t>Holmen skog AB</t>
        </is>
      </c>
      <c r="G846" t="n">
        <v>2.8</v>
      </c>
      <c r="H846" t="n">
        <v>0</v>
      </c>
      <c r="I846" t="n">
        <v>0</v>
      </c>
      <c r="J846" t="n">
        <v>0</v>
      </c>
      <c r="K846" t="n">
        <v>0</v>
      </c>
      <c r="L846" t="n">
        <v>0</v>
      </c>
      <c r="M846" t="n">
        <v>0</v>
      </c>
      <c r="N846" t="n">
        <v>0</v>
      </c>
      <c r="O846" t="n">
        <v>0</v>
      </c>
      <c r="P846" t="n">
        <v>0</v>
      </c>
      <c r="Q846" t="n">
        <v>0</v>
      </c>
      <c r="R846" s="2" t="inlineStr"/>
    </row>
    <row r="847" ht="15" customHeight="1">
      <c r="A847" t="inlineStr">
        <is>
          <t>A 62604-2018</t>
        </is>
      </c>
      <c r="B847" s="1" t="n">
        <v>43416</v>
      </c>
      <c r="C847" s="1" t="n">
        <v>45212</v>
      </c>
      <c r="D847" t="inlineStr">
        <is>
          <t>VÄSTERNORRLANDS LÄN</t>
        </is>
      </c>
      <c r="E847" t="inlineStr">
        <is>
          <t>SOLLEFTEÅ</t>
        </is>
      </c>
      <c r="G847" t="n">
        <v>2.5</v>
      </c>
      <c r="H847" t="n">
        <v>0</v>
      </c>
      <c r="I847" t="n">
        <v>0</v>
      </c>
      <c r="J847" t="n">
        <v>0</v>
      </c>
      <c r="K847" t="n">
        <v>0</v>
      </c>
      <c r="L847" t="n">
        <v>0</v>
      </c>
      <c r="M847" t="n">
        <v>0</v>
      </c>
      <c r="N847" t="n">
        <v>0</v>
      </c>
      <c r="O847" t="n">
        <v>0</v>
      </c>
      <c r="P847" t="n">
        <v>0</v>
      </c>
      <c r="Q847" t="n">
        <v>0</v>
      </c>
      <c r="R847" s="2" t="inlineStr"/>
    </row>
    <row r="848" ht="15" customHeight="1">
      <c r="A848" t="inlineStr">
        <is>
          <t>A 63387-2018</t>
        </is>
      </c>
      <c r="B848" s="1" t="n">
        <v>43416</v>
      </c>
      <c r="C848" s="1" t="n">
        <v>45212</v>
      </c>
      <c r="D848" t="inlineStr">
        <is>
          <t>VÄSTERNORRLANDS LÄN</t>
        </is>
      </c>
      <c r="E848" t="inlineStr">
        <is>
          <t>ÅNGE</t>
        </is>
      </c>
      <c r="G848" t="n">
        <v>6.7</v>
      </c>
      <c r="H848" t="n">
        <v>0</v>
      </c>
      <c r="I848" t="n">
        <v>0</v>
      </c>
      <c r="J848" t="n">
        <v>0</v>
      </c>
      <c r="K848" t="n">
        <v>0</v>
      </c>
      <c r="L848" t="n">
        <v>0</v>
      </c>
      <c r="M848" t="n">
        <v>0</v>
      </c>
      <c r="N848" t="n">
        <v>0</v>
      </c>
      <c r="O848" t="n">
        <v>0</v>
      </c>
      <c r="P848" t="n">
        <v>0</v>
      </c>
      <c r="Q848" t="n">
        <v>0</v>
      </c>
      <c r="R848" s="2" t="inlineStr"/>
    </row>
    <row r="849" ht="15" customHeight="1">
      <c r="A849" t="inlineStr">
        <is>
          <t>A 62571-2018</t>
        </is>
      </c>
      <c r="B849" s="1" t="n">
        <v>43416</v>
      </c>
      <c r="C849" s="1" t="n">
        <v>45212</v>
      </c>
      <c r="D849" t="inlineStr">
        <is>
          <t>VÄSTERNORRLANDS LÄN</t>
        </is>
      </c>
      <c r="E849" t="inlineStr">
        <is>
          <t>SOLLEFTEÅ</t>
        </is>
      </c>
      <c r="G849" t="n">
        <v>0.5</v>
      </c>
      <c r="H849" t="n">
        <v>0</v>
      </c>
      <c r="I849" t="n">
        <v>0</v>
      </c>
      <c r="J849" t="n">
        <v>0</v>
      </c>
      <c r="K849" t="n">
        <v>0</v>
      </c>
      <c r="L849" t="n">
        <v>0</v>
      </c>
      <c r="M849" t="n">
        <v>0</v>
      </c>
      <c r="N849" t="n">
        <v>0</v>
      </c>
      <c r="O849" t="n">
        <v>0</v>
      </c>
      <c r="P849" t="n">
        <v>0</v>
      </c>
      <c r="Q849" t="n">
        <v>0</v>
      </c>
      <c r="R849" s="2" t="inlineStr"/>
    </row>
    <row r="850" ht="15" customHeight="1">
      <c r="A850" t="inlineStr">
        <is>
          <t>A 61992-2018</t>
        </is>
      </c>
      <c r="B850" s="1" t="n">
        <v>43417</v>
      </c>
      <c r="C850" s="1" t="n">
        <v>45212</v>
      </c>
      <c r="D850" t="inlineStr">
        <is>
          <t>VÄSTERNORRLANDS LÄN</t>
        </is>
      </c>
      <c r="E850" t="inlineStr">
        <is>
          <t>ÖRNSKÖLDSVIK</t>
        </is>
      </c>
      <c r="G850" t="n">
        <v>0.6</v>
      </c>
      <c r="H850" t="n">
        <v>0</v>
      </c>
      <c r="I850" t="n">
        <v>0</v>
      </c>
      <c r="J850" t="n">
        <v>0</v>
      </c>
      <c r="K850" t="n">
        <v>0</v>
      </c>
      <c r="L850" t="n">
        <v>0</v>
      </c>
      <c r="M850" t="n">
        <v>0</v>
      </c>
      <c r="N850" t="n">
        <v>0</v>
      </c>
      <c r="O850" t="n">
        <v>0</v>
      </c>
      <c r="P850" t="n">
        <v>0</v>
      </c>
      <c r="Q850" t="n">
        <v>0</v>
      </c>
      <c r="R850" s="2" t="inlineStr"/>
    </row>
    <row r="851" ht="15" customHeight="1">
      <c r="A851" t="inlineStr">
        <is>
          <t>A 62002-2018</t>
        </is>
      </c>
      <c r="B851" s="1" t="n">
        <v>43417</v>
      </c>
      <c r="C851" s="1" t="n">
        <v>45212</v>
      </c>
      <c r="D851" t="inlineStr">
        <is>
          <t>VÄSTERNORRLANDS LÄN</t>
        </is>
      </c>
      <c r="E851" t="inlineStr">
        <is>
          <t>ÖRNSKÖLDSVIK</t>
        </is>
      </c>
      <c r="G851" t="n">
        <v>2.7</v>
      </c>
      <c r="H851" t="n">
        <v>0</v>
      </c>
      <c r="I851" t="n">
        <v>0</v>
      </c>
      <c r="J851" t="n">
        <v>0</v>
      </c>
      <c r="K851" t="n">
        <v>0</v>
      </c>
      <c r="L851" t="n">
        <v>0</v>
      </c>
      <c r="M851" t="n">
        <v>0</v>
      </c>
      <c r="N851" t="n">
        <v>0</v>
      </c>
      <c r="O851" t="n">
        <v>0</v>
      </c>
      <c r="P851" t="n">
        <v>0</v>
      </c>
      <c r="Q851" t="n">
        <v>0</v>
      </c>
      <c r="R851" s="2" t="inlineStr"/>
    </row>
    <row r="852" ht="15" customHeight="1">
      <c r="A852" t="inlineStr">
        <is>
          <t>A 61999-2018</t>
        </is>
      </c>
      <c r="B852" s="1" t="n">
        <v>43417</v>
      </c>
      <c r="C852" s="1" t="n">
        <v>45212</v>
      </c>
      <c r="D852" t="inlineStr">
        <is>
          <t>VÄSTERNORRLANDS LÄN</t>
        </is>
      </c>
      <c r="E852" t="inlineStr">
        <is>
          <t>ÖRNSKÖLDSVIK</t>
        </is>
      </c>
      <c r="G852" t="n">
        <v>0.8</v>
      </c>
      <c r="H852" t="n">
        <v>0</v>
      </c>
      <c r="I852" t="n">
        <v>0</v>
      </c>
      <c r="J852" t="n">
        <v>0</v>
      </c>
      <c r="K852" t="n">
        <v>0</v>
      </c>
      <c r="L852" t="n">
        <v>0</v>
      </c>
      <c r="M852" t="n">
        <v>0</v>
      </c>
      <c r="N852" t="n">
        <v>0</v>
      </c>
      <c r="O852" t="n">
        <v>0</v>
      </c>
      <c r="P852" t="n">
        <v>0</v>
      </c>
      <c r="Q852" t="n">
        <v>0</v>
      </c>
      <c r="R852" s="2" t="inlineStr"/>
    </row>
    <row r="853" ht="15" customHeight="1">
      <c r="A853" t="inlineStr">
        <is>
          <t>A 62802-2018</t>
        </is>
      </c>
      <c r="B853" s="1" t="n">
        <v>43417</v>
      </c>
      <c r="C853" s="1" t="n">
        <v>45212</v>
      </c>
      <c r="D853" t="inlineStr">
        <is>
          <t>VÄSTERNORRLANDS LÄN</t>
        </is>
      </c>
      <c r="E853" t="inlineStr">
        <is>
          <t>ÖRNSKÖLDSVIK</t>
        </is>
      </c>
      <c r="F853" t="inlineStr">
        <is>
          <t>Holmen skog AB</t>
        </is>
      </c>
      <c r="G853" t="n">
        <v>5.8</v>
      </c>
      <c r="H853" t="n">
        <v>0</v>
      </c>
      <c r="I853" t="n">
        <v>0</v>
      </c>
      <c r="J853" t="n">
        <v>0</v>
      </c>
      <c r="K853" t="n">
        <v>0</v>
      </c>
      <c r="L853" t="n">
        <v>0</v>
      </c>
      <c r="M853" t="n">
        <v>0</v>
      </c>
      <c r="N853" t="n">
        <v>0</v>
      </c>
      <c r="O853" t="n">
        <v>0</v>
      </c>
      <c r="P853" t="n">
        <v>0</v>
      </c>
      <c r="Q853" t="n">
        <v>0</v>
      </c>
      <c r="R853" s="2" t="inlineStr"/>
    </row>
    <row r="854" ht="15" customHeight="1">
      <c r="A854" t="inlineStr">
        <is>
          <t>A 63002-2018</t>
        </is>
      </c>
      <c r="B854" s="1" t="n">
        <v>43417</v>
      </c>
      <c r="C854" s="1" t="n">
        <v>45212</v>
      </c>
      <c r="D854" t="inlineStr">
        <is>
          <t>VÄSTERNORRLANDS LÄN</t>
        </is>
      </c>
      <c r="E854" t="inlineStr">
        <is>
          <t>ÅNGE</t>
        </is>
      </c>
      <c r="F854" t="inlineStr">
        <is>
          <t>SCA</t>
        </is>
      </c>
      <c r="G854" t="n">
        <v>23.7</v>
      </c>
      <c r="H854" t="n">
        <v>0</v>
      </c>
      <c r="I854" t="n">
        <v>0</v>
      </c>
      <c r="J854" t="n">
        <v>0</v>
      </c>
      <c r="K854" t="n">
        <v>0</v>
      </c>
      <c r="L854" t="n">
        <v>0</v>
      </c>
      <c r="M854" t="n">
        <v>0</v>
      </c>
      <c r="N854" t="n">
        <v>0</v>
      </c>
      <c r="O854" t="n">
        <v>0</v>
      </c>
      <c r="P854" t="n">
        <v>0</v>
      </c>
      <c r="Q854" t="n">
        <v>0</v>
      </c>
      <c r="R854" s="2" t="inlineStr"/>
    </row>
    <row r="855" ht="15" customHeight="1">
      <c r="A855" t="inlineStr">
        <is>
          <t>A 59080-2018</t>
        </is>
      </c>
      <c r="B855" s="1" t="n">
        <v>43417</v>
      </c>
      <c r="C855" s="1" t="n">
        <v>45212</v>
      </c>
      <c r="D855" t="inlineStr">
        <is>
          <t>VÄSTERNORRLANDS LÄN</t>
        </is>
      </c>
      <c r="E855" t="inlineStr">
        <is>
          <t>ÖRNSKÖLDSVIK</t>
        </is>
      </c>
      <c r="G855" t="n">
        <v>2.1</v>
      </c>
      <c r="H855" t="n">
        <v>0</v>
      </c>
      <c r="I855" t="n">
        <v>0</v>
      </c>
      <c r="J855" t="n">
        <v>0</v>
      </c>
      <c r="K855" t="n">
        <v>0</v>
      </c>
      <c r="L855" t="n">
        <v>0</v>
      </c>
      <c r="M855" t="n">
        <v>0</v>
      </c>
      <c r="N855" t="n">
        <v>0</v>
      </c>
      <c r="O855" t="n">
        <v>0</v>
      </c>
      <c r="P855" t="n">
        <v>0</v>
      </c>
      <c r="Q855" t="n">
        <v>0</v>
      </c>
      <c r="R855" s="2" t="inlineStr"/>
    </row>
    <row r="856" ht="15" customHeight="1">
      <c r="A856" t="inlineStr">
        <is>
          <t>A 59349-2018</t>
        </is>
      </c>
      <c r="B856" s="1" t="n">
        <v>43418</v>
      </c>
      <c r="C856" s="1" t="n">
        <v>45212</v>
      </c>
      <c r="D856" t="inlineStr">
        <is>
          <t>VÄSTERNORRLANDS LÄN</t>
        </is>
      </c>
      <c r="E856" t="inlineStr">
        <is>
          <t>ÖRNSKÖLDSVIK</t>
        </is>
      </c>
      <c r="F856" t="inlineStr">
        <is>
          <t>Holmen skog AB</t>
        </is>
      </c>
      <c r="G856" t="n">
        <v>1.3</v>
      </c>
      <c r="H856" t="n">
        <v>0</v>
      </c>
      <c r="I856" t="n">
        <v>0</v>
      </c>
      <c r="J856" t="n">
        <v>0</v>
      </c>
      <c r="K856" t="n">
        <v>0</v>
      </c>
      <c r="L856" t="n">
        <v>0</v>
      </c>
      <c r="M856" t="n">
        <v>0</v>
      </c>
      <c r="N856" t="n">
        <v>0</v>
      </c>
      <c r="O856" t="n">
        <v>0</v>
      </c>
      <c r="P856" t="n">
        <v>0</v>
      </c>
      <c r="Q856" t="n">
        <v>0</v>
      </c>
      <c r="R856" s="2" t="inlineStr"/>
    </row>
    <row r="857" ht="15" customHeight="1">
      <c r="A857" t="inlineStr">
        <is>
          <t>A 59357-2018</t>
        </is>
      </c>
      <c r="B857" s="1" t="n">
        <v>43418</v>
      </c>
      <c r="C857" s="1" t="n">
        <v>45212</v>
      </c>
      <c r="D857" t="inlineStr">
        <is>
          <t>VÄSTERNORRLANDS LÄN</t>
        </is>
      </c>
      <c r="E857" t="inlineStr">
        <is>
          <t>ÖRNSKÖLDSVIK</t>
        </is>
      </c>
      <c r="F857" t="inlineStr">
        <is>
          <t>Holmen skog AB</t>
        </is>
      </c>
      <c r="G857" t="n">
        <v>0.3</v>
      </c>
      <c r="H857" t="n">
        <v>0</v>
      </c>
      <c r="I857" t="n">
        <v>0</v>
      </c>
      <c r="J857" t="n">
        <v>0</v>
      </c>
      <c r="K857" t="n">
        <v>0</v>
      </c>
      <c r="L857" t="n">
        <v>0</v>
      </c>
      <c r="M857" t="n">
        <v>0</v>
      </c>
      <c r="N857" t="n">
        <v>0</v>
      </c>
      <c r="O857" t="n">
        <v>0</v>
      </c>
      <c r="P857" t="n">
        <v>0</v>
      </c>
      <c r="Q857" t="n">
        <v>0</v>
      </c>
      <c r="R857" s="2" t="inlineStr"/>
    </row>
    <row r="858" ht="15" customHeight="1">
      <c r="A858" t="inlineStr">
        <is>
          <t>A 59364-2018</t>
        </is>
      </c>
      <c r="B858" s="1" t="n">
        <v>43418</v>
      </c>
      <c r="C858" s="1" t="n">
        <v>45212</v>
      </c>
      <c r="D858" t="inlineStr">
        <is>
          <t>VÄSTERNORRLANDS LÄN</t>
        </is>
      </c>
      <c r="E858" t="inlineStr">
        <is>
          <t>SUNDSVALL</t>
        </is>
      </c>
      <c r="G858" t="n">
        <v>20.8</v>
      </c>
      <c r="H858" t="n">
        <v>0</v>
      </c>
      <c r="I858" t="n">
        <v>0</v>
      </c>
      <c r="J858" t="n">
        <v>0</v>
      </c>
      <c r="K858" t="n">
        <v>0</v>
      </c>
      <c r="L858" t="n">
        <v>0</v>
      </c>
      <c r="M858" t="n">
        <v>0</v>
      </c>
      <c r="N858" t="n">
        <v>0</v>
      </c>
      <c r="O858" t="n">
        <v>0</v>
      </c>
      <c r="P858" t="n">
        <v>0</v>
      </c>
      <c r="Q858" t="n">
        <v>0</v>
      </c>
      <c r="R858" s="2" t="inlineStr"/>
    </row>
    <row r="859" ht="15" customHeight="1">
      <c r="A859" t="inlineStr">
        <is>
          <t>A 59401-2018</t>
        </is>
      </c>
      <c r="B859" s="1" t="n">
        <v>43418</v>
      </c>
      <c r="C859" s="1" t="n">
        <v>45212</v>
      </c>
      <c r="D859" t="inlineStr">
        <is>
          <t>VÄSTERNORRLANDS LÄN</t>
        </is>
      </c>
      <c r="E859" t="inlineStr">
        <is>
          <t>SUNDSVALL</t>
        </is>
      </c>
      <c r="G859" t="n">
        <v>5.4</v>
      </c>
      <c r="H859" t="n">
        <v>0</v>
      </c>
      <c r="I859" t="n">
        <v>0</v>
      </c>
      <c r="J859" t="n">
        <v>0</v>
      </c>
      <c r="K859" t="n">
        <v>0</v>
      </c>
      <c r="L859" t="n">
        <v>0</v>
      </c>
      <c r="M859" t="n">
        <v>0</v>
      </c>
      <c r="N859" t="n">
        <v>0</v>
      </c>
      <c r="O859" t="n">
        <v>0</v>
      </c>
      <c r="P859" t="n">
        <v>0</v>
      </c>
      <c r="Q859" t="n">
        <v>0</v>
      </c>
      <c r="R859" s="2" t="inlineStr"/>
    </row>
    <row r="860" ht="15" customHeight="1">
      <c r="A860" t="inlineStr">
        <is>
          <t>A 59407-2018</t>
        </is>
      </c>
      <c r="B860" s="1" t="n">
        <v>43418</v>
      </c>
      <c r="C860" s="1" t="n">
        <v>45212</v>
      </c>
      <c r="D860" t="inlineStr">
        <is>
          <t>VÄSTERNORRLANDS LÄN</t>
        </is>
      </c>
      <c r="E860" t="inlineStr">
        <is>
          <t>SUNDSVALL</t>
        </is>
      </c>
      <c r="F860" t="inlineStr">
        <is>
          <t>SCA</t>
        </is>
      </c>
      <c r="G860" t="n">
        <v>3.3</v>
      </c>
      <c r="H860" t="n">
        <v>0</v>
      </c>
      <c r="I860" t="n">
        <v>0</v>
      </c>
      <c r="J860" t="n">
        <v>0</v>
      </c>
      <c r="K860" t="n">
        <v>0</v>
      </c>
      <c r="L860" t="n">
        <v>0</v>
      </c>
      <c r="M860" t="n">
        <v>0</v>
      </c>
      <c r="N860" t="n">
        <v>0</v>
      </c>
      <c r="O860" t="n">
        <v>0</v>
      </c>
      <c r="P860" t="n">
        <v>0</v>
      </c>
      <c r="Q860" t="n">
        <v>0</v>
      </c>
      <c r="R860" s="2" t="inlineStr"/>
    </row>
    <row r="861" ht="15" customHeight="1">
      <c r="A861" t="inlineStr">
        <is>
          <t>A 66867-2018</t>
        </is>
      </c>
      <c r="B861" s="1" t="n">
        <v>43418</v>
      </c>
      <c r="C861" s="1" t="n">
        <v>45212</v>
      </c>
      <c r="D861" t="inlineStr">
        <is>
          <t>VÄSTERNORRLANDS LÄN</t>
        </is>
      </c>
      <c r="E861" t="inlineStr">
        <is>
          <t>SUNDSVALL</t>
        </is>
      </c>
      <c r="G861" t="n">
        <v>5.2</v>
      </c>
      <c r="H861" t="n">
        <v>0</v>
      </c>
      <c r="I861" t="n">
        <v>0</v>
      </c>
      <c r="J861" t="n">
        <v>0</v>
      </c>
      <c r="K861" t="n">
        <v>0</v>
      </c>
      <c r="L861" t="n">
        <v>0</v>
      </c>
      <c r="M861" t="n">
        <v>0</v>
      </c>
      <c r="N861" t="n">
        <v>0</v>
      </c>
      <c r="O861" t="n">
        <v>0</v>
      </c>
      <c r="P861" t="n">
        <v>0</v>
      </c>
      <c r="Q861" t="n">
        <v>0</v>
      </c>
      <c r="R861" s="2" t="inlineStr"/>
    </row>
    <row r="862" ht="15" customHeight="1">
      <c r="A862" t="inlineStr">
        <is>
          <t>A 59615-2018</t>
        </is>
      </c>
      <c r="B862" s="1" t="n">
        <v>43419</v>
      </c>
      <c r="C862" s="1" t="n">
        <v>45212</v>
      </c>
      <c r="D862" t="inlineStr">
        <is>
          <t>VÄSTERNORRLANDS LÄN</t>
        </is>
      </c>
      <c r="E862" t="inlineStr">
        <is>
          <t>SOLLEFTEÅ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59936-2018</t>
        </is>
      </c>
      <c r="B863" s="1" t="n">
        <v>43419</v>
      </c>
      <c r="C863" s="1" t="n">
        <v>45212</v>
      </c>
      <c r="D863" t="inlineStr">
        <is>
          <t>VÄSTERNORRLANDS LÄN</t>
        </is>
      </c>
      <c r="E863" t="inlineStr">
        <is>
          <t>ÅNGE</t>
        </is>
      </c>
      <c r="F863" t="inlineStr">
        <is>
          <t>SCA</t>
        </is>
      </c>
      <c r="G863" t="n">
        <v>9.5</v>
      </c>
      <c r="H863" t="n">
        <v>0</v>
      </c>
      <c r="I863" t="n">
        <v>0</v>
      </c>
      <c r="J863" t="n">
        <v>0</v>
      </c>
      <c r="K863" t="n">
        <v>0</v>
      </c>
      <c r="L863" t="n">
        <v>0</v>
      </c>
      <c r="M863" t="n">
        <v>0</v>
      </c>
      <c r="N863" t="n">
        <v>0</v>
      </c>
      <c r="O863" t="n">
        <v>0</v>
      </c>
      <c r="P863" t="n">
        <v>0</v>
      </c>
      <c r="Q863" t="n">
        <v>0</v>
      </c>
      <c r="R863" s="2" t="inlineStr"/>
    </row>
    <row r="864" ht="15" customHeight="1">
      <c r="A864" t="inlineStr">
        <is>
          <t>A 59954-2018</t>
        </is>
      </c>
      <c r="B864" s="1" t="n">
        <v>43419</v>
      </c>
      <c r="C864" s="1" t="n">
        <v>45212</v>
      </c>
      <c r="D864" t="inlineStr">
        <is>
          <t>VÄSTERNORRLANDS LÄN</t>
        </is>
      </c>
      <c r="E864" t="inlineStr">
        <is>
          <t>ÖRNSKÖLDSVIK</t>
        </is>
      </c>
      <c r="G864" t="n">
        <v>1.8</v>
      </c>
      <c r="H864" t="n">
        <v>0</v>
      </c>
      <c r="I864" t="n">
        <v>0</v>
      </c>
      <c r="J864" t="n">
        <v>0</v>
      </c>
      <c r="K864" t="n">
        <v>0</v>
      </c>
      <c r="L864" t="n">
        <v>0</v>
      </c>
      <c r="M864" t="n">
        <v>0</v>
      </c>
      <c r="N864" t="n">
        <v>0</v>
      </c>
      <c r="O864" t="n">
        <v>0</v>
      </c>
      <c r="P864" t="n">
        <v>0</v>
      </c>
      <c r="Q864" t="n">
        <v>0</v>
      </c>
      <c r="R864" s="2" t="inlineStr"/>
    </row>
    <row r="865" ht="15" customHeight="1">
      <c r="A865" t="inlineStr">
        <is>
          <t>A 64266-2018</t>
        </is>
      </c>
      <c r="B865" s="1" t="n">
        <v>43419</v>
      </c>
      <c r="C865" s="1" t="n">
        <v>45212</v>
      </c>
      <c r="D865" t="inlineStr">
        <is>
          <t>VÄSTERNORRLANDS LÄN</t>
        </is>
      </c>
      <c r="E865" t="inlineStr">
        <is>
          <t>ÖRNSKÖLDSVIK</t>
        </is>
      </c>
      <c r="G865" t="n">
        <v>1.6</v>
      </c>
      <c r="H865" t="n">
        <v>0</v>
      </c>
      <c r="I865" t="n">
        <v>0</v>
      </c>
      <c r="J865" t="n">
        <v>0</v>
      </c>
      <c r="K865" t="n">
        <v>0</v>
      </c>
      <c r="L865" t="n">
        <v>0</v>
      </c>
      <c r="M865" t="n">
        <v>0</v>
      </c>
      <c r="N865" t="n">
        <v>0</v>
      </c>
      <c r="O865" t="n">
        <v>0</v>
      </c>
      <c r="P865" t="n">
        <v>0</v>
      </c>
      <c r="Q865" t="n">
        <v>0</v>
      </c>
      <c r="R865" s="2" t="inlineStr"/>
    </row>
    <row r="866" ht="15" customHeight="1">
      <c r="A866" t="inlineStr">
        <is>
          <t>A 59495-2018</t>
        </is>
      </c>
      <c r="B866" s="1" t="n">
        <v>43419</v>
      </c>
      <c r="C866" s="1" t="n">
        <v>45212</v>
      </c>
      <c r="D866" t="inlineStr">
        <is>
          <t>VÄSTERNORRLANDS LÄN</t>
        </is>
      </c>
      <c r="E866" t="inlineStr">
        <is>
          <t>ÖRNSKÖLDSVIK</t>
        </is>
      </c>
      <c r="F866" t="inlineStr">
        <is>
          <t>Holmen skog AB</t>
        </is>
      </c>
      <c r="G866" t="n">
        <v>0.5</v>
      </c>
      <c r="H866" t="n">
        <v>0</v>
      </c>
      <c r="I866" t="n">
        <v>0</v>
      </c>
      <c r="J866" t="n">
        <v>0</v>
      </c>
      <c r="K866" t="n">
        <v>0</v>
      </c>
      <c r="L866" t="n">
        <v>0</v>
      </c>
      <c r="M866" t="n">
        <v>0</v>
      </c>
      <c r="N866" t="n">
        <v>0</v>
      </c>
      <c r="O866" t="n">
        <v>0</v>
      </c>
      <c r="P866" t="n">
        <v>0</v>
      </c>
      <c r="Q866" t="n">
        <v>0</v>
      </c>
      <c r="R866" s="2" t="inlineStr"/>
    </row>
    <row r="867" ht="15" customHeight="1">
      <c r="A867" t="inlineStr">
        <is>
          <t>A 59575-2018</t>
        </is>
      </c>
      <c r="B867" s="1" t="n">
        <v>43419</v>
      </c>
      <c r="C867" s="1" t="n">
        <v>45212</v>
      </c>
      <c r="D867" t="inlineStr">
        <is>
          <t>VÄSTERNORRLANDS LÄN</t>
        </is>
      </c>
      <c r="E867" t="inlineStr">
        <is>
          <t>SUNDSVALL</t>
        </is>
      </c>
      <c r="G867" t="n">
        <v>1</v>
      </c>
      <c r="H867" t="n">
        <v>0</v>
      </c>
      <c r="I867" t="n">
        <v>0</v>
      </c>
      <c r="J867" t="n">
        <v>0</v>
      </c>
      <c r="K867" t="n">
        <v>0</v>
      </c>
      <c r="L867" t="n">
        <v>0</v>
      </c>
      <c r="M867" t="n">
        <v>0</v>
      </c>
      <c r="N867" t="n">
        <v>0</v>
      </c>
      <c r="O867" t="n">
        <v>0</v>
      </c>
      <c r="P867" t="n">
        <v>0</v>
      </c>
      <c r="Q867" t="n">
        <v>0</v>
      </c>
      <c r="R867" s="2" t="inlineStr"/>
    </row>
    <row r="868" ht="15" customHeight="1">
      <c r="A868" t="inlineStr">
        <is>
          <t>A 59621-2018</t>
        </is>
      </c>
      <c r="B868" s="1" t="n">
        <v>43419</v>
      </c>
      <c r="C868" s="1" t="n">
        <v>45212</v>
      </c>
      <c r="D868" t="inlineStr">
        <is>
          <t>VÄSTERNORRLANDS LÄN</t>
        </is>
      </c>
      <c r="E868" t="inlineStr">
        <is>
          <t>SOLLEFTEÅ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59894-2018</t>
        </is>
      </c>
      <c r="B869" s="1" t="n">
        <v>43419</v>
      </c>
      <c r="C869" s="1" t="n">
        <v>45212</v>
      </c>
      <c r="D869" t="inlineStr">
        <is>
          <t>VÄSTERNORRLANDS LÄN</t>
        </is>
      </c>
      <c r="E869" t="inlineStr">
        <is>
          <t>SOLLEFTEÅ</t>
        </is>
      </c>
      <c r="F869" t="inlineStr">
        <is>
          <t>SCA</t>
        </is>
      </c>
      <c r="G869" t="n">
        <v>0.3</v>
      </c>
      <c r="H869" t="n">
        <v>0</v>
      </c>
      <c r="I869" t="n">
        <v>0</v>
      </c>
      <c r="J869" t="n">
        <v>0</v>
      </c>
      <c r="K869" t="n">
        <v>0</v>
      </c>
      <c r="L869" t="n">
        <v>0</v>
      </c>
      <c r="M869" t="n">
        <v>0</v>
      </c>
      <c r="N869" t="n">
        <v>0</v>
      </c>
      <c r="O869" t="n">
        <v>0</v>
      </c>
      <c r="P869" t="n">
        <v>0</v>
      </c>
      <c r="Q869" t="n">
        <v>0</v>
      </c>
      <c r="R869" s="2" t="inlineStr"/>
    </row>
    <row r="870" ht="15" customHeight="1">
      <c r="A870" t="inlineStr">
        <is>
          <t>A 59907-2018</t>
        </is>
      </c>
      <c r="B870" s="1" t="n">
        <v>43419</v>
      </c>
      <c r="C870" s="1" t="n">
        <v>45212</v>
      </c>
      <c r="D870" t="inlineStr">
        <is>
          <t>VÄSTERNORRLANDS LÄN</t>
        </is>
      </c>
      <c r="E870" t="inlineStr">
        <is>
          <t>SUNDSVALL</t>
        </is>
      </c>
      <c r="G870" t="n">
        <v>1.3</v>
      </c>
      <c r="H870" t="n">
        <v>0</v>
      </c>
      <c r="I870" t="n">
        <v>0</v>
      </c>
      <c r="J870" t="n">
        <v>0</v>
      </c>
      <c r="K870" t="n">
        <v>0</v>
      </c>
      <c r="L870" t="n">
        <v>0</v>
      </c>
      <c r="M870" t="n">
        <v>0</v>
      </c>
      <c r="N870" t="n">
        <v>0</v>
      </c>
      <c r="O870" t="n">
        <v>0</v>
      </c>
      <c r="P870" t="n">
        <v>0</v>
      </c>
      <c r="Q870" t="n">
        <v>0</v>
      </c>
      <c r="R870" s="2" t="inlineStr"/>
    </row>
    <row r="871" ht="15" customHeight="1">
      <c r="A871" t="inlineStr">
        <is>
          <t>A 64279-2018</t>
        </is>
      </c>
      <c r="B871" s="1" t="n">
        <v>43419</v>
      </c>
      <c r="C871" s="1" t="n">
        <v>45212</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60507-2018</t>
        </is>
      </c>
      <c r="B872" s="1" t="n">
        <v>43420</v>
      </c>
      <c r="C872" s="1" t="n">
        <v>45212</v>
      </c>
      <c r="D872" t="inlineStr">
        <is>
          <t>VÄSTERNORRLANDS LÄN</t>
        </is>
      </c>
      <c r="E872" t="inlineStr">
        <is>
          <t>SOLLEFTEÅ</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64516-2018</t>
        </is>
      </c>
      <c r="B873" s="1" t="n">
        <v>43420</v>
      </c>
      <c r="C873" s="1" t="n">
        <v>45212</v>
      </c>
      <c r="D873" t="inlineStr">
        <is>
          <t>VÄSTERNORRLANDS LÄN</t>
        </is>
      </c>
      <c r="E873" t="inlineStr">
        <is>
          <t>SUNDSVALL</t>
        </is>
      </c>
      <c r="G873" t="n">
        <v>1.2</v>
      </c>
      <c r="H873" t="n">
        <v>0</v>
      </c>
      <c r="I873" t="n">
        <v>0</v>
      </c>
      <c r="J873" t="n">
        <v>0</v>
      </c>
      <c r="K873" t="n">
        <v>0</v>
      </c>
      <c r="L873" t="n">
        <v>0</v>
      </c>
      <c r="M873" t="n">
        <v>0</v>
      </c>
      <c r="N873" t="n">
        <v>0</v>
      </c>
      <c r="O873" t="n">
        <v>0</v>
      </c>
      <c r="P873" t="n">
        <v>0</v>
      </c>
      <c r="Q873" t="n">
        <v>0</v>
      </c>
      <c r="R873" s="2" t="inlineStr"/>
    </row>
    <row r="874" ht="15" customHeight="1">
      <c r="A874" t="inlineStr">
        <is>
          <t>A 60598-2018</t>
        </is>
      </c>
      <c r="B874" s="1" t="n">
        <v>43420</v>
      </c>
      <c r="C874" s="1" t="n">
        <v>45212</v>
      </c>
      <c r="D874" t="inlineStr">
        <is>
          <t>VÄSTERNORRLANDS LÄN</t>
        </is>
      </c>
      <c r="E874" t="inlineStr">
        <is>
          <t>ÅNGE</t>
        </is>
      </c>
      <c r="G874" t="n">
        <v>5.8</v>
      </c>
      <c r="H874" t="n">
        <v>0</v>
      </c>
      <c r="I874" t="n">
        <v>0</v>
      </c>
      <c r="J874" t="n">
        <v>0</v>
      </c>
      <c r="K874" t="n">
        <v>0</v>
      </c>
      <c r="L874" t="n">
        <v>0</v>
      </c>
      <c r="M874" t="n">
        <v>0</v>
      </c>
      <c r="N874" t="n">
        <v>0</v>
      </c>
      <c r="O874" t="n">
        <v>0</v>
      </c>
      <c r="P874" t="n">
        <v>0</v>
      </c>
      <c r="Q874" t="n">
        <v>0</v>
      </c>
      <c r="R874" s="2" t="inlineStr"/>
    </row>
    <row r="875" ht="15" customHeight="1">
      <c r="A875" t="inlineStr">
        <is>
          <t>A 65181-2018</t>
        </is>
      </c>
      <c r="B875" s="1" t="n">
        <v>43420</v>
      </c>
      <c r="C875" s="1" t="n">
        <v>45212</v>
      </c>
      <c r="D875" t="inlineStr">
        <is>
          <t>VÄSTERNORRLANDS LÄN</t>
        </is>
      </c>
      <c r="E875" t="inlineStr">
        <is>
          <t>ÖRNSKÖLDSVIK</t>
        </is>
      </c>
      <c r="G875" t="n">
        <v>1.6</v>
      </c>
      <c r="H875" t="n">
        <v>0</v>
      </c>
      <c r="I875" t="n">
        <v>0</v>
      </c>
      <c r="J875" t="n">
        <v>0</v>
      </c>
      <c r="K875" t="n">
        <v>0</v>
      </c>
      <c r="L875" t="n">
        <v>0</v>
      </c>
      <c r="M875" t="n">
        <v>0</v>
      </c>
      <c r="N875" t="n">
        <v>0</v>
      </c>
      <c r="O875" t="n">
        <v>0</v>
      </c>
      <c r="P875" t="n">
        <v>0</v>
      </c>
      <c r="Q875" t="n">
        <v>0</v>
      </c>
      <c r="R875" s="2" t="inlineStr"/>
    </row>
    <row r="876" ht="15" customHeight="1">
      <c r="A876" t="inlineStr">
        <is>
          <t>A 60325-2018</t>
        </is>
      </c>
      <c r="B876" s="1" t="n">
        <v>43420</v>
      </c>
      <c r="C876" s="1" t="n">
        <v>45212</v>
      </c>
      <c r="D876" t="inlineStr">
        <is>
          <t>VÄSTERNORRLANDS LÄN</t>
        </is>
      </c>
      <c r="E876" t="inlineStr">
        <is>
          <t>KRAMFORS</t>
        </is>
      </c>
      <c r="G876" t="n">
        <v>0.7</v>
      </c>
      <c r="H876" t="n">
        <v>0</v>
      </c>
      <c r="I876" t="n">
        <v>0</v>
      </c>
      <c r="J876" t="n">
        <v>0</v>
      </c>
      <c r="K876" t="n">
        <v>0</v>
      </c>
      <c r="L876" t="n">
        <v>0</v>
      </c>
      <c r="M876" t="n">
        <v>0</v>
      </c>
      <c r="N876" t="n">
        <v>0</v>
      </c>
      <c r="O876" t="n">
        <v>0</v>
      </c>
      <c r="P876" t="n">
        <v>0</v>
      </c>
      <c r="Q876" t="n">
        <v>0</v>
      </c>
      <c r="R876" s="2" t="inlineStr"/>
    </row>
    <row r="877" ht="15" customHeight="1">
      <c r="A877" t="inlineStr">
        <is>
          <t>A 60350-2018</t>
        </is>
      </c>
      <c r="B877" s="1" t="n">
        <v>43420</v>
      </c>
      <c r="C877" s="1" t="n">
        <v>45212</v>
      </c>
      <c r="D877" t="inlineStr">
        <is>
          <t>VÄSTERNORRLANDS LÄN</t>
        </is>
      </c>
      <c r="E877" t="inlineStr">
        <is>
          <t>ÖRNSKÖLDSVIK</t>
        </is>
      </c>
      <c r="F877" t="inlineStr">
        <is>
          <t>Holmen skog AB</t>
        </is>
      </c>
      <c r="G877" t="n">
        <v>2.2</v>
      </c>
      <c r="H877" t="n">
        <v>0</v>
      </c>
      <c r="I877" t="n">
        <v>0</v>
      </c>
      <c r="J877" t="n">
        <v>0</v>
      </c>
      <c r="K877" t="n">
        <v>0</v>
      </c>
      <c r="L877" t="n">
        <v>0</v>
      </c>
      <c r="M877" t="n">
        <v>0</v>
      </c>
      <c r="N877" t="n">
        <v>0</v>
      </c>
      <c r="O877" t="n">
        <v>0</v>
      </c>
      <c r="P877" t="n">
        <v>0</v>
      </c>
      <c r="Q877" t="n">
        <v>0</v>
      </c>
      <c r="R877" s="2" t="inlineStr"/>
    </row>
    <row r="878" ht="15" customHeight="1">
      <c r="A878" t="inlineStr">
        <is>
          <t>A 60505-2018</t>
        </is>
      </c>
      <c r="B878" s="1" t="n">
        <v>43420</v>
      </c>
      <c r="C878" s="1" t="n">
        <v>45212</v>
      </c>
      <c r="D878" t="inlineStr">
        <is>
          <t>VÄSTERNORRLANDS LÄN</t>
        </is>
      </c>
      <c r="E878" t="inlineStr">
        <is>
          <t>SOLLEFTEÅ</t>
        </is>
      </c>
      <c r="F878" t="inlineStr">
        <is>
          <t>Sveaskog</t>
        </is>
      </c>
      <c r="G878" t="n">
        <v>2.7</v>
      </c>
      <c r="H878" t="n">
        <v>0</v>
      </c>
      <c r="I878" t="n">
        <v>0</v>
      </c>
      <c r="J878" t="n">
        <v>0</v>
      </c>
      <c r="K878" t="n">
        <v>0</v>
      </c>
      <c r="L878" t="n">
        <v>0</v>
      </c>
      <c r="M878" t="n">
        <v>0</v>
      </c>
      <c r="N878" t="n">
        <v>0</v>
      </c>
      <c r="O878" t="n">
        <v>0</v>
      </c>
      <c r="P878" t="n">
        <v>0</v>
      </c>
      <c r="Q878" t="n">
        <v>0</v>
      </c>
      <c r="R878" s="2" t="inlineStr"/>
    </row>
    <row r="879" ht="15" customHeight="1">
      <c r="A879" t="inlineStr">
        <is>
          <t>A 65189-2018</t>
        </is>
      </c>
      <c r="B879" s="1" t="n">
        <v>43420</v>
      </c>
      <c r="C879" s="1" t="n">
        <v>45212</v>
      </c>
      <c r="D879" t="inlineStr">
        <is>
          <t>VÄSTERNORRLANDS LÄN</t>
        </is>
      </c>
      <c r="E879" t="inlineStr">
        <is>
          <t>ÖRNSKÖLDSVIK</t>
        </is>
      </c>
      <c r="G879" t="n">
        <v>2.2</v>
      </c>
      <c r="H879" t="n">
        <v>0</v>
      </c>
      <c r="I879" t="n">
        <v>0</v>
      </c>
      <c r="J879" t="n">
        <v>0</v>
      </c>
      <c r="K879" t="n">
        <v>0</v>
      </c>
      <c r="L879" t="n">
        <v>0</v>
      </c>
      <c r="M879" t="n">
        <v>0</v>
      </c>
      <c r="N879" t="n">
        <v>0</v>
      </c>
      <c r="O879" t="n">
        <v>0</v>
      </c>
      <c r="P879" t="n">
        <v>0</v>
      </c>
      <c r="Q879" t="n">
        <v>0</v>
      </c>
      <c r="R879" s="2" t="inlineStr"/>
    </row>
    <row r="880" ht="15" customHeight="1">
      <c r="A880" t="inlineStr">
        <is>
          <t>A 60656-2018</t>
        </is>
      </c>
      <c r="B880" s="1" t="n">
        <v>43420</v>
      </c>
      <c r="C880" s="1" t="n">
        <v>45212</v>
      </c>
      <c r="D880" t="inlineStr">
        <is>
          <t>VÄSTERNORRLANDS LÄN</t>
        </is>
      </c>
      <c r="E880" t="inlineStr">
        <is>
          <t>ÅNGE</t>
        </is>
      </c>
      <c r="G880" t="n">
        <v>6.2</v>
      </c>
      <c r="H880" t="n">
        <v>0</v>
      </c>
      <c r="I880" t="n">
        <v>0</v>
      </c>
      <c r="J880" t="n">
        <v>0</v>
      </c>
      <c r="K880" t="n">
        <v>0</v>
      </c>
      <c r="L880" t="n">
        <v>0</v>
      </c>
      <c r="M880" t="n">
        <v>0</v>
      </c>
      <c r="N880" t="n">
        <v>0</v>
      </c>
      <c r="O880" t="n">
        <v>0</v>
      </c>
      <c r="P880" t="n">
        <v>0</v>
      </c>
      <c r="Q880" t="n">
        <v>0</v>
      </c>
      <c r="R880" s="2" t="inlineStr"/>
    </row>
    <row r="881" ht="15" customHeight="1">
      <c r="A881" t="inlineStr">
        <is>
          <t>A 60995-2018</t>
        </is>
      </c>
      <c r="B881" s="1" t="n">
        <v>43423</v>
      </c>
      <c r="C881" s="1" t="n">
        <v>45212</v>
      </c>
      <c r="D881" t="inlineStr">
        <is>
          <t>VÄSTERNORRLANDS LÄN</t>
        </is>
      </c>
      <c r="E881" t="inlineStr">
        <is>
          <t>TIMRÅ</t>
        </is>
      </c>
      <c r="G881" t="n">
        <v>1.3</v>
      </c>
      <c r="H881" t="n">
        <v>0</v>
      </c>
      <c r="I881" t="n">
        <v>0</v>
      </c>
      <c r="J881" t="n">
        <v>0</v>
      </c>
      <c r="K881" t="n">
        <v>0</v>
      </c>
      <c r="L881" t="n">
        <v>0</v>
      </c>
      <c r="M881" t="n">
        <v>0</v>
      </c>
      <c r="N881" t="n">
        <v>0</v>
      </c>
      <c r="O881" t="n">
        <v>0</v>
      </c>
      <c r="P881" t="n">
        <v>0</v>
      </c>
      <c r="Q881" t="n">
        <v>0</v>
      </c>
      <c r="R881" s="2" t="inlineStr"/>
    </row>
    <row r="882" ht="15" customHeight="1">
      <c r="A882" t="inlineStr">
        <is>
          <t>A 61108-2018</t>
        </is>
      </c>
      <c r="B882" s="1" t="n">
        <v>43423</v>
      </c>
      <c r="C882" s="1" t="n">
        <v>45212</v>
      </c>
      <c r="D882" t="inlineStr">
        <is>
          <t>VÄSTERNORRLANDS LÄN</t>
        </is>
      </c>
      <c r="E882" t="inlineStr">
        <is>
          <t>ÖRNSKÖLDSVIK</t>
        </is>
      </c>
      <c r="G882" t="n">
        <v>3.8</v>
      </c>
      <c r="H882" t="n">
        <v>0</v>
      </c>
      <c r="I882" t="n">
        <v>0</v>
      </c>
      <c r="J882" t="n">
        <v>0</v>
      </c>
      <c r="K882" t="n">
        <v>0</v>
      </c>
      <c r="L882" t="n">
        <v>0</v>
      </c>
      <c r="M882" t="n">
        <v>0</v>
      </c>
      <c r="N882" t="n">
        <v>0</v>
      </c>
      <c r="O882" t="n">
        <v>0</v>
      </c>
      <c r="P882" t="n">
        <v>0</v>
      </c>
      <c r="Q882" t="n">
        <v>0</v>
      </c>
      <c r="R882" s="2" t="inlineStr"/>
    </row>
    <row r="883" ht="15" customHeight="1">
      <c r="A883" t="inlineStr">
        <is>
          <t>A 61226-2018</t>
        </is>
      </c>
      <c r="B883" s="1" t="n">
        <v>43423</v>
      </c>
      <c r="C883" s="1" t="n">
        <v>45212</v>
      </c>
      <c r="D883" t="inlineStr">
        <is>
          <t>VÄSTERNORRLANDS LÄN</t>
        </is>
      </c>
      <c r="E883" t="inlineStr">
        <is>
          <t>ÖRNSKÖLDSVIK</t>
        </is>
      </c>
      <c r="G883" t="n">
        <v>1.1</v>
      </c>
      <c r="H883" t="n">
        <v>0</v>
      </c>
      <c r="I883" t="n">
        <v>0</v>
      </c>
      <c r="J883" t="n">
        <v>0</v>
      </c>
      <c r="K883" t="n">
        <v>0</v>
      </c>
      <c r="L883" t="n">
        <v>0</v>
      </c>
      <c r="M883" t="n">
        <v>0</v>
      </c>
      <c r="N883" t="n">
        <v>0</v>
      </c>
      <c r="O883" t="n">
        <v>0</v>
      </c>
      <c r="P883" t="n">
        <v>0</v>
      </c>
      <c r="Q883" t="n">
        <v>0</v>
      </c>
      <c r="R883" s="2" t="inlineStr"/>
    </row>
    <row r="884" ht="15" customHeight="1">
      <c r="A884" t="inlineStr">
        <is>
          <t>A 61207-2018</t>
        </is>
      </c>
      <c r="B884" s="1" t="n">
        <v>43423</v>
      </c>
      <c r="C884" s="1" t="n">
        <v>45212</v>
      </c>
      <c r="D884" t="inlineStr">
        <is>
          <t>VÄSTERNORRLANDS LÄN</t>
        </is>
      </c>
      <c r="E884" t="inlineStr">
        <is>
          <t>ÖRNSKÖLDSVIK</t>
        </is>
      </c>
      <c r="G884" t="n">
        <v>2.7</v>
      </c>
      <c r="H884" t="n">
        <v>0</v>
      </c>
      <c r="I884" t="n">
        <v>0</v>
      </c>
      <c r="J884" t="n">
        <v>0</v>
      </c>
      <c r="K884" t="n">
        <v>0</v>
      </c>
      <c r="L884" t="n">
        <v>0</v>
      </c>
      <c r="M884" t="n">
        <v>0</v>
      </c>
      <c r="N884" t="n">
        <v>0</v>
      </c>
      <c r="O884" t="n">
        <v>0</v>
      </c>
      <c r="P884" t="n">
        <v>0</v>
      </c>
      <c r="Q884" t="n">
        <v>0</v>
      </c>
      <c r="R884" s="2" t="inlineStr"/>
    </row>
    <row r="885" ht="15" customHeight="1">
      <c r="A885" t="inlineStr">
        <is>
          <t>A 65259-2018</t>
        </is>
      </c>
      <c r="B885" s="1" t="n">
        <v>43423</v>
      </c>
      <c r="C885" s="1" t="n">
        <v>45212</v>
      </c>
      <c r="D885" t="inlineStr">
        <is>
          <t>VÄSTERNORRLANDS LÄN</t>
        </is>
      </c>
      <c r="E885" t="inlineStr">
        <is>
          <t>ÖRNSKÖLDSVIK</t>
        </is>
      </c>
      <c r="G885" t="n">
        <v>1.8</v>
      </c>
      <c r="H885" t="n">
        <v>0</v>
      </c>
      <c r="I885" t="n">
        <v>0</v>
      </c>
      <c r="J885" t="n">
        <v>0</v>
      </c>
      <c r="K885" t="n">
        <v>0</v>
      </c>
      <c r="L885" t="n">
        <v>0</v>
      </c>
      <c r="M885" t="n">
        <v>0</v>
      </c>
      <c r="N885" t="n">
        <v>0</v>
      </c>
      <c r="O885" t="n">
        <v>0</v>
      </c>
      <c r="P885" t="n">
        <v>0</v>
      </c>
      <c r="Q885" t="n">
        <v>0</v>
      </c>
      <c r="R885" s="2" t="inlineStr"/>
    </row>
    <row r="886" ht="15" customHeight="1">
      <c r="A886" t="inlineStr">
        <is>
          <t>A 61352-2018</t>
        </is>
      </c>
      <c r="B886" s="1" t="n">
        <v>43424</v>
      </c>
      <c r="C886" s="1" t="n">
        <v>45212</v>
      </c>
      <c r="D886" t="inlineStr">
        <is>
          <t>VÄSTERNORRLANDS LÄN</t>
        </is>
      </c>
      <c r="E886" t="inlineStr">
        <is>
          <t>KRAMFORS</t>
        </is>
      </c>
      <c r="G886" t="n">
        <v>0.6</v>
      </c>
      <c r="H886" t="n">
        <v>0</v>
      </c>
      <c r="I886" t="n">
        <v>0</v>
      </c>
      <c r="J886" t="n">
        <v>0</v>
      </c>
      <c r="K886" t="n">
        <v>0</v>
      </c>
      <c r="L886" t="n">
        <v>0</v>
      </c>
      <c r="M886" t="n">
        <v>0</v>
      </c>
      <c r="N886" t="n">
        <v>0</v>
      </c>
      <c r="O886" t="n">
        <v>0</v>
      </c>
      <c r="P886" t="n">
        <v>0</v>
      </c>
      <c r="Q886" t="n">
        <v>0</v>
      </c>
      <c r="R886" s="2" t="inlineStr"/>
    </row>
    <row r="887" ht="15" customHeight="1">
      <c r="A887" t="inlineStr">
        <is>
          <t>A 61640-2018</t>
        </is>
      </c>
      <c r="B887" s="1" t="n">
        <v>43424</v>
      </c>
      <c r="C887" s="1" t="n">
        <v>45212</v>
      </c>
      <c r="D887" t="inlineStr">
        <is>
          <t>VÄSTERNORRLANDS LÄN</t>
        </is>
      </c>
      <c r="E887" t="inlineStr">
        <is>
          <t>ÅNGE</t>
        </is>
      </c>
      <c r="G887" t="n">
        <v>5.2</v>
      </c>
      <c r="H887" t="n">
        <v>0</v>
      </c>
      <c r="I887" t="n">
        <v>0</v>
      </c>
      <c r="J887" t="n">
        <v>0</v>
      </c>
      <c r="K887" t="n">
        <v>0</v>
      </c>
      <c r="L887" t="n">
        <v>0</v>
      </c>
      <c r="M887" t="n">
        <v>0</v>
      </c>
      <c r="N887" t="n">
        <v>0</v>
      </c>
      <c r="O887" t="n">
        <v>0</v>
      </c>
      <c r="P887" t="n">
        <v>0</v>
      </c>
      <c r="Q887" t="n">
        <v>0</v>
      </c>
      <c r="R887" s="2" t="inlineStr"/>
    </row>
    <row r="888" ht="15" customHeight="1">
      <c r="A888" t="inlineStr">
        <is>
          <t>A 61337-2018</t>
        </is>
      </c>
      <c r="B888" s="1" t="n">
        <v>43424</v>
      </c>
      <c r="C888" s="1" t="n">
        <v>45212</v>
      </c>
      <c r="D888" t="inlineStr">
        <is>
          <t>VÄSTERNORRLANDS LÄN</t>
        </is>
      </c>
      <c r="E888" t="inlineStr">
        <is>
          <t>KRAMFORS</t>
        </is>
      </c>
      <c r="G888" t="n">
        <v>1</v>
      </c>
      <c r="H888" t="n">
        <v>0</v>
      </c>
      <c r="I888" t="n">
        <v>0</v>
      </c>
      <c r="J888" t="n">
        <v>0</v>
      </c>
      <c r="K888" t="n">
        <v>0</v>
      </c>
      <c r="L888" t="n">
        <v>0</v>
      </c>
      <c r="M888" t="n">
        <v>0</v>
      </c>
      <c r="N888" t="n">
        <v>0</v>
      </c>
      <c r="O888" t="n">
        <v>0</v>
      </c>
      <c r="P888" t="n">
        <v>0</v>
      </c>
      <c r="Q888" t="n">
        <v>0</v>
      </c>
      <c r="R888" s="2" t="inlineStr"/>
    </row>
    <row r="889" ht="15" customHeight="1">
      <c r="A889" t="inlineStr">
        <is>
          <t>A 61356-2018</t>
        </is>
      </c>
      <c r="B889" s="1" t="n">
        <v>43424</v>
      </c>
      <c r="C889" s="1" t="n">
        <v>45212</v>
      </c>
      <c r="D889" t="inlineStr">
        <is>
          <t>VÄSTERNORRLANDS LÄN</t>
        </is>
      </c>
      <c r="E889" t="inlineStr">
        <is>
          <t>ÖRNSKÖLDSVIK</t>
        </is>
      </c>
      <c r="F889" t="inlineStr">
        <is>
          <t>Holmen skog AB</t>
        </is>
      </c>
      <c r="G889" t="n">
        <v>14</v>
      </c>
      <c r="H889" t="n">
        <v>0</v>
      </c>
      <c r="I889" t="n">
        <v>0</v>
      </c>
      <c r="J889" t="n">
        <v>0</v>
      </c>
      <c r="K889" t="n">
        <v>0</v>
      </c>
      <c r="L889" t="n">
        <v>0</v>
      </c>
      <c r="M889" t="n">
        <v>0</v>
      </c>
      <c r="N889" t="n">
        <v>0</v>
      </c>
      <c r="O889" t="n">
        <v>0</v>
      </c>
      <c r="P889" t="n">
        <v>0</v>
      </c>
      <c r="Q889" t="n">
        <v>0</v>
      </c>
      <c r="R889" s="2" t="inlineStr"/>
    </row>
    <row r="890" ht="15" customHeight="1">
      <c r="A890" t="inlineStr">
        <is>
          <t>A 65183-2018</t>
        </is>
      </c>
      <c r="B890" s="1" t="n">
        <v>43424</v>
      </c>
      <c r="C890" s="1" t="n">
        <v>45212</v>
      </c>
      <c r="D890" t="inlineStr">
        <is>
          <t>VÄSTERNORRLANDS LÄN</t>
        </is>
      </c>
      <c r="E890" t="inlineStr">
        <is>
          <t>KRAMFORS</t>
        </is>
      </c>
      <c r="G890" t="n">
        <v>2.6</v>
      </c>
      <c r="H890" t="n">
        <v>0</v>
      </c>
      <c r="I890" t="n">
        <v>0</v>
      </c>
      <c r="J890" t="n">
        <v>0</v>
      </c>
      <c r="K890" t="n">
        <v>0</v>
      </c>
      <c r="L890" t="n">
        <v>0</v>
      </c>
      <c r="M890" t="n">
        <v>0</v>
      </c>
      <c r="N890" t="n">
        <v>0</v>
      </c>
      <c r="O890" t="n">
        <v>0</v>
      </c>
      <c r="P890" t="n">
        <v>0</v>
      </c>
      <c r="Q890" t="n">
        <v>0</v>
      </c>
      <c r="R890" s="2" t="inlineStr"/>
    </row>
    <row r="891" ht="15" customHeight="1">
      <c r="A891" t="inlineStr">
        <is>
          <t>A 65209-2018</t>
        </is>
      </c>
      <c r="B891" s="1" t="n">
        <v>43424</v>
      </c>
      <c r="C891" s="1" t="n">
        <v>45212</v>
      </c>
      <c r="D891" t="inlineStr">
        <is>
          <t>VÄSTERNORRLANDS LÄN</t>
        </is>
      </c>
      <c r="E891" t="inlineStr">
        <is>
          <t>KRAMFORS</t>
        </is>
      </c>
      <c r="G891" t="n">
        <v>1.3</v>
      </c>
      <c r="H891" t="n">
        <v>0</v>
      </c>
      <c r="I891" t="n">
        <v>0</v>
      </c>
      <c r="J891" t="n">
        <v>0</v>
      </c>
      <c r="K891" t="n">
        <v>0</v>
      </c>
      <c r="L891" t="n">
        <v>0</v>
      </c>
      <c r="M891" t="n">
        <v>0</v>
      </c>
      <c r="N891" t="n">
        <v>0</v>
      </c>
      <c r="O891" t="n">
        <v>0</v>
      </c>
      <c r="P891" t="n">
        <v>0</v>
      </c>
      <c r="Q891" t="n">
        <v>0</v>
      </c>
      <c r="R891" s="2" t="inlineStr"/>
    </row>
    <row r="892" ht="15" customHeight="1">
      <c r="A892" t="inlineStr">
        <is>
          <t>A 61329-2018</t>
        </is>
      </c>
      <c r="B892" s="1" t="n">
        <v>43424</v>
      </c>
      <c r="C892" s="1" t="n">
        <v>45212</v>
      </c>
      <c r="D892" t="inlineStr">
        <is>
          <t>VÄSTERNORRLANDS LÄN</t>
        </is>
      </c>
      <c r="E892" t="inlineStr">
        <is>
          <t>KRAMFORS</t>
        </is>
      </c>
      <c r="G892" t="n">
        <v>6.3</v>
      </c>
      <c r="H892" t="n">
        <v>0</v>
      </c>
      <c r="I892" t="n">
        <v>0</v>
      </c>
      <c r="J892" t="n">
        <v>0</v>
      </c>
      <c r="K892" t="n">
        <v>0</v>
      </c>
      <c r="L892" t="n">
        <v>0</v>
      </c>
      <c r="M892" t="n">
        <v>0</v>
      </c>
      <c r="N892" t="n">
        <v>0</v>
      </c>
      <c r="O892" t="n">
        <v>0</v>
      </c>
      <c r="P892" t="n">
        <v>0</v>
      </c>
      <c r="Q892" t="n">
        <v>0</v>
      </c>
      <c r="R892" s="2" t="inlineStr"/>
    </row>
    <row r="893" ht="15" customHeight="1">
      <c r="A893" t="inlineStr">
        <is>
          <t>A 61638-2018</t>
        </is>
      </c>
      <c r="B893" s="1" t="n">
        <v>43424</v>
      </c>
      <c r="C893" s="1" t="n">
        <v>45212</v>
      </c>
      <c r="D893" t="inlineStr">
        <is>
          <t>VÄSTERNORRLANDS LÄN</t>
        </is>
      </c>
      <c r="E893" t="inlineStr">
        <is>
          <t>ÅNGE</t>
        </is>
      </c>
      <c r="F893" t="inlineStr">
        <is>
          <t>SCA</t>
        </is>
      </c>
      <c r="G893" t="n">
        <v>3.8</v>
      </c>
      <c r="H893" t="n">
        <v>0</v>
      </c>
      <c r="I893" t="n">
        <v>0</v>
      </c>
      <c r="J893" t="n">
        <v>0</v>
      </c>
      <c r="K893" t="n">
        <v>0</v>
      </c>
      <c r="L893" t="n">
        <v>0</v>
      </c>
      <c r="M893" t="n">
        <v>0</v>
      </c>
      <c r="N893" t="n">
        <v>0</v>
      </c>
      <c r="O893" t="n">
        <v>0</v>
      </c>
      <c r="P893" t="n">
        <v>0</v>
      </c>
      <c r="Q893" t="n">
        <v>0</v>
      </c>
      <c r="R893" s="2" t="inlineStr"/>
    </row>
    <row r="894" ht="15" customHeight="1">
      <c r="A894" t="inlineStr">
        <is>
          <t>A 65408-2018</t>
        </is>
      </c>
      <c r="B894" s="1" t="n">
        <v>43424</v>
      </c>
      <c r="C894" s="1" t="n">
        <v>45212</v>
      </c>
      <c r="D894" t="inlineStr">
        <is>
          <t>VÄSTERNORRLANDS LÄN</t>
        </is>
      </c>
      <c r="E894" t="inlineStr">
        <is>
          <t>KRAMFORS</t>
        </is>
      </c>
      <c r="G894" t="n">
        <v>5</v>
      </c>
      <c r="H894" t="n">
        <v>0</v>
      </c>
      <c r="I894" t="n">
        <v>0</v>
      </c>
      <c r="J894" t="n">
        <v>0</v>
      </c>
      <c r="K894" t="n">
        <v>0</v>
      </c>
      <c r="L894" t="n">
        <v>0</v>
      </c>
      <c r="M894" t="n">
        <v>0</v>
      </c>
      <c r="N894" t="n">
        <v>0</v>
      </c>
      <c r="O894" t="n">
        <v>0</v>
      </c>
      <c r="P894" t="n">
        <v>0</v>
      </c>
      <c r="Q894" t="n">
        <v>0</v>
      </c>
      <c r="R894" s="2" t="inlineStr"/>
    </row>
    <row r="895" ht="15" customHeight="1">
      <c r="A895" t="inlineStr">
        <is>
          <t>A 61936-2018</t>
        </is>
      </c>
      <c r="B895" s="1" t="n">
        <v>43425</v>
      </c>
      <c r="C895" s="1" t="n">
        <v>45212</v>
      </c>
      <c r="D895" t="inlineStr">
        <is>
          <t>VÄSTERNORRLANDS LÄN</t>
        </is>
      </c>
      <c r="E895" t="inlineStr">
        <is>
          <t>ÖRNSKÖLDSVIK</t>
        </is>
      </c>
      <c r="G895" t="n">
        <v>27</v>
      </c>
      <c r="H895" t="n">
        <v>0</v>
      </c>
      <c r="I895" t="n">
        <v>0</v>
      </c>
      <c r="J895" t="n">
        <v>0</v>
      </c>
      <c r="K895" t="n">
        <v>0</v>
      </c>
      <c r="L895" t="n">
        <v>0</v>
      </c>
      <c r="M895" t="n">
        <v>0</v>
      </c>
      <c r="N895" t="n">
        <v>0</v>
      </c>
      <c r="O895" t="n">
        <v>0</v>
      </c>
      <c r="P895" t="n">
        <v>0</v>
      </c>
      <c r="Q895" t="n">
        <v>0</v>
      </c>
      <c r="R895" s="2" t="inlineStr"/>
    </row>
    <row r="896" ht="15" customHeight="1">
      <c r="A896" t="inlineStr">
        <is>
          <t>A 62273-2018</t>
        </is>
      </c>
      <c r="B896" s="1" t="n">
        <v>43425</v>
      </c>
      <c r="C896" s="1" t="n">
        <v>45212</v>
      </c>
      <c r="D896" t="inlineStr">
        <is>
          <t>VÄSTERNORRLANDS LÄN</t>
        </is>
      </c>
      <c r="E896" t="inlineStr">
        <is>
          <t>HÄRNÖSAND</t>
        </is>
      </c>
      <c r="F896" t="inlineStr">
        <is>
          <t>SCA</t>
        </is>
      </c>
      <c r="G896" t="n">
        <v>4.6</v>
      </c>
      <c r="H896" t="n">
        <v>0</v>
      </c>
      <c r="I896" t="n">
        <v>0</v>
      </c>
      <c r="J896" t="n">
        <v>0</v>
      </c>
      <c r="K896" t="n">
        <v>0</v>
      </c>
      <c r="L896" t="n">
        <v>0</v>
      </c>
      <c r="M896" t="n">
        <v>0</v>
      </c>
      <c r="N896" t="n">
        <v>0</v>
      </c>
      <c r="O896" t="n">
        <v>0</v>
      </c>
      <c r="P896" t="n">
        <v>0</v>
      </c>
      <c r="Q896" t="n">
        <v>0</v>
      </c>
      <c r="R896" s="2" t="inlineStr"/>
    </row>
    <row r="897" ht="15" customHeight="1">
      <c r="A897" t="inlineStr">
        <is>
          <t>A 65627-2018</t>
        </is>
      </c>
      <c r="B897" s="1" t="n">
        <v>43425</v>
      </c>
      <c r="C897" s="1" t="n">
        <v>45212</v>
      </c>
      <c r="D897" t="inlineStr">
        <is>
          <t>VÄSTERNORRLANDS LÄN</t>
        </is>
      </c>
      <c r="E897" t="inlineStr">
        <is>
          <t>SOLLEFTEÅ</t>
        </is>
      </c>
      <c r="G897" t="n">
        <v>8.5</v>
      </c>
      <c r="H897" t="n">
        <v>0</v>
      </c>
      <c r="I897" t="n">
        <v>0</v>
      </c>
      <c r="J897" t="n">
        <v>0</v>
      </c>
      <c r="K897" t="n">
        <v>0</v>
      </c>
      <c r="L897" t="n">
        <v>0</v>
      </c>
      <c r="M897" t="n">
        <v>0</v>
      </c>
      <c r="N897" t="n">
        <v>0</v>
      </c>
      <c r="O897" t="n">
        <v>0</v>
      </c>
      <c r="P897" t="n">
        <v>0</v>
      </c>
      <c r="Q897" t="n">
        <v>0</v>
      </c>
      <c r="R897" s="2" t="inlineStr"/>
    </row>
    <row r="898" ht="15" customHeight="1">
      <c r="A898" t="inlineStr">
        <is>
          <t>A 65661-2018</t>
        </is>
      </c>
      <c r="B898" s="1" t="n">
        <v>43426</v>
      </c>
      <c r="C898" s="1" t="n">
        <v>45212</v>
      </c>
      <c r="D898" t="inlineStr">
        <is>
          <t>VÄSTERNORRLANDS LÄN</t>
        </is>
      </c>
      <c r="E898" t="inlineStr">
        <is>
          <t>TIMRÅ</t>
        </is>
      </c>
      <c r="G898" t="n">
        <v>2.5</v>
      </c>
      <c r="H898" t="n">
        <v>0</v>
      </c>
      <c r="I898" t="n">
        <v>0</v>
      </c>
      <c r="J898" t="n">
        <v>0</v>
      </c>
      <c r="K898" t="n">
        <v>0</v>
      </c>
      <c r="L898" t="n">
        <v>0</v>
      </c>
      <c r="M898" t="n">
        <v>0</v>
      </c>
      <c r="N898" t="n">
        <v>0</v>
      </c>
      <c r="O898" t="n">
        <v>0</v>
      </c>
      <c r="P898" t="n">
        <v>0</v>
      </c>
      <c r="Q898" t="n">
        <v>0</v>
      </c>
      <c r="R898" s="2" t="inlineStr"/>
    </row>
    <row r="899" ht="15" customHeight="1">
      <c r="A899" t="inlineStr">
        <is>
          <t>A 66224-2018</t>
        </is>
      </c>
      <c r="B899" s="1" t="n">
        <v>43426</v>
      </c>
      <c r="C899" s="1" t="n">
        <v>45212</v>
      </c>
      <c r="D899" t="inlineStr">
        <is>
          <t>VÄSTERNORRLANDS LÄN</t>
        </is>
      </c>
      <c r="E899" t="inlineStr">
        <is>
          <t>SOLLEFTEÅ</t>
        </is>
      </c>
      <c r="G899" t="n">
        <v>1.5</v>
      </c>
      <c r="H899" t="n">
        <v>0</v>
      </c>
      <c r="I899" t="n">
        <v>0</v>
      </c>
      <c r="J899" t="n">
        <v>0</v>
      </c>
      <c r="K899" t="n">
        <v>0</v>
      </c>
      <c r="L899" t="n">
        <v>0</v>
      </c>
      <c r="M899" t="n">
        <v>0</v>
      </c>
      <c r="N899" t="n">
        <v>0</v>
      </c>
      <c r="O899" t="n">
        <v>0</v>
      </c>
      <c r="P899" t="n">
        <v>0</v>
      </c>
      <c r="Q899" t="n">
        <v>0</v>
      </c>
      <c r="R899" s="2" t="inlineStr"/>
    </row>
    <row r="900" ht="15" customHeight="1">
      <c r="A900" t="inlineStr">
        <is>
          <t>A 66239-2018</t>
        </is>
      </c>
      <c r="B900" s="1" t="n">
        <v>43426</v>
      </c>
      <c r="C900" s="1" t="n">
        <v>45212</v>
      </c>
      <c r="D900" t="inlineStr">
        <is>
          <t>VÄSTERNORRLANDS LÄN</t>
        </is>
      </c>
      <c r="E900" t="inlineStr">
        <is>
          <t>ÖRNSKÖLDSVIK</t>
        </is>
      </c>
      <c r="G900" t="n">
        <v>2.9</v>
      </c>
      <c r="H900" t="n">
        <v>0</v>
      </c>
      <c r="I900" t="n">
        <v>0</v>
      </c>
      <c r="J900" t="n">
        <v>0</v>
      </c>
      <c r="K900" t="n">
        <v>0</v>
      </c>
      <c r="L900" t="n">
        <v>0</v>
      </c>
      <c r="M900" t="n">
        <v>0</v>
      </c>
      <c r="N900" t="n">
        <v>0</v>
      </c>
      <c r="O900" t="n">
        <v>0</v>
      </c>
      <c r="P900" t="n">
        <v>0</v>
      </c>
      <c r="Q900" t="n">
        <v>0</v>
      </c>
      <c r="R900" s="2" t="inlineStr"/>
    </row>
    <row r="901" ht="15" customHeight="1">
      <c r="A901" t="inlineStr">
        <is>
          <t>A 63618-2018</t>
        </is>
      </c>
      <c r="B901" s="1" t="n">
        <v>43427</v>
      </c>
      <c r="C901" s="1" t="n">
        <v>45212</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63664-2018</t>
        </is>
      </c>
      <c r="B902" s="1" t="n">
        <v>43427</v>
      </c>
      <c r="C902" s="1" t="n">
        <v>45212</v>
      </c>
      <c r="D902" t="inlineStr">
        <is>
          <t>VÄSTERNORRLANDS LÄN</t>
        </is>
      </c>
      <c r="E902" t="inlineStr">
        <is>
          <t>SOLLEFTEÅ</t>
        </is>
      </c>
      <c r="G902" t="n">
        <v>1.9</v>
      </c>
      <c r="H902" t="n">
        <v>0</v>
      </c>
      <c r="I902" t="n">
        <v>0</v>
      </c>
      <c r="J902" t="n">
        <v>0</v>
      </c>
      <c r="K902" t="n">
        <v>0</v>
      </c>
      <c r="L902" t="n">
        <v>0</v>
      </c>
      <c r="M902" t="n">
        <v>0</v>
      </c>
      <c r="N902" t="n">
        <v>0</v>
      </c>
      <c r="O902" t="n">
        <v>0</v>
      </c>
      <c r="P902" t="n">
        <v>0</v>
      </c>
      <c r="Q902" t="n">
        <v>0</v>
      </c>
      <c r="R902" s="2" t="inlineStr"/>
    </row>
    <row r="903" ht="15" customHeight="1">
      <c r="A903" t="inlineStr">
        <is>
          <t>A 66337-2018</t>
        </is>
      </c>
      <c r="B903" s="1" t="n">
        <v>43427</v>
      </c>
      <c r="C903" s="1" t="n">
        <v>45212</v>
      </c>
      <c r="D903" t="inlineStr">
        <is>
          <t>VÄSTERNORRLANDS LÄN</t>
        </is>
      </c>
      <c r="E903" t="inlineStr">
        <is>
          <t>KRAMFORS</t>
        </is>
      </c>
      <c r="G903" t="n">
        <v>2.3</v>
      </c>
      <c r="H903" t="n">
        <v>0</v>
      </c>
      <c r="I903" t="n">
        <v>0</v>
      </c>
      <c r="J903" t="n">
        <v>0</v>
      </c>
      <c r="K903" t="n">
        <v>0</v>
      </c>
      <c r="L903" t="n">
        <v>0</v>
      </c>
      <c r="M903" t="n">
        <v>0</v>
      </c>
      <c r="N903" t="n">
        <v>0</v>
      </c>
      <c r="O903" t="n">
        <v>0</v>
      </c>
      <c r="P903" t="n">
        <v>0</v>
      </c>
      <c r="Q903" t="n">
        <v>0</v>
      </c>
      <c r="R903" s="2" t="inlineStr"/>
    </row>
    <row r="904" ht="15" customHeight="1">
      <c r="A904" t="inlineStr">
        <is>
          <t>A 63391-2018</t>
        </is>
      </c>
      <c r="B904" s="1" t="n">
        <v>43427</v>
      </c>
      <c r="C904" s="1" t="n">
        <v>45212</v>
      </c>
      <c r="D904" t="inlineStr">
        <is>
          <t>VÄSTERNORRLANDS LÄN</t>
        </is>
      </c>
      <c r="E904" t="inlineStr">
        <is>
          <t>SOLLEFTEÅ</t>
        </is>
      </c>
      <c r="G904" t="n">
        <v>9</v>
      </c>
      <c r="H904" t="n">
        <v>0</v>
      </c>
      <c r="I904" t="n">
        <v>0</v>
      </c>
      <c r="J904" t="n">
        <v>0</v>
      </c>
      <c r="K904" t="n">
        <v>0</v>
      </c>
      <c r="L904" t="n">
        <v>0</v>
      </c>
      <c r="M904" t="n">
        <v>0</v>
      </c>
      <c r="N904" t="n">
        <v>0</v>
      </c>
      <c r="O904" t="n">
        <v>0</v>
      </c>
      <c r="P904" t="n">
        <v>0</v>
      </c>
      <c r="Q904" t="n">
        <v>0</v>
      </c>
      <c r="R904" s="2" t="inlineStr"/>
    </row>
    <row r="905" ht="15" customHeight="1">
      <c r="A905" t="inlineStr">
        <is>
          <t>A 63627-2018</t>
        </is>
      </c>
      <c r="B905" s="1" t="n">
        <v>43427</v>
      </c>
      <c r="C905" s="1" t="n">
        <v>45212</v>
      </c>
      <c r="D905" t="inlineStr">
        <is>
          <t>VÄSTERNORRLANDS LÄN</t>
        </is>
      </c>
      <c r="E905" t="inlineStr">
        <is>
          <t>SUNDSVALL</t>
        </is>
      </c>
      <c r="G905" t="n">
        <v>1.4</v>
      </c>
      <c r="H905" t="n">
        <v>0</v>
      </c>
      <c r="I905" t="n">
        <v>0</v>
      </c>
      <c r="J905" t="n">
        <v>0</v>
      </c>
      <c r="K905" t="n">
        <v>0</v>
      </c>
      <c r="L905" t="n">
        <v>0</v>
      </c>
      <c r="M905" t="n">
        <v>0</v>
      </c>
      <c r="N905" t="n">
        <v>0</v>
      </c>
      <c r="O905" t="n">
        <v>0</v>
      </c>
      <c r="P905" t="n">
        <v>0</v>
      </c>
      <c r="Q905" t="n">
        <v>0</v>
      </c>
      <c r="R905" s="2" t="inlineStr"/>
    </row>
    <row r="906" ht="15" customHeight="1">
      <c r="A906" t="inlineStr">
        <is>
          <t>A 63818-2018</t>
        </is>
      </c>
      <c r="B906" s="1" t="n">
        <v>43429</v>
      </c>
      <c r="C906" s="1" t="n">
        <v>45212</v>
      </c>
      <c r="D906" t="inlineStr">
        <is>
          <t>VÄSTERNORRLANDS LÄN</t>
        </is>
      </c>
      <c r="E906" t="inlineStr">
        <is>
          <t>HÄRNÖSAND</t>
        </is>
      </c>
      <c r="F906" t="inlineStr">
        <is>
          <t>SCA</t>
        </is>
      </c>
      <c r="G906" t="n">
        <v>10.4</v>
      </c>
      <c r="H906" t="n">
        <v>0</v>
      </c>
      <c r="I906" t="n">
        <v>0</v>
      </c>
      <c r="J906" t="n">
        <v>0</v>
      </c>
      <c r="K906" t="n">
        <v>0</v>
      </c>
      <c r="L906" t="n">
        <v>0</v>
      </c>
      <c r="M906" t="n">
        <v>0</v>
      </c>
      <c r="N906" t="n">
        <v>0</v>
      </c>
      <c r="O906" t="n">
        <v>0</v>
      </c>
      <c r="P906" t="n">
        <v>0</v>
      </c>
      <c r="Q906" t="n">
        <v>0</v>
      </c>
      <c r="R906" s="2" t="inlineStr"/>
    </row>
    <row r="907" ht="15" customHeight="1">
      <c r="A907" t="inlineStr">
        <is>
          <t>A 63821-2018</t>
        </is>
      </c>
      <c r="B907" s="1" t="n">
        <v>43429</v>
      </c>
      <c r="C907" s="1" t="n">
        <v>45212</v>
      </c>
      <c r="D907" t="inlineStr">
        <is>
          <t>VÄSTERNORRLANDS LÄN</t>
        </is>
      </c>
      <c r="E907" t="inlineStr">
        <is>
          <t>ÖRNSKÖLDSVIK</t>
        </is>
      </c>
      <c r="G907" t="n">
        <v>3</v>
      </c>
      <c r="H907" t="n">
        <v>0</v>
      </c>
      <c r="I907" t="n">
        <v>0</v>
      </c>
      <c r="J907" t="n">
        <v>0</v>
      </c>
      <c r="K907" t="n">
        <v>0</v>
      </c>
      <c r="L907" t="n">
        <v>0</v>
      </c>
      <c r="M907" t="n">
        <v>0</v>
      </c>
      <c r="N907" t="n">
        <v>0</v>
      </c>
      <c r="O907" t="n">
        <v>0</v>
      </c>
      <c r="P907" t="n">
        <v>0</v>
      </c>
      <c r="Q907" t="n">
        <v>0</v>
      </c>
      <c r="R907" s="2" t="inlineStr"/>
    </row>
    <row r="908" ht="15" customHeight="1">
      <c r="A908" t="inlineStr">
        <is>
          <t>A 64084-2018</t>
        </is>
      </c>
      <c r="B908" s="1" t="n">
        <v>43430</v>
      </c>
      <c r="C908" s="1" t="n">
        <v>45212</v>
      </c>
      <c r="D908" t="inlineStr">
        <is>
          <t>VÄSTERNORRLANDS LÄN</t>
        </is>
      </c>
      <c r="E908" t="inlineStr">
        <is>
          <t>SOLLEFTEÅ</t>
        </is>
      </c>
      <c r="G908" t="n">
        <v>1.7</v>
      </c>
      <c r="H908" t="n">
        <v>0</v>
      </c>
      <c r="I908" t="n">
        <v>0</v>
      </c>
      <c r="J908" t="n">
        <v>0</v>
      </c>
      <c r="K908" t="n">
        <v>0</v>
      </c>
      <c r="L908" t="n">
        <v>0</v>
      </c>
      <c r="M908" t="n">
        <v>0</v>
      </c>
      <c r="N908" t="n">
        <v>0</v>
      </c>
      <c r="O908" t="n">
        <v>0</v>
      </c>
      <c r="P908" t="n">
        <v>0</v>
      </c>
      <c r="Q908" t="n">
        <v>0</v>
      </c>
      <c r="R908" s="2" t="inlineStr"/>
    </row>
    <row r="909" ht="15" customHeight="1">
      <c r="A909" t="inlineStr">
        <is>
          <t>A 64419-2018</t>
        </is>
      </c>
      <c r="B909" s="1" t="n">
        <v>43430</v>
      </c>
      <c r="C909" s="1" t="n">
        <v>45212</v>
      </c>
      <c r="D909" t="inlineStr">
        <is>
          <t>VÄSTERNORRLANDS LÄN</t>
        </is>
      </c>
      <c r="E909" t="inlineStr">
        <is>
          <t>SUNDSVALL</t>
        </is>
      </c>
      <c r="G909" t="n">
        <v>8.1</v>
      </c>
      <c r="H909" t="n">
        <v>0</v>
      </c>
      <c r="I909" t="n">
        <v>0</v>
      </c>
      <c r="J909" t="n">
        <v>0</v>
      </c>
      <c r="K909" t="n">
        <v>0</v>
      </c>
      <c r="L909" t="n">
        <v>0</v>
      </c>
      <c r="M909" t="n">
        <v>0</v>
      </c>
      <c r="N909" t="n">
        <v>0</v>
      </c>
      <c r="O909" t="n">
        <v>0</v>
      </c>
      <c r="P909" t="n">
        <v>0</v>
      </c>
      <c r="Q909" t="n">
        <v>0</v>
      </c>
      <c r="R909" s="2" t="inlineStr"/>
    </row>
    <row r="910" ht="15" customHeight="1">
      <c r="A910" t="inlineStr">
        <is>
          <t>A 68582-2018</t>
        </is>
      </c>
      <c r="B910" s="1" t="n">
        <v>43430</v>
      </c>
      <c r="C910" s="1" t="n">
        <v>45212</v>
      </c>
      <c r="D910" t="inlineStr">
        <is>
          <t>VÄSTERNORRLANDS LÄN</t>
        </is>
      </c>
      <c r="E910" t="inlineStr">
        <is>
          <t>KRAMFORS</t>
        </is>
      </c>
      <c r="G910" t="n">
        <v>0.8</v>
      </c>
      <c r="H910" t="n">
        <v>0</v>
      </c>
      <c r="I910" t="n">
        <v>0</v>
      </c>
      <c r="J910" t="n">
        <v>0</v>
      </c>
      <c r="K910" t="n">
        <v>0</v>
      </c>
      <c r="L910" t="n">
        <v>0</v>
      </c>
      <c r="M910" t="n">
        <v>0</v>
      </c>
      <c r="N910" t="n">
        <v>0</v>
      </c>
      <c r="O910" t="n">
        <v>0</v>
      </c>
      <c r="P910" t="n">
        <v>0</v>
      </c>
      <c r="Q910" t="n">
        <v>0</v>
      </c>
      <c r="R910" s="2" t="inlineStr"/>
    </row>
    <row r="911" ht="15" customHeight="1">
      <c r="A911" t="inlineStr">
        <is>
          <t>A 64406-2018</t>
        </is>
      </c>
      <c r="B911" s="1" t="n">
        <v>43430</v>
      </c>
      <c r="C911" s="1" t="n">
        <v>45212</v>
      </c>
      <c r="D911" t="inlineStr">
        <is>
          <t>VÄSTERNORRLANDS LÄN</t>
        </is>
      </c>
      <c r="E911" t="inlineStr">
        <is>
          <t>ÖRNSKÖLDSVIK</t>
        </is>
      </c>
      <c r="F911" t="inlineStr">
        <is>
          <t>SCA</t>
        </is>
      </c>
      <c r="G911" t="n">
        <v>12.7</v>
      </c>
      <c r="H911" t="n">
        <v>0</v>
      </c>
      <c r="I911" t="n">
        <v>0</v>
      </c>
      <c r="J911" t="n">
        <v>0</v>
      </c>
      <c r="K911" t="n">
        <v>0</v>
      </c>
      <c r="L911" t="n">
        <v>0</v>
      </c>
      <c r="M911" t="n">
        <v>0</v>
      </c>
      <c r="N911" t="n">
        <v>0</v>
      </c>
      <c r="O911" t="n">
        <v>0</v>
      </c>
      <c r="P911" t="n">
        <v>0</v>
      </c>
      <c r="Q911" t="n">
        <v>0</v>
      </c>
      <c r="R911" s="2" t="inlineStr"/>
    </row>
    <row r="912" ht="15" customHeight="1">
      <c r="A912" t="inlineStr">
        <is>
          <t>A 63998-2018</t>
        </is>
      </c>
      <c r="B912" s="1" t="n">
        <v>43430</v>
      </c>
      <c r="C912" s="1" t="n">
        <v>45212</v>
      </c>
      <c r="D912" t="inlineStr">
        <is>
          <t>VÄSTERNORRLANDS LÄN</t>
        </is>
      </c>
      <c r="E912" t="inlineStr">
        <is>
          <t>ÅNGE</t>
        </is>
      </c>
      <c r="G912" t="n">
        <v>1.1</v>
      </c>
      <c r="H912" t="n">
        <v>0</v>
      </c>
      <c r="I912" t="n">
        <v>0</v>
      </c>
      <c r="J912" t="n">
        <v>0</v>
      </c>
      <c r="K912" t="n">
        <v>0</v>
      </c>
      <c r="L912" t="n">
        <v>0</v>
      </c>
      <c r="M912" t="n">
        <v>0</v>
      </c>
      <c r="N912" t="n">
        <v>0</v>
      </c>
      <c r="O912" t="n">
        <v>0</v>
      </c>
      <c r="P912" t="n">
        <v>0</v>
      </c>
      <c r="Q912" t="n">
        <v>0</v>
      </c>
      <c r="R912" s="2" t="inlineStr"/>
    </row>
    <row r="913" ht="15" customHeight="1">
      <c r="A913" t="inlineStr">
        <is>
          <t>A 64420-2018</t>
        </is>
      </c>
      <c r="B913" s="1" t="n">
        <v>43430</v>
      </c>
      <c r="C913" s="1" t="n">
        <v>45212</v>
      </c>
      <c r="D913" t="inlineStr">
        <is>
          <t>VÄSTERNORRLANDS LÄN</t>
        </is>
      </c>
      <c r="E913" t="inlineStr">
        <is>
          <t>SUNDSVALL</t>
        </is>
      </c>
      <c r="G913" t="n">
        <v>10.4</v>
      </c>
      <c r="H913" t="n">
        <v>0</v>
      </c>
      <c r="I913" t="n">
        <v>0</v>
      </c>
      <c r="J913" t="n">
        <v>0</v>
      </c>
      <c r="K913" t="n">
        <v>0</v>
      </c>
      <c r="L913" t="n">
        <v>0</v>
      </c>
      <c r="M913" t="n">
        <v>0</v>
      </c>
      <c r="N913" t="n">
        <v>0</v>
      </c>
      <c r="O913" t="n">
        <v>0</v>
      </c>
      <c r="P913" t="n">
        <v>0</v>
      </c>
      <c r="Q913" t="n">
        <v>0</v>
      </c>
      <c r="R913" s="2" t="inlineStr"/>
    </row>
    <row r="914" ht="15" customHeight="1">
      <c r="A914" t="inlineStr">
        <is>
          <t>A 65933-2018</t>
        </is>
      </c>
      <c r="B914" s="1" t="n">
        <v>43430</v>
      </c>
      <c r="C914" s="1" t="n">
        <v>45212</v>
      </c>
      <c r="D914" t="inlineStr">
        <is>
          <t>VÄSTERNORRLANDS LÄN</t>
        </is>
      </c>
      <c r="E914" t="inlineStr">
        <is>
          <t>ÖRNSKÖLDSVIK</t>
        </is>
      </c>
      <c r="G914" t="n">
        <v>2.2</v>
      </c>
      <c r="H914" t="n">
        <v>0</v>
      </c>
      <c r="I914" t="n">
        <v>0</v>
      </c>
      <c r="J914" t="n">
        <v>0</v>
      </c>
      <c r="K914" t="n">
        <v>0</v>
      </c>
      <c r="L914" t="n">
        <v>0</v>
      </c>
      <c r="M914" t="n">
        <v>0</v>
      </c>
      <c r="N914" t="n">
        <v>0</v>
      </c>
      <c r="O914" t="n">
        <v>0</v>
      </c>
      <c r="P914" t="n">
        <v>0</v>
      </c>
      <c r="Q914" t="n">
        <v>0</v>
      </c>
      <c r="R914" s="2" t="inlineStr"/>
    </row>
    <row r="915" ht="15" customHeight="1">
      <c r="A915" t="inlineStr">
        <is>
          <t>A 64934-2018</t>
        </is>
      </c>
      <c r="B915" s="1" t="n">
        <v>43431</v>
      </c>
      <c r="C915" s="1" t="n">
        <v>45212</v>
      </c>
      <c r="D915" t="inlineStr">
        <is>
          <t>VÄSTERNORRLANDS LÄN</t>
        </is>
      </c>
      <c r="E915" t="inlineStr">
        <is>
          <t>SUNDSVALL</t>
        </is>
      </c>
      <c r="G915" t="n">
        <v>2.9</v>
      </c>
      <c r="H915" t="n">
        <v>0</v>
      </c>
      <c r="I915" t="n">
        <v>0</v>
      </c>
      <c r="J915" t="n">
        <v>0</v>
      </c>
      <c r="K915" t="n">
        <v>0</v>
      </c>
      <c r="L915" t="n">
        <v>0</v>
      </c>
      <c r="M915" t="n">
        <v>0</v>
      </c>
      <c r="N915" t="n">
        <v>0</v>
      </c>
      <c r="O915" t="n">
        <v>0</v>
      </c>
      <c r="P915" t="n">
        <v>0</v>
      </c>
      <c r="Q915" t="n">
        <v>0</v>
      </c>
      <c r="R915" s="2" t="inlineStr"/>
    </row>
    <row r="916" ht="15" customHeight="1">
      <c r="A916" t="inlineStr">
        <is>
          <t>A 64711-2018</t>
        </is>
      </c>
      <c r="B916" s="1" t="n">
        <v>43431</v>
      </c>
      <c r="C916" s="1" t="n">
        <v>45212</v>
      </c>
      <c r="D916" t="inlineStr">
        <is>
          <t>VÄSTERNORRLANDS LÄN</t>
        </is>
      </c>
      <c r="E916" t="inlineStr">
        <is>
          <t>ÖRNSKÖLDSVIK</t>
        </is>
      </c>
      <c r="G916" t="n">
        <v>1.1</v>
      </c>
      <c r="H916" t="n">
        <v>0</v>
      </c>
      <c r="I916" t="n">
        <v>0</v>
      </c>
      <c r="J916" t="n">
        <v>0</v>
      </c>
      <c r="K916" t="n">
        <v>0</v>
      </c>
      <c r="L916" t="n">
        <v>0</v>
      </c>
      <c r="M916" t="n">
        <v>0</v>
      </c>
      <c r="N916" t="n">
        <v>0</v>
      </c>
      <c r="O916" t="n">
        <v>0</v>
      </c>
      <c r="P916" t="n">
        <v>0</v>
      </c>
      <c r="Q916" t="n">
        <v>0</v>
      </c>
      <c r="R916" s="2" t="inlineStr"/>
    </row>
    <row r="917" ht="15" customHeight="1">
      <c r="A917" t="inlineStr">
        <is>
          <t>A 65006-2018</t>
        </is>
      </c>
      <c r="B917" s="1" t="n">
        <v>43432</v>
      </c>
      <c r="C917" s="1" t="n">
        <v>45212</v>
      </c>
      <c r="D917" t="inlineStr">
        <is>
          <t>VÄSTERNORRLANDS LÄN</t>
        </is>
      </c>
      <c r="E917" t="inlineStr">
        <is>
          <t>ÖRNSKÖLDSVIK</t>
        </is>
      </c>
      <c r="G917" t="n">
        <v>0.9</v>
      </c>
      <c r="H917" t="n">
        <v>0</v>
      </c>
      <c r="I917" t="n">
        <v>0</v>
      </c>
      <c r="J917" t="n">
        <v>0</v>
      </c>
      <c r="K917" t="n">
        <v>0</v>
      </c>
      <c r="L917" t="n">
        <v>0</v>
      </c>
      <c r="M917" t="n">
        <v>0</v>
      </c>
      <c r="N917" t="n">
        <v>0</v>
      </c>
      <c r="O917" t="n">
        <v>0</v>
      </c>
      <c r="P917" t="n">
        <v>0</v>
      </c>
      <c r="Q917" t="n">
        <v>0</v>
      </c>
      <c r="R917" s="2" t="inlineStr"/>
    </row>
    <row r="918" ht="15" customHeight="1">
      <c r="A918" t="inlineStr">
        <is>
          <t>A 65329-2018</t>
        </is>
      </c>
      <c r="B918" s="1" t="n">
        <v>43432</v>
      </c>
      <c r="C918" s="1" t="n">
        <v>45212</v>
      </c>
      <c r="D918" t="inlineStr">
        <is>
          <t>VÄSTERNORRLANDS LÄN</t>
        </is>
      </c>
      <c r="E918" t="inlineStr">
        <is>
          <t>SUNDSVALL</t>
        </is>
      </c>
      <c r="G918" t="n">
        <v>2.1</v>
      </c>
      <c r="H918" t="n">
        <v>0</v>
      </c>
      <c r="I918" t="n">
        <v>0</v>
      </c>
      <c r="J918" t="n">
        <v>0</v>
      </c>
      <c r="K918" t="n">
        <v>0</v>
      </c>
      <c r="L918" t="n">
        <v>0</v>
      </c>
      <c r="M918" t="n">
        <v>0</v>
      </c>
      <c r="N918" t="n">
        <v>0</v>
      </c>
      <c r="O918" t="n">
        <v>0</v>
      </c>
      <c r="P918" t="n">
        <v>0</v>
      </c>
      <c r="Q918" t="n">
        <v>0</v>
      </c>
      <c r="R918" s="2" t="inlineStr"/>
    </row>
    <row r="919" ht="15" customHeight="1">
      <c r="A919" t="inlineStr">
        <is>
          <t>A 67340-2018</t>
        </is>
      </c>
      <c r="B919" s="1" t="n">
        <v>43432</v>
      </c>
      <c r="C919" s="1" t="n">
        <v>45212</v>
      </c>
      <c r="D919" t="inlineStr">
        <is>
          <t>VÄSTERNORRLANDS LÄN</t>
        </is>
      </c>
      <c r="E919" t="inlineStr">
        <is>
          <t>ÖRNSKÖLDSVIK</t>
        </is>
      </c>
      <c r="G919" t="n">
        <v>2.5</v>
      </c>
      <c r="H919" t="n">
        <v>0</v>
      </c>
      <c r="I919" t="n">
        <v>0</v>
      </c>
      <c r="J919" t="n">
        <v>0</v>
      </c>
      <c r="K919" t="n">
        <v>0</v>
      </c>
      <c r="L919" t="n">
        <v>0</v>
      </c>
      <c r="M919" t="n">
        <v>0</v>
      </c>
      <c r="N919" t="n">
        <v>0</v>
      </c>
      <c r="O919" t="n">
        <v>0</v>
      </c>
      <c r="P919" t="n">
        <v>0</v>
      </c>
      <c r="Q919" t="n">
        <v>0</v>
      </c>
      <c r="R919" s="2" t="inlineStr"/>
    </row>
    <row r="920" ht="15" customHeight="1">
      <c r="A920" t="inlineStr">
        <is>
          <t>A 67425-2018</t>
        </is>
      </c>
      <c r="B920" s="1" t="n">
        <v>43432</v>
      </c>
      <c r="C920" s="1" t="n">
        <v>45212</v>
      </c>
      <c r="D920" t="inlineStr">
        <is>
          <t>VÄSTERNORRLANDS LÄN</t>
        </is>
      </c>
      <c r="E920" t="inlineStr">
        <is>
          <t>ÅNGE</t>
        </is>
      </c>
      <c r="G920" t="n">
        <v>5.5</v>
      </c>
      <c r="H920" t="n">
        <v>0</v>
      </c>
      <c r="I920" t="n">
        <v>0</v>
      </c>
      <c r="J920" t="n">
        <v>0</v>
      </c>
      <c r="K920" t="n">
        <v>0</v>
      </c>
      <c r="L920" t="n">
        <v>0</v>
      </c>
      <c r="M920" t="n">
        <v>0</v>
      </c>
      <c r="N920" t="n">
        <v>0</v>
      </c>
      <c r="O920" t="n">
        <v>0</v>
      </c>
      <c r="P920" t="n">
        <v>0</v>
      </c>
      <c r="Q920" t="n">
        <v>0</v>
      </c>
      <c r="R920" s="2" t="inlineStr"/>
    </row>
    <row r="921" ht="15" customHeight="1">
      <c r="A921" t="inlineStr">
        <is>
          <t>A 65313-2018</t>
        </is>
      </c>
      <c r="B921" s="1" t="n">
        <v>43432</v>
      </c>
      <c r="C921" s="1" t="n">
        <v>45212</v>
      </c>
      <c r="D921" t="inlineStr">
        <is>
          <t>VÄSTERNORRLANDS LÄN</t>
        </is>
      </c>
      <c r="E921" t="inlineStr">
        <is>
          <t>SUNDSVALL</t>
        </is>
      </c>
      <c r="G921" t="n">
        <v>0.9</v>
      </c>
      <c r="H921" t="n">
        <v>0</v>
      </c>
      <c r="I921" t="n">
        <v>0</v>
      </c>
      <c r="J921" t="n">
        <v>0</v>
      </c>
      <c r="K921" t="n">
        <v>0</v>
      </c>
      <c r="L921" t="n">
        <v>0</v>
      </c>
      <c r="M921" t="n">
        <v>0</v>
      </c>
      <c r="N921" t="n">
        <v>0</v>
      </c>
      <c r="O921" t="n">
        <v>0</v>
      </c>
      <c r="P921" t="n">
        <v>0</v>
      </c>
      <c r="Q921" t="n">
        <v>0</v>
      </c>
      <c r="R921" s="2" t="inlineStr"/>
    </row>
    <row r="922" ht="15" customHeight="1">
      <c r="A922" t="inlineStr">
        <is>
          <t>A 67309-2018</t>
        </is>
      </c>
      <c r="B922" s="1" t="n">
        <v>43432</v>
      </c>
      <c r="C922" s="1" t="n">
        <v>45212</v>
      </c>
      <c r="D922" t="inlineStr">
        <is>
          <t>VÄSTERNORRLANDS LÄN</t>
        </is>
      </c>
      <c r="E922" t="inlineStr">
        <is>
          <t>SOLLEFTEÅ</t>
        </is>
      </c>
      <c r="G922" t="n">
        <v>4.1</v>
      </c>
      <c r="H922" t="n">
        <v>0</v>
      </c>
      <c r="I922" t="n">
        <v>0</v>
      </c>
      <c r="J922" t="n">
        <v>0</v>
      </c>
      <c r="K922" t="n">
        <v>0</v>
      </c>
      <c r="L922" t="n">
        <v>0</v>
      </c>
      <c r="M922" t="n">
        <v>0</v>
      </c>
      <c r="N922" t="n">
        <v>0</v>
      </c>
      <c r="O922" t="n">
        <v>0</v>
      </c>
      <c r="P922" t="n">
        <v>0</v>
      </c>
      <c r="Q922" t="n">
        <v>0</v>
      </c>
      <c r="R922" s="2" t="inlineStr"/>
    </row>
    <row r="923" ht="15" customHeight="1">
      <c r="A923" t="inlineStr">
        <is>
          <t>A 67345-2018</t>
        </is>
      </c>
      <c r="B923" s="1" t="n">
        <v>43432</v>
      </c>
      <c r="C923" s="1" t="n">
        <v>45212</v>
      </c>
      <c r="D923" t="inlineStr">
        <is>
          <t>VÄSTERNORRLANDS LÄN</t>
        </is>
      </c>
      <c r="E923" t="inlineStr">
        <is>
          <t>ÖRNSKÖLDSVIK</t>
        </is>
      </c>
      <c r="G923" t="n">
        <v>2</v>
      </c>
      <c r="H923" t="n">
        <v>0</v>
      </c>
      <c r="I923" t="n">
        <v>0</v>
      </c>
      <c r="J923" t="n">
        <v>0</v>
      </c>
      <c r="K923" t="n">
        <v>0</v>
      </c>
      <c r="L923" t="n">
        <v>0</v>
      </c>
      <c r="M923" t="n">
        <v>0</v>
      </c>
      <c r="N923" t="n">
        <v>0</v>
      </c>
      <c r="O923" t="n">
        <v>0</v>
      </c>
      <c r="P923" t="n">
        <v>0</v>
      </c>
      <c r="Q923" t="n">
        <v>0</v>
      </c>
      <c r="R923" s="2" t="inlineStr"/>
    </row>
    <row r="924" ht="15" customHeight="1">
      <c r="A924" t="inlineStr">
        <is>
          <t>A 64993-2018</t>
        </is>
      </c>
      <c r="B924" s="1" t="n">
        <v>43432</v>
      </c>
      <c r="C924" s="1" t="n">
        <v>45212</v>
      </c>
      <c r="D924" t="inlineStr">
        <is>
          <t>VÄSTERNORRLANDS LÄN</t>
        </is>
      </c>
      <c r="E924" t="inlineStr">
        <is>
          <t>ÖRNSKÖLDSVIK</t>
        </is>
      </c>
      <c r="G924" t="n">
        <v>0.5</v>
      </c>
      <c r="H924" t="n">
        <v>0</v>
      </c>
      <c r="I924" t="n">
        <v>0</v>
      </c>
      <c r="J924" t="n">
        <v>0</v>
      </c>
      <c r="K924" t="n">
        <v>0</v>
      </c>
      <c r="L924" t="n">
        <v>0</v>
      </c>
      <c r="M924" t="n">
        <v>0</v>
      </c>
      <c r="N924" t="n">
        <v>0</v>
      </c>
      <c r="O924" t="n">
        <v>0</v>
      </c>
      <c r="P924" t="n">
        <v>0</v>
      </c>
      <c r="Q924" t="n">
        <v>0</v>
      </c>
      <c r="R924" s="2" t="inlineStr"/>
    </row>
    <row r="925" ht="15" customHeight="1">
      <c r="A925" t="inlineStr">
        <is>
          <t>A 65017-2018</t>
        </is>
      </c>
      <c r="B925" s="1" t="n">
        <v>43432</v>
      </c>
      <c r="C925" s="1" t="n">
        <v>45212</v>
      </c>
      <c r="D925" t="inlineStr">
        <is>
          <t>VÄSTERNORRLANDS LÄN</t>
        </is>
      </c>
      <c r="E925" t="inlineStr">
        <is>
          <t>ÖRNSKÖLDSVIK</t>
        </is>
      </c>
      <c r="G925" t="n">
        <v>1.9</v>
      </c>
      <c r="H925" t="n">
        <v>0</v>
      </c>
      <c r="I925" t="n">
        <v>0</v>
      </c>
      <c r="J925" t="n">
        <v>0</v>
      </c>
      <c r="K925" t="n">
        <v>0</v>
      </c>
      <c r="L925" t="n">
        <v>0</v>
      </c>
      <c r="M925" t="n">
        <v>0</v>
      </c>
      <c r="N925" t="n">
        <v>0</v>
      </c>
      <c r="O925" t="n">
        <v>0</v>
      </c>
      <c r="P925" t="n">
        <v>0</v>
      </c>
      <c r="Q925" t="n">
        <v>0</v>
      </c>
      <c r="R925" s="2" t="inlineStr"/>
    </row>
    <row r="926" ht="15" customHeight="1">
      <c r="A926" t="inlineStr">
        <is>
          <t>A 65040-2018</t>
        </is>
      </c>
      <c r="B926" s="1" t="n">
        <v>43432</v>
      </c>
      <c r="C926" s="1" t="n">
        <v>45212</v>
      </c>
      <c r="D926" t="inlineStr">
        <is>
          <t>VÄSTERNORRLANDS LÄN</t>
        </is>
      </c>
      <c r="E926" t="inlineStr">
        <is>
          <t>KRAMFORS</t>
        </is>
      </c>
      <c r="G926" t="n">
        <v>0.3</v>
      </c>
      <c r="H926" t="n">
        <v>0</v>
      </c>
      <c r="I926" t="n">
        <v>0</v>
      </c>
      <c r="J926" t="n">
        <v>0</v>
      </c>
      <c r="K926" t="n">
        <v>0</v>
      </c>
      <c r="L926" t="n">
        <v>0</v>
      </c>
      <c r="M926" t="n">
        <v>0</v>
      </c>
      <c r="N926" t="n">
        <v>0</v>
      </c>
      <c r="O926" t="n">
        <v>0</v>
      </c>
      <c r="P926" t="n">
        <v>0</v>
      </c>
      <c r="Q926" t="n">
        <v>0</v>
      </c>
      <c r="R926" s="2" t="inlineStr"/>
    </row>
    <row r="927" ht="15" customHeight="1">
      <c r="A927" t="inlineStr">
        <is>
          <t>A 65328-2018</t>
        </is>
      </c>
      <c r="B927" s="1" t="n">
        <v>43432</v>
      </c>
      <c r="C927" s="1" t="n">
        <v>45212</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67325-2018</t>
        </is>
      </c>
      <c r="B928" s="1" t="n">
        <v>43432</v>
      </c>
      <c r="C928" s="1" t="n">
        <v>45212</v>
      </c>
      <c r="D928" t="inlineStr">
        <is>
          <t>VÄSTERNORRLANDS LÄN</t>
        </is>
      </c>
      <c r="E928" t="inlineStr">
        <is>
          <t>SOLLEFTEÅ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65773-2018</t>
        </is>
      </c>
      <c r="B929" s="1" t="n">
        <v>43433</v>
      </c>
      <c r="C929" s="1" t="n">
        <v>45212</v>
      </c>
      <c r="D929" t="inlineStr">
        <is>
          <t>VÄSTERNORRLANDS LÄN</t>
        </is>
      </c>
      <c r="E929" t="inlineStr">
        <is>
          <t>ÖRNSKÖLDSVIK</t>
        </is>
      </c>
      <c r="F929" t="inlineStr">
        <is>
          <t>Holmen skog AB</t>
        </is>
      </c>
      <c r="G929" t="n">
        <v>13.3</v>
      </c>
      <c r="H929" t="n">
        <v>0</v>
      </c>
      <c r="I929" t="n">
        <v>0</v>
      </c>
      <c r="J929" t="n">
        <v>0</v>
      </c>
      <c r="K929" t="n">
        <v>0</v>
      </c>
      <c r="L929" t="n">
        <v>0</v>
      </c>
      <c r="M929" t="n">
        <v>0</v>
      </c>
      <c r="N929" t="n">
        <v>0</v>
      </c>
      <c r="O929" t="n">
        <v>0</v>
      </c>
      <c r="P929" t="n">
        <v>0</v>
      </c>
      <c r="Q929" t="n">
        <v>0</v>
      </c>
      <c r="R929" s="2" t="inlineStr"/>
    </row>
    <row r="930" ht="15" customHeight="1">
      <c r="A930" t="inlineStr">
        <is>
          <t>A 65842-2018</t>
        </is>
      </c>
      <c r="B930" s="1" t="n">
        <v>43433</v>
      </c>
      <c r="C930" s="1" t="n">
        <v>45212</v>
      </c>
      <c r="D930" t="inlineStr">
        <is>
          <t>VÄSTERNORRLANDS LÄN</t>
        </is>
      </c>
      <c r="E930" t="inlineStr">
        <is>
          <t>SUNDSVALL</t>
        </is>
      </c>
      <c r="G930" t="n">
        <v>4.4</v>
      </c>
      <c r="H930" t="n">
        <v>0</v>
      </c>
      <c r="I930" t="n">
        <v>0</v>
      </c>
      <c r="J930" t="n">
        <v>0</v>
      </c>
      <c r="K930" t="n">
        <v>0</v>
      </c>
      <c r="L930" t="n">
        <v>0</v>
      </c>
      <c r="M930" t="n">
        <v>0</v>
      </c>
      <c r="N930" t="n">
        <v>0</v>
      </c>
      <c r="O930" t="n">
        <v>0</v>
      </c>
      <c r="P930" t="n">
        <v>0</v>
      </c>
      <c r="Q930" t="n">
        <v>0</v>
      </c>
      <c r="R930" s="2" t="inlineStr"/>
    </row>
    <row r="931" ht="15" customHeight="1">
      <c r="A931" t="inlineStr">
        <is>
          <t>A 67868-2018</t>
        </is>
      </c>
      <c r="B931" s="1" t="n">
        <v>43433</v>
      </c>
      <c r="C931" s="1" t="n">
        <v>45212</v>
      </c>
      <c r="D931" t="inlineStr">
        <is>
          <t>VÄSTERNORRLANDS LÄN</t>
        </is>
      </c>
      <c r="E931" t="inlineStr">
        <is>
          <t>KRAMFORS</t>
        </is>
      </c>
      <c r="G931" t="n">
        <v>1.5</v>
      </c>
      <c r="H931" t="n">
        <v>0</v>
      </c>
      <c r="I931" t="n">
        <v>0</v>
      </c>
      <c r="J931" t="n">
        <v>0</v>
      </c>
      <c r="K931" t="n">
        <v>0</v>
      </c>
      <c r="L931" t="n">
        <v>0</v>
      </c>
      <c r="M931" t="n">
        <v>0</v>
      </c>
      <c r="N931" t="n">
        <v>0</v>
      </c>
      <c r="O931" t="n">
        <v>0</v>
      </c>
      <c r="P931" t="n">
        <v>0</v>
      </c>
      <c r="Q931" t="n">
        <v>0</v>
      </c>
      <c r="R931" s="2" t="inlineStr"/>
    </row>
    <row r="932" ht="15" customHeight="1">
      <c r="A932" t="inlineStr">
        <is>
          <t>A 65736-2018</t>
        </is>
      </c>
      <c r="B932" s="1" t="n">
        <v>43433</v>
      </c>
      <c r="C932" s="1" t="n">
        <v>45212</v>
      </c>
      <c r="D932" t="inlineStr">
        <is>
          <t>VÄSTERNORRLANDS LÄN</t>
        </is>
      </c>
      <c r="E932" t="inlineStr">
        <is>
          <t>ÖRNSKÖLDSVIK</t>
        </is>
      </c>
      <c r="F932" t="inlineStr">
        <is>
          <t>Holmen skog AB</t>
        </is>
      </c>
      <c r="G932" t="n">
        <v>1.2</v>
      </c>
      <c r="H932" t="n">
        <v>0</v>
      </c>
      <c r="I932" t="n">
        <v>0</v>
      </c>
      <c r="J932" t="n">
        <v>0</v>
      </c>
      <c r="K932" t="n">
        <v>0</v>
      </c>
      <c r="L932" t="n">
        <v>0</v>
      </c>
      <c r="M932" t="n">
        <v>0</v>
      </c>
      <c r="N932" t="n">
        <v>0</v>
      </c>
      <c r="O932" t="n">
        <v>0</v>
      </c>
      <c r="P932" t="n">
        <v>0</v>
      </c>
      <c r="Q932" t="n">
        <v>0</v>
      </c>
      <c r="R932" s="2" t="inlineStr"/>
    </row>
    <row r="933" ht="15" customHeight="1">
      <c r="A933" t="inlineStr">
        <is>
          <t>A 67853-2018</t>
        </is>
      </c>
      <c r="B933" s="1" t="n">
        <v>43433</v>
      </c>
      <c r="C933" s="1" t="n">
        <v>45212</v>
      </c>
      <c r="D933" t="inlineStr">
        <is>
          <t>VÄSTERNORRLANDS LÄN</t>
        </is>
      </c>
      <c r="E933" t="inlineStr">
        <is>
          <t>KRAMFORS</t>
        </is>
      </c>
      <c r="G933" t="n">
        <v>1.4</v>
      </c>
      <c r="H933" t="n">
        <v>0</v>
      </c>
      <c r="I933" t="n">
        <v>0</v>
      </c>
      <c r="J933" t="n">
        <v>0</v>
      </c>
      <c r="K933" t="n">
        <v>0</v>
      </c>
      <c r="L933" t="n">
        <v>0</v>
      </c>
      <c r="M933" t="n">
        <v>0</v>
      </c>
      <c r="N933" t="n">
        <v>0</v>
      </c>
      <c r="O933" t="n">
        <v>0</v>
      </c>
      <c r="P933" t="n">
        <v>0</v>
      </c>
      <c r="Q933" t="n">
        <v>0</v>
      </c>
      <c r="R933" s="2" t="inlineStr"/>
    </row>
    <row r="934" ht="15" customHeight="1">
      <c r="A934" t="inlineStr">
        <is>
          <t>A 65430-2018</t>
        </is>
      </c>
      <c r="B934" s="1" t="n">
        <v>43433</v>
      </c>
      <c r="C934" s="1" t="n">
        <v>45212</v>
      </c>
      <c r="D934" t="inlineStr">
        <is>
          <t>VÄSTERNORRLANDS LÄN</t>
        </is>
      </c>
      <c r="E934" t="inlineStr">
        <is>
          <t>ÅNGE</t>
        </is>
      </c>
      <c r="G934" t="n">
        <v>3.9</v>
      </c>
      <c r="H934" t="n">
        <v>0</v>
      </c>
      <c r="I934" t="n">
        <v>0</v>
      </c>
      <c r="J934" t="n">
        <v>0</v>
      </c>
      <c r="K934" t="n">
        <v>0</v>
      </c>
      <c r="L934" t="n">
        <v>0</v>
      </c>
      <c r="M934" t="n">
        <v>0</v>
      </c>
      <c r="N934" t="n">
        <v>0</v>
      </c>
      <c r="O934" t="n">
        <v>0</v>
      </c>
      <c r="P934" t="n">
        <v>0</v>
      </c>
      <c r="Q934" t="n">
        <v>0</v>
      </c>
      <c r="R934" s="2" t="inlineStr"/>
    </row>
    <row r="935" ht="15" customHeight="1">
      <c r="A935" t="inlineStr">
        <is>
          <t>A 67865-2018</t>
        </is>
      </c>
      <c r="B935" s="1" t="n">
        <v>43433</v>
      </c>
      <c r="C935" s="1" t="n">
        <v>45212</v>
      </c>
      <c r="D935" t="inlineStr">
        <is>
          <t>VÄSTERNORRLANDS LÄN</t>
        </is>
      </c>
      <c r="E935" t="inlineStr">
        <is>
          <t>KRAMFORS</t>
        </is>
      </c>
      <c r="G935" t="n">
        <v>1.2</v>
      </c>
      <c r="H935" t="n">
        <v>0</v>
      </c>
      <c r="I935" t="n">
        <v>0</v>
      </c>
      <c r="J935" t="n">
        <v>0</v>
      </c>
      <c r="K935" t="n">
        <v>0</v>
      </c>
      <c r="L935" t="n">
        <v>0</v>
      </c>
      <c r="M935" t="n">
        <v>0</v>
      </c>
      <c r="N935" t="n">
        <v>0</v>
      </c>
      <c r="O935" t="n">
        <v>0</v>
      </c>
      <c r="P935" t="n">
        <v>0</v>
      </c>
      <c r="Q935" t="n">
        <v>0</v>
      </c>
      <c r="R935" s="2" t="inlineStr"/>
    </row>
    <row r="936" ht="15" customHeight="1">
      <c r="A936" t="inlineStr">
        <is>
          <t>A 65749-2018</t>
        </is>
      </c>
      <c r="B936" s="1" t="n">
        <v>43433</v>
      </c>
      <c r="C936" s="1" t="n">
        <v>45212</v>
      </c>
      <c r="D936" t="inlineStr">
        <is>
          <t>VÄSTERNORRLANDS LÄN</t>
        </is>
      </c>
      <c r="E936" t="inlineStr">
        <is>
          <t>ÖRNSKÖLDSVIK</t>
        </is>
      </c>
      <c r="F936" t="inlineStr">
        <is>
          <t>Holmen skog AB</t>
        </is>
      </c>
      <c r="G936" t="n">
        <v>3.2</v>
      </c>
      <c r="H936" t="n">
        <v>0</v>
      </c>
      <c r="I936" t="n">
        <v>0</v>
      </c>
      <c r="J936" t="n">
        <v>0</v>
      </c>
      <c r="K936" t="n">
        <v>0</v>
      </c>
      <c r="L936" t="n">
        <v>0</v>
      </c>
      <c r="M936" t="n">
        <v>0</v>
      </c>
      <c r="N936" t="n">
        <v>0</v>
      </c>
      <c r="O936" t="n">
        <v>0</v>
      </c>
      <c r="P936" t="n">
        <v>0</v>
      </c>
      <c r="Q936" t="n">
        <v>0</v>
      </c>
      <c r="R936" s="2" t="inlineStr"/>
    </row>
    <row r="937" ht="15" customHeight="1">
      <c r="A937" t="inlineStr">
        <is>
          <t>A 65793-2018</t>
        </is>
      </c>
      <c r="B937" s="1" t="n">
        <v>43433</v>
      </c>
      <c r="C937" s="1" t="n">
        <v>45212</v>
      </c>
      <c r="D937" t="inlineStr">
        <is>
          <t>VÄSTERNORRLANDS LÄN</t>
        </is>
      </c>
      <c r="E937" t="inlineStr">
        <is>
          <t>ÖRNSKÖLDSVIK</t>
        </is>
      </c>
      <c r="G937" t="n">
        <v>4.5</v>
      </c>
      <c r="H937" t="n">
        <v>0</v>
      </c>
      <c r="I937" t="n">
        <v>0</v>
      </c>
      <c r="J937" t="n">
        <v>0</v>
      </c>
      <c r="K937" t="n">
        <v>0</v>
      </c>
      <c r="L937" t="n">
        <v>0</v>
      </c>
      <c r="M937" t="n">
        <v>0</v>
      </c>
      <c r="N937" t="n">
        <v>0</v>
      </c>
      <c r="O937" t="n">
        <v>0</v>
      </c>
      <c r="P937" t="n">
        <v>0</v>
      </c>
      <c r="Q937" t="n">
        <v>0</v>
      </c>
      <c r="R937" s="2" t="inlineStr"/>
    </row>
    <row r="938" ht="15" customHeight="1">
      <c r="A938" t="inlineStr">
        <is>
          <t>A 67832-2018</t>
        </is>
      </c>
      <c r="B938" s="1" t="n">
        <v>43433</v>
      </c>
      <c r="C938" s="1" t="n">
        <v>45212</v>
      </c>
      <c r="D938" t="inlineStr">
        <is>
          <t>VÄSTERNORRLANDS LÄN</t>
        </is>
      </c>
      <c r="E938" t="inlineStr">
        <is>
          <t>HÄRNÖSAND</t>
        </is>
      </c>
      <c r="G938" t="n">
        <v>2.5</v>
      </c>
      <c r="H938" t="n">
        <v>0</v>
      </c>
      <c r="I938" t="n">
        <v>0</v>
      </c>
      <c r="J938" t="n">
        <v>0</v>
      </c>
      <c r="K938" t="n">
        <v>0</v>
      </c>
      <c r="L938" t="n">
        <v>0</v>
      </c>
      <c r="M938" t="n">
        <v>0</v>
      </c>
      <c r="N938" t="n">
        <v>0</v>
      </c>
      <c r="O938" t="n">
        <v>0</v>
      </c>
      <c r="P938" t="n">
        <v>0</v>
      </c>
      <c r="Q938" t="n">
        <v>0</v>
      </c>
      <c r="R938" s="2" t="inlineStr"/>
    </row>
    <row r="939" ht="15" customHeight="1">
      <c r="A939" t="inlineStr">
        <is>
          <t>A 66197-2018</t>
        </is>
      </c>
      <c r="B939" s="1" t="n">
        <v>43434</v>
      </c>
      <c r="C939" s="1" t="n">
        <v>45212</v>
      </c>
      <c r="D939" t="inlineStr">
        <is>
          <t>VÄSTERNORRLANDS LÄN</t>
        </is>
      </c>
      <c r="E939" t="inlineStr">
        <is>
          <t>SUNDSVALL</t>
        </is>
      </c>
      <c r="F939" t="inlineStr">
        <is>
          <t>SCA</t>
        </is>
      </c>
      <c r="G939" t="n">
        <v>7.2</v>
      </c>
      <c r="H939" t="n">
        <v>0</v>
      </c>
      <c r="I939" t="n">
        <v>0</v>
      </c>
      <c r="J939" t="n">
        <v>0</v>
      </c>
      <c r="K939" t="n">
        <v>0</v>
      </c>
      <c r="L939" t="n">
        <v>0</v>
      </c>
      <c r="M939" t="n">
        <v>0</v>
      </c>
      <c r="N939" t="n">
        <v>0</v>
      </c>
      <c r="O939" t="n">
        <v>0</v>
      </c>
      <c r="P939" t="n">
        <v>0</v>
      </c>
      <c r="Q939" t="n">
        <v>0</v>
      </c>
      <c r="R939" s="2" t="inlineStr"/>
    </row>
    <row r="940" ht="15" customHeight="1">
      <c r="A940" t="inlineStr">
        <is>
          <t>A 67760-2018</t>
        </is>
      </c>
      <c r="B940" s="1" t="n">
        <v>43434</v>
      </c>
      <c r="C940" s="1" t="n">
        <v>45212</v>
      </c>
      <c r="D940" t="inlineStr">
        <is>
          <t>VÄSTERNORRLANDS LÄN</t>
        </is>
      </c>
      <c r="E940" t="inlineStr">
        <is>
          <t>ÖRNSKÖLDSVIK</t>
        </is>
      </c>
      <c r="G940" t="n">
        <v>2.4</v>
      </c>
      <c r="H940" t="n">
        <v>0</v>
      </c>
      <c r="I940" t="n">
        <v>0</v>
      </c>
      <c r="J940" t="n">
        <v>0</v>
      </c>
      <c r="K940" t="n">
        <v>0</v>
      </c>
      <c r="L940" t="n">
        <v>0</v>
      </c>
      <c r="M940" t="n">
        <v>0</v>
      </c>
      <c r="N940" t="n">
        <v>0</v>
      </c>
      <c r="O940" t="n">
        <v>0</v>
      </c>
      <c r="P940" t="n">
        <v>0</v>
      </c>
      <c r="Q940" t="n">
        <v>0</v>
      </c>
      <c r="R940" s="2" t="inlineStr"/>
    </row>
    <row r="941" ht="15" customHeight="1">
      <c r="A941" t="inlineStr">
        <is>
          <t>A 65912-2018</t>
        </is>
      </c>
      <c r="B941" s="1" t="n">
        <v>43434</v>
      </c>
      <c r="C941" s="1" t="n">
        <v>45212</v>
      </c>
      <c r="D941" t="inlineStr">
        <is>
          <t>VÄSTERNORRLANDS LÄN</t>
        </is>
      </c>
      <c r="E941" t="inlineStr">
        <is>
          <t>ÖRNSKÖLDSVIK</t>
        </is>
      </c>
      <c r="F941" t="inlineStr">
        <is>
          <t>Holmen skog AB</t>
        </is>
      </c>
      <c r="G941" t="n">
        <v>1.8</v>
      </c>
      <c r="H941" t="n">
        <v>0</v>
      </c>
      <c r="I941" t="n">
        <v>0</v>
      </c>
      <c r="J941" t="n">
        <v>0</v>
      </c>
      <c r="K941" t="n">
        <v>0</v>
      </c>
      <c r="L941" t="n">
        <v>0</v>
      </c>
      <c r="M941" t="n">
        <v>0</v>
      </c>
      <c r="N941" t="n">
        <v>0</v>
      </c>
      <c r="O941" t="n">
        <v>0</v>
      </c>
      <c r="P941" t="n">
        <v>0</v>
      </c>
      <c r="Q941" t="n">
        <v>0</v>
      </c>
      <c r="R941" s="2" t="inlineStr"/>
    </row>
    <row r="942" ht="15" customHeight="1">
      <c r="A942" t="inlineStr">
        <is>
          <t>A 65949-2018</t>
        </is>
      </c>
      <c r="B942" s="1" t="n">
        <v>43434</v>
      </c>
      <c r="C942" s="1" t="n">
        <v>45212</v>
      </c>
      <c r="D942" t="inlineStr">
        <is>
          <t>VÄSTERNORRLANDS LÄN</t>
        </is>
      </c>
      <c r="E942" t="inlineStr">
        <is>
          <t>HÄRNÖSAND</t>
        </is>
      </c>
      <c r="G942" t="n">
        <v>4.6</v>
      </c>
      <c r="H942" t="n">
        <v>0</v>
      </c>
      <c r="I942" t="n">
        <v>0</v>
      </c>
      <c r="J942" t="n">
        <v>0</v>
      </c>
      <c r="K942" t="n">
        <v>0</v>
      </c>
      <c r="L942" t="n">
        <v>0</v>
      </c>
      <c r="M942" t="n">
        <v>0</v>
      </c>
      <c r="N942" t="n">
        <v>0</v>
      </c>
      <c r="O942" t="n">
        <v>0</v>
      </c>
      <c r="P942" t="n">
        <v>0</v>
      </c>
      <c r="Q942" t="n">
        <v>0</v>
      </c>
      <c r="R942" s="2" t="inlineStr"/>
    </row>
    <row r="943" ht="15" customHeight="1">
      <c r="A943" t="inlineStr">
        <is>
          <t>A 66193-2018</t>
        </is>
      </c>
      <c r="B943" s="1" t="n">
        <v>43434</v>
      </c>
      <c r="C943" s="1" t="n">
        <v>45212</v>
      </c>
      <c r="D943" t="inlineStr">
        <is>
          <t>VÄSTERNORRLANDS LÄN</t>
        </is>
      </c>
      <c r="E943" t="inlineStr">
        <is>
          <t>SOLLEFTEÅ</t>
        </is>
      </c>
      <c r="F943" t="inlineStr">
        <is>
          <t>SCA</t>
        </is>
      </c>
      <c r="G943" t="n">
        <v>9.5</v>
      </c>
      <c r="H943" t="n">
        <v>0</v>
      </c>
      <c r="I943" t="n">
        <v>0</v>
      </c>
      <c r="J943" t="n">
        <v>0</v>
      </c>
      <c r="K943" t="n">
        <v>0</v>
      </c>
      <c r="L943" t="n">
        <v>0</v>
      </c>
      <c r="M943" t="n">
        <v>0</v>
      </c>
      <c r="N943" t="n">
        <v>0</v>
      </c>
      <c r="O943" t="n">
        <v>0</v>
      </c>
      <c r="P943" t="n">
        <v>0</v>
      </c>
      <c r="Q943" t="n">
        <v>0</v>
      </c>
      <c r="R943" s="2" t="inlineStr"/>
    </row>
    <row r="944" ht="15" customHeight="1">
      <c r="A944" t="inlineStr">
        <is>
          <t>A 66195-2018</t>
        </is>
      </c>
      <c r="B944" s="1" t="n">
        <v>43434</v>
      </c>
      <c r="C944" s="1" t="n">
        <v>45212</v>
      </c>
      <c r="D944" t="inlineStr">
        <is>
          <t>VÄSTERNORRLANDS LÄN</t>
        </is>
      </c>
      <c r="E944" t="inlineStr">
        <is>
          <t>ÅNGE</t>
        </is>
      </c>
      <c r="G944" t="n">
        <v>4.8</v>
      </c>
      <c r="H944" t="n">
        <v>0</v>
      </c>
      <c r="I944" t="n">
        <v>0</v>
      </c>
      <c r="J944" t="n">
        <v>0</v>
      </c>
      <c r="K944" t="n">
        <v>0</v>
      </c>
      <c r="L944" t="n">
        <v>0</v>
      </c>
      <c r="M944" t="n">
        <v>0</v>
      </c>
      <c r="N944" t="n">
        <v>0</v>
      </c>
      <c r="O944" t="n">
        <v>0</v>
      </c>
      <c r="P944" t="n">
        <v>0</v>
      </c>
      <c r="Q944" t="n">
        <v>0</v>
      </c>
      <c r="R944" s="2" t="inlineStr"/>
    </row>
    <row r="945" ht="15" customHeight="1">
      <c r="A945" t="inlineStr">
        <is>
          <t>A 66449-2018</t>
        </is>
      </c>
      <c r="B945" s="1" t="n">
        <v>43437</v>
      </c>
      <c r="C945" s="1" t="n">
        <v>45212</v>
      </c>
      <c r="D945" t="inlineStr">
        <is>
          <t>VÄSTERNORRLANDS LÄN</t>
        </is>
      </c>
      <c r="E945" t="inlineStr">
        <is>
          <t>SOLLEFTEÅ</t>
        </is>
      </c>
      <c r="F945" t="inlineStr">
        <is>
          <t>Holmen skog AB</t>
        </is>
      </c>
      <c r="G945" t="n">
        <v>1.1</v>
      </c>
      <c r="H945" t="n">
        <v>0</v>
      </c>
      <c r="I945" t="n">
        <v>0</v>
      </c>
      <c r="J945" t="n">
        <v>0</v>
      </c>
      <c r="K945" t="n">
        <v>0</v>
      </c>
      <c r="L945" t="n">
        <v>0</v>
      </c>
      <c r="M945" t="n">
        <v>0</v>
      </c>
      <c r="N945" t="n">
        <v>0</v>
      </c>
      <c r="O945" t="n">
        <v>0</v>
      </c>
      <c r="P945" t="n">
        <v>0</v>
      </c>
      <c r="Q945" t="n">
        <v>0</v>
      </c>
      <c r="R945" s="2" t="inlineStr"/>
    </row>
    <row r="946" ht="15" customHeight="1">
      <c r="A946" t="inlineStr">
        <is>
          <t>A 66577-2018</t>
        </is>
      </c>
      <c r="B946" s="1" t="n">
        <v>43437</v>
      </c>
      <c r="C946" s="1" t="n">
        <v>45212</v>
      </c>
      <c r="D946" t="inlineStr">
        <is>
          <t>VÄSTERNORRLANDS LÄN</t>
        </is>
      </c>
      <c r="E946" t="inlineStr">
        <is>
          <t>SUNDSVALL</t>
        </is>
      </c>
      <c r="G946" t="n">
        <v>2.5</v>
      </c>
      <c r="H946" t="n">
        <v>0</v>
      </c>
      <c r="I946" t="n">
        <v>0</v>
      </c>
      <c r="J946" t="n">
        <v>0</v>
      </c>
      <c r="K946" t="n">
        <v>0</v>
      </c>
      <c r="L946" t="n">
        <v>0</v>
      </c>
      <c r="M946" t="n">
        <v>0</v>
      </c>
      <c r="N946" t="n">
        <v>0</v>
      </c>
      <c r="O946" t="n">
        <v>0</v>
      </c>
      <c r="P946" t="n">
        <v>0</v>
      </c>
      <c r="Q946" t="n">
        <v>0</v>
      </c>
      <c r="R946" s="2" t="inlineStr"/>
    </row>
    <row r="947" ht="15" customHeight="1">
      <c r="A947" t="inlineStr">
        <is>
          <t>A 66643-2018</t>
        </is>
      </c>
      <c r="B947" s="1" t="n">
        <v>43437</v>
      </c>
      <c r="C947" s="1" t="n">
        <v>45212</v>
      </c>
      <c r="D947" t="inlineStr">
        <is>
          <t>VÄSTERNORRLANDS LÄN</t>
        </is>
      </c>
      <c r="E947" t="inlineStr">
        <is>
          <t>ÖRNSKÖLDSVIK</t>
        </is>
      </c>
      <c r="F947" t="inlineStr">
        <is>
          <t>Holmen skog AB</t>
        </is>
      </c>
      <c r="G947" t="n">
        <v>4.6</v>
      </c>
      <c r="H947" t="n">
        <v>0</v>
      </c>
      <c r="I947" t="n">
        <v>0</v>
      </c>
      <c r="J947" t="n">
        <v>0</v>
      </c>
      <c r="K947" t="n">
        <v>0</v>
      </c>
      <c r="L947" t="n">
        <v>0</v>
      </c>
      <c r="M947" t="n">
        <v>0</v>
      </c>
      <c r="N947" t="n">
        <v>0</v>
      </c>
      <c r="O947" t="n">
        <v>0</v>
      </c>
      <c r="P947" t="n">
        <v>0</v>
      </c>
      <c r="Q947" t="n">
        <v>0</v>
      </c>
      <c r="R947" s="2" t="inlineStr"/>
    </row>
    <row r="948" ht="15" customHeight="1">
      <c r="A948" t="inlineStr">
        <is>
          <t>A 66824-2018</t>
        </is>
      </c>
      <c r="B948" s="1" t="n">
        <v>43437</v>
      </c>
      <c r="C948" s="1" t="n">
        <v>45212</v>
      </c>
      <c r="D948" t="inlineStr">
        <is>
          <t>VÄSTERNORRLANDS LÄN</t>
        </is>
      </c>
      <c r="E948" t="inlineStr">
        <is>
          <t>SUNDSVALL</t>
        </is>
      </c>
      <c r="F948" t="inlineStr">
        <is>
          <t>SCA</t>
        </is>
      </c>
      <c r="G948" t="n">
        <v>14.7</v>
      </c>
      <c r="H948" t="n">
        <v>0</v>
      </c>
      <c r="I948" t="n">
        <v>0</v>
      </c>
      <c r="J948" t="n">
        <v>0</v>
      </c>
      <c r="K948" t="n">
        <v>0</v>
      </c>
      <c r="L948" t="n">
        <v>0</v>
      </c>
      <c r="M948" t="n">
        <v>0</v>
      </c>
      <c r="N948" t="n">
        <v>0</v>
      </c>
      <c r="O948" t="n">
        <v>0</v>
      </c>
      <c r="P948" t="n">
        <v>0</v>
      </c>
      <c r="Q948" t="n">
        <v>0</v>
      </c>
      <c r="R948" s="2" t="inlineStr"/>
    </row>
    <row r="949" ht="15" customHeight="1">
      <c r="A949" t="inlineStr">
        <is>
          <t>A 68153-2018</t>
        </is>
      </c>
      <c r="B949" s="1" t="n">
        <v>43437</v>
      </c>
      <c r="C949" s="1" t="n">
        <v>45212</v>
      </c>
      <c r="D949" t="inlineStr">
        <is>
          <t>VÄSTERNORRLANDS LÄN</t>
        </is>
      </c>
      <c r="E949" t="inlineStr">
        <is>
          <t>SOLLEFTEÅ</t>
        </is>
      </c>
      <c r="G949" t="n">
        <v>2.3</v>
      </c>
      <c r="H949" t="n">
        <v>0</v>
      </c>
      <c r="I949" t="n">
        <v>0</v>
      </c>
      <c r="J949" t="n">
        <v>0</v>
      </c>
      <c r="K949" t="n">
        <v>0</v>
      </c>
      <c r="L949" t="n">
        <v>0</v>
      </c>
      <c r="M949" t="n">
        <v>0</v>
      </c>
      <c r="N949" t="n">
        <v>0</v>
      </c>
      <c r="O949" t="n">
        <v>0</v>
      </c>
      <c r="P949" t="n">
        <v>0</v>
      </c>
      <c r="Q949" t="n">
        <v>0</v>
      </c>
      <c r="R949" s="2" t="inlineStr"/>
    </row>
    <row r="950" ht="15" customHeight="1">
      <c r="A950" t="inlineStr">
        <is>
          <t>A 68195-2018</t>
        </is>
      </c>
      <c r="B950" s="1" t="n">
        <v>43437</v>
      </c>
      <c r="C950" s="1" t="n">
        <v>45212</v>
      </c>
      <c r="D950" t="inlineStr">
        <is>
          <t>VÄSTERNORRLANDS LÄN</t>
        </is>
      </c>
      <c r="E950" t="inlineStr">
        <is>
          <t>SOLLEFTEÅ</t>
        </is>
      </c>
      <c r="G950" t="n">
        <v>6.5</v>
      </c>
      <c r="H950" t="n">
        <v>0</v>
      </c>
      <c r="I950" t="n">
        <v>0</v>
      </c>
      <c r="J950" t="n">
        <v>0</v>
      </c>
      <c r="K950" t="n">
        <v>0</v>
      </c>
      <c r="L950" t="n">
        <v>0</v>
      </c>
      <c r="M950" t="n">
        <v>0</v>
      </c>
      <c r="N950" t="n">
        <v>0</v>
      </c>
      <c r="O950" t="n">
        <v>0</v>
      </c>
      <c r="P950" t="n">
        <v>0</v>
      </c>
      <c r="Q950" t="n">
        <v>0</v>
      </c>
      <c r="R950" s="2" t="inlineStr"/>
    </row>
    <row r="951" ht="15" customHeight="1">
      <c r="A951" t="inlineStr">
        <is>
          <t>A 66587-2018</t>
        </is>
      </c>
      <c r="B951" s="1" t="n">
        <v>43437</v>
      </c>
      <c r="C951" s="1" t="n">
        <v>45212</v>
      </c>
      <c r="D951" t="inlineStr">
        <is>
          <t>VÄSTERNORRLANDS LÄN</t>
        </is>
      </c>
      <c r="E951" t="inlineStr">
        <is>
          <t>SUNDSVALL</t>
        </is>
      </c>
      <c r="G951" t="n">
        <v>4.2</v>
      </c>
      <c r="H951" t="n">
        <v>0</v>
      </c>
      <c r="I951" t="n">
        <v>0</v>
      </c>
      <c r="J951" t="n">
        <v>0</v>
      </c>
      <c r="K951" t="n">
        <v>0</v>
      </c>
      <c r="L951" t="n">
        <v>0</v>
      </c>
      <c r="M951" t="n">
        <v>0</v>
      </c>
      <c r="N951" t="n">
        <v>0</v>
      </c>
      <c r="O951" t="n">
        <v>0</v>
      </c>
      <c r="P951" t="n">
        <v>0</v>
      </c>
      <c r="Q951" t="n">
        <v>0</v>
      </c>
      <c r="R951" s="2" t="inlineStr"/>
    </row>
    <row r="952" ht="15" customHeight="1">
      <c r="A952" t="inlineStr">
        <is>
          <t>A 66811-2018</t>
        </is>
      </c>
      <c r="B952" s="1" t="n">
        <v>43437</v>
      </c>
      <c r="C952" s="1" t="n">
        <v>45212</v>
      </c>
      <c r="D952" t="inlineStr">
        <is>
          <t>VÄSTERNORRLANDS LÄN</t>
        </is>
      </c>
      <c r="E952" t="inlineStr">
        <is>
          <t>KRAMFORS</t>
        </is>
      </c>
      <c r="F952" t="inlineStr">
        <is>
          <t>SCA</t>
        </is>
      </c>
      <c r="G952" t="n">
        <v>5.8</v>
      </c>
      <c r="H952" t="n">
        <v>0</v>
      </c>
      <c r="I952" t="n">
        <v>0</v>
      </c>
      <c r="J952" t="n">
        <v>0</v>
      </c>
      <c r="K952" t="n">
        <v>0</v>
      </c>
      <c r="L952" t="n">
        <v>0</v>
      </c>
      <c r="M952" t="n">
        <v>0</v>
      </c>
      <c r="N952" t="n">
        <v>0</v>
      </c>
      <c r="O952" t="n">
        <v>0</v>
      </c>
      <c r="P952" t="n">
        <v>0</v>
      </c>
      <c r="Q952" t="n">
        <v>0</v>
      </c>
      <c r="R952" s="2" t="inlineStr"/>
    </row>
    <row r="953" ht="15" customHeight="1">
      <c r="A953" t="inlineStr">
        <is>
          <t>A 66774-2018</t>
        </is>
      </c>
      <c r="B953" s="1" t="n">
        <v>43437</v>
      </c>
      <c r="C953" s="1" t="n">
        <v>45212</v>
      </c>
      <c r="D953" t="inlineStr">
        <is>
          <t>VÄSTERNORRLANDS LÄN</t>
        </is>
      </c>
      <c r="E953" t="inlineStr">
        <is>
          <t>ÖRNSKÖLDSVIK</t>
        </is>
      </c>
      <c r="G953" t="n">
        <v>4.8</v>
      </c>
      <c r="H953" t="n">
        <v>0</v>
      </c>
      <c r="I953" t="n">
        <v>0</v>
      </c>
      <c r="J953" t="n">
        <v>0</v>
      </c>
      <c r="K953" t="n">
        <v>0</v>
      </c>
      <c r="L953" t="n">
        <v>0</v>
      </c>
      <c r="M953" t="n">
        <v>0</v>
      </c>
      <c r="N953" t="n">
        <v>0</v>
      </c>
      <c r="O953" t="n">
        <v>0</v>
      </c>
      <c r="P953" t="n">
        <v>0</v>
      </c>
      <c r="Q953" t="n">
        <v>0</v>
      </c>
      <c r="R953" s="2" t="inlineStr"/>
    </row>
    <row r="954" ht="15" customHeight="1">
      <c r="A954" t="inlineStr">
        <is>
          <t>A 68205-2018</t>
        </is>
      </c>
      <c r="B954" s="1" t="n">
        <v>43437</v>
      </c>
      <c r="C954" s="1" t="n">
        <v>45212</v>
      </c>
      <c r="D954" t="inlineStr">
        <is>
          <t>VÄSTERNORRLANDS LÄN</t>
        </is>
      </c>
      <c r="E954" t="inlineStr">
        <is>
          <t>SOLLEFTEÅ</t>
        </is>
      </c>
      <c r="G954" t="n">
        <v>7</v>
      </c>
      <c r="H954" t="n">
        <v>0</v>
      </c>
      <c r="I954" t="n">
        <v>0</v>
      </c>
      <c r="J954" t="n">
        <v>0</v>
      </c>
      <c r="K954" t="n">
        <v>0</v>
      </c>
      <c r="L954" t="n">
        <v>0</v>
      </c>
      <c r="M954" t="n">
        <v>0</v>
      </c>
      <c r="N954" t="n">
        <v>0</v>
      </c>
      <c r="O954" t="n">
        <v>0</v>
      </c>
      <c r="P954" t="n">
        <v>0</v>
      </c>
      <c r="Q954" t="n">
        <v>0</v>
      </c>
      <c r="R954" s="2" t="inlineStr"/>
    </row>
    <row r="955" ht="15" customHeight="1">
      <c r="A955" t="inlineStr">
        <is>
          <t>A 66611-2018</t>
        </is>
      </c>
      <c r="B955" s="1" t="n">
        <v>43437</v>
      </c>
      <c r="C955" s="1" t="n">
        <v>45212</v>
      </c>
      <c r="D955" t="inlineStr">
        <is>
          <t>VÄSTERNORRLANDS LÄN</t>
        </is>
      </c>
      <c r="E955" t="inlineStr">
        <is>
          <t>ÖRNSKÖLDSVIK</t>
        </is>
      </c>
      <c r="F955" t="inlineStr">
        <is>
          <t>Holmen skog AB</t>
        </is>
      </c>
      <c r="G955" t="n">
        <v>1.1</v>
      </c>
      <c r="H955" t="n">
        <v>0</v>
      </c>
      <c r="I955" t="n">
        <v>0</v>
      </c>
      <c r="J955" t="n">
        <v>0</v>
      </c>
      <c r="K955" t="n">
        <v>0</v>
      </c>
      <c r="L955" t="n">
        <v>0</v>
      </c>
      <c r="M955" t="n">
        <v>0</v>
      </c>
      <c r="N955" t="n">
        <v>0</v>
      </c>
      <c r="O955" t="n">
        <v>0</v>
      </c>
      <c r="P955" t="n">
        <v>0</v>
      </c>
      <c r="Q955" t="n">
        <v>0</v>
      </c>
      <c r="R955" s="2" t="inlineStr"/>
    </row>
    <row r="956" ht="15" customHeight="1">
      <c r="A956" t="inlineStr">
        <is>
          <t>A 66728-2018</t>
        </is>
      </c>
      <c r="B956" s="1" t="n">
        <v>43437</v>
      </c>
      <c r="C956" s="1" t="n">
        <v>45212</v>
      </c>
      <c r="D956" t="inlineStr">
        <is>
          <t>VÄSTERNORRLANDS LÄN</t>
        </is>
      </c>
      <c r="E956" t="inlineStr">
        <is>
          <t>ÖRNSKÖLDSVIK</t>
        </is>
      </c>
      <c r="G956" t="n">
        <v>5.2</v>
      </c>
      <c r="H956" t="n">
        <v>0</v>
      </c>
      <c r="I956" t="n">
        <v>0</v>
      </c>
      <c r="J956" t="n">
        <v>0</v>
      </c>
      <c r="K956" t="n">
        <v>0</v>
      </c>
      <c r="L956" t="n">
        <v>0</v>
      </c>
      <c r="M956" t="n">
        <v>0</v>
      </c>
      <c r="N956" t="n">
        <v>0</v>
      </c>
      <c r="O956" t="n">
        <v>0</v>
      </c>
      <c r="P956" t="n">
        <v>0</v>
      </c>
      <c r="Q956" t="n">
        <v>0</v>
      </c>
      <c r="R956" s="2" t="inlineStr"/>
    </row>
    <row r="957" ht="15" customHeight="1">
      <c r="A957" t="inlineStr">
        <is>
          <t>A 66761-2018</t>
        </is>
      </c>
      <c r="B957" s="1" t="n">
        <v>43437</v>
      </c>
      <c r="C957" s="1" t="n">
        <v>45212</v>
      </c>
      <c r="D957" t="inlineStr">
        <is>
          <t>VÄSTERNORRLANDS LÄN</t>
        </is>
      </c>
      <c r="E957" t="inlineStr">
        <is>
          <t>SOLLEFTEÅ</t>
        </is>
      </c>
      <c r="F957" t="inlineStr">
        <is>
          <t>Holmen skog AB</t>
        </is>
      </c>
      <c r="G957" t="n">
        <v>10.3</v>
      </c>
      <c r="H957" t="n">
        <v>0</v>
      </c>
      <c r="I957" t="n">
        <v>0</v>
      </c>
      <c r="J957" t="n">
        <v>0</v>
      </c>
      <c r="K957" t="n">
        <v>0</v>
      </c>
      <c r="L957" t="n">
        <v>0</v>
      </c>
      <c r="M957" t="n">
        <v>0</v>
      </c>
      <c r="N957" t="n">
        <v>0</v>
      </c>
      <c r="O957" t="n">
        <v>0</v>
      </c>
      <c r="P957" t="n">
        <v>0</v>
      </c>
      <c r="Q957" t="n">
        <v>0</v>
      </c>
      <c r="R957" s="2" t="inlineStr"/>
    </row>
    <row r="958" ht="15" customHeight="1">
      <c r="A958" t="inlineStr">
        <is>
          <t>A 66810-2018</t>
        </is>
      </c>
      <c r="B958" s="1" t="n">
        <v>43437</v>
      </c>
      <c r="C958" s="1" t="n">
        <v>45212</v>
      </c>
      <c r="D958" t="inlineStr">
        <is>
          <t>VÄSTERNORRLANDS LÄN</t>
        </is>
      </c>
      <c r="E958" t="inlineStr">
        <is>
          <t>KRAMFORS</t>
        </is>
      </c>
      <c r="G958" t="n">
        <v>3.4</v>
      </c>
      <c r="H958" t="n">
        <v>0</v>
      </c>
      <c r="I958" t="n">
        <v>0</v>
      </c>
      <c r="J958" t="n">
        <v>0</v>
      </c>
      <c r="K958" t="n">
        <v>0</v>
      </c>
      <c r="L958" t="n">
        <v>0</v>
      </c>
      <c r="M958" t="n">
        <v>0</v>
      </c>
      <c r="N958" t="n">
        <v>0</v>
      </c>
      <c r="O958" t="n">
        <v>0</v>
      </c>
      <c r="P958" t="n">
        <v>0</v>
      </c>
      <c r="Q958" t="n">
        <v>0</v>
      </c>
      <c r="R958" s="2" t="inlineStr"/>
    </row>
    <row r="959" ht="15" customHeight="1">
      <c r="A959" t="inlineStr">
        <is>
          <t>A 68441-2018</t>
        </is>
      </c>
      <c r="B959" s="1" t="n">
        <v>43438</v>
      </c>
      <c r="C959" s="1" t="n">
        <v>45212</v>
      </c>
      <c r="D959" t="inlineStr">
        <is>
          <t>VÄSTERNORRLANDS LÄN</t>
        </is>
      </c>
      <c r="E959" t="inlineStr">
        <is>
          <t>ÖRNSKÖLDSVIK</t>
        </is>
      </c>
      <c r="G959" t="n">
        <v>12</v>
      </c>
      <c r="H959" t="n">
        <v>0</v>
      </c>
      <c r="I959" t="n">
        <v>0</v>
      </c>
      <c r="J959" t="n">
        <v>0</v>
      </c>
      <c r="K959" t="n">
        <v>0</v>
      </c>
      <c r="L959" t="n">
        <v>0</v>
      </c>
      <c r="M959" t="n">
        <v>0</v>
      </c>
      <c r="N959" t="n">
        <v>0</v>
      </c>
      <c r="O959" t="n">
        <v>0</v>
      </c>
      <c r="P959" t="n">
        <v>0</v>
      </c>
      <c r="Q959" t="n">
        <v>0</v>
      </c>
      <c r="R959" s="2" t="inlineStr"/>
    </row>
    <row r="960" ht="15" customHeight="1">
      <c r="A960" t="inlineStr">
        <is>
          <t>A 66896-2018</t>
        </is>
      </c>
      <c r="B960" s="1" t="n">
        <v>43438</v>
      </c>
      <c r="C960" s="1" t="n">
        <v>45212</v>
      </c>
      <c r="D960" t="inlineStr">
        <is>
          <t>VÄSTERNORRLANDS LÄN</t>
        </is>
      </c>
      <c r="E960" t="inlineStr">
        <is>
          <t>HÄRNÖSAND</t>
        </is>
      </c>
      <c r="G960" t="n">
        <v>7.7</v>
      </c>
      <c r="H960" t="n">
        <v>0</v>
      </c>
      <c r="I960" t="n">
        <v>0</v>
      </c>
      <c r="J960" t="n">
        <v>0</v>
      </c>
      <c r="K960" t="n">
        <v>0</v>
      </c>
      <c r="L960" t="n">
        <v>0</v>
      </c>
      <c r="M960" t="n">
        <v>0</v>
      </c>
      <c r="N960" t="n">
        <v>0</v>
      </c>
      <c r="O960" t="n">
        <v>0</v>
      </c>
      <c r="P960" t="n">
        <v>0</v>
      </c>
      <c r="Q960" t="n">
        <v>0</v>
      </c>
      <c r="R960" s="2" t="inlineStr"/>
    </row>
    <row r="961" ht="15" customHeight="1">
      <c r="A961" t="inlineStr">
        <is>
          <t>A 67172-2018</t>
        </is>
      </c>
      <c r="B961" s="1" t="n">
        <v>43438</v>
      </c>
      <c r="C961" s="1" t="n">
        <v>45212</v>
      </c>
      <c r="D961" t="inlineStr">
        <is>
          <t>VÄSTERNORRLANDS LÄN</t>
        </is>
      </c>
      <c r="E961" t="inlineStr">
        <is>
          <t>SUNDSVALL</t>
        </is>
      </c>
      <c r="F961" t="inlineStr">
        <is>
          <t>SCA</t>
        </is>
      </c>
      <c r="G961" t="n">
        <v>13.7</v>
      </c>
      <c r="H961" t="n">
        <v>0</v>
      </c>
      <c r="I961" t="n">
        <v>0</v>
      </c>
      <c r="J961" t="n">
        <v>0</v>
      </c>
      <c r="K961" t="n">
        <v>0</v>
      </c>
      <c r="L961" t="n">
        <v>0</v>
      </c>
      <c r="M961" t="n">
        <v>0</v>
      </c>
      <c r="N961" t="n">
        <v>0</v>
      </c>
      <c r="O961" t="n">
        <v>0</v>
      </c>
      <c r="P961" t="n">
        <v>0</v>
      </c>
      <c r="Q961" t="n">
        <v>0</v>
      </c>
      <c r="R961" s="2" t="inlineStr"/>
    </row>
    <row r="962" ht="15" customHeight="1">
      <c r="A962" t="inlineStr">
        <is>
          <t>A 66872-2018</t>
        </is>
      </c>
      <c r="B962" s="1" t="n">
        <v>43438</v>
      </c>
      <c r="C962" s="1" t="n">
        <v>45212</v>
      </c>
      <c r="D962" t="inlineStr">
        <is>
          <t>VÄSTERNORRLANDS LÄN</t>
        </is>
      </c>
      <c r="E962" t="inlineStr">
        <is>
          <t>ÖRNSKÖLDSVIK</t>
        </is>
      </c>
      <c r="G962" t="n">
        <v>2.5</v>
      </c>
      <c r="H962" t="n">
        <v>0</v>
      </c>
      <c r="I962" t="n">
        <v>0</v>
      </c>
      <c r="J962" t="n">
        <v>0</v>
      </c>
      <c r="K962" t="n">
        <v>0</v>
      </c>
      <c r="L962" t="n">
        <v>0</v>
      </c>
      <c r="M962" t="n">
        <v>0</v>
      </c>
      <c r="N962" t="n">
        <v>0</v>
      </c>
      <c r="O962" t="n">
        <v>0</v>
      </c>
      <c r="P962" t="n">
        <v>0</v>
      </c>
      <c r="Q962" t="n">
        <v>0</v>
      </c>
      <c r="R962" s="2" t="inlineStr"/>
    </row>
    <row r="963" ht="15" customHeight="1">
      <c r="A963" t="inlineStr">
        <is>
          <t>A 66849-2018</t>
        </is>
      </c>
      <c r="B963" s="1" t="n">
        <v>43438</v>
      </c>
      <c r="C963" s="1" t="n">
        <v>45212</v>
      </c>
      <c r="D963" t="inlineStr">
        <is>
          <t>VÄSTERNORRLANDS LÄN</t>
        </is>
      </c>
      <c r="E963" t="inlineStr">
        <is>
          <t>ÖRNSKÖLDSVIK</t>
        </is>
      </c>
      <c r="F963" t="inlineStr">
        <is>
          <t>Holmen skog AB</t>
        </is>
      </c>
      <c r="G963" t="n">
        <v>7.9</v>
      </c>
      <c r="H963" t="n">
        <v>0</v>
      </c>
      <c r="I963" t="n">
        <v>0</v>
      </c>
      <c r="J963" t="n">
        <v>0</v>
      </c>
      <c r="K963" t="n">
        <v>0</v>
      </c>
      <c r="L963" t="n">
        <v>0</v>
      </c>
      <c r="M963" t="n">
        <v>0</v>
      </c>
      <c r="N963" t="n">
        <v>0</v>
      </c>
      <c r="O963" t="n">
        <v>0</v>
      </c>
      <c r="P963" t="n">
        <v>0</v>
      </c>
      <c r="Q963" t="n">
        <v>0</v>
      </c>
      <c r="R963" s="2" t="inlineStr"/>
    </row>
    <row r="964" ht="15" customHeight="1">
      <c r="A964" t="inlineStr">
        <is>
          <t>A 67171-2018</t>
        </is>
      </c>
      <c r="B964" s="1" t="n">
        <v>43438</v>
      </c>
      <c r="C964" s="1" t="n">
        <v>45212</v>
      </c>
      <c r="D964" t="inlineStr">
        <is>
          <t>VÄSTERNORRLANDS LÄN</t>
        </is>
      </c>
      <c r="E964" t="inlineStr">
        <is>
          <t>SUNDSVALL</t>
        </is>
      </c>
      <c r="F964" t="inlineStr">
        <is>
          <t>SCA</t>
        </is>
      </c>
      <c r="G964" t="n">
        <v>3.2</v>
      </c>
      <c r="H964" t="n">
        <v>0</v>
      </c>
      <c r="I964" t="n">
        <v>0</v>
      </c>
      <c r="J964" t="n">
        <v>0</v>
      </c>
      <c r="K964" t="n">
        <v>0</v>
      </c>
      <c r="L964" t="n">
        <v>0</v>
      </c>
      <c r="M964" t="n">
        <v>0</v>
      </c>
      <c r="N964" t="n">
        <v>0</v>
      </c>
      <c r="O964" t="n">
        <v>0</v>
      </c>
      <c r="P964" t="n">
        <v>0</v>
      </c>
      <c r="Q964" t="n">
        <v>0</v>
      </c>
      <c r="R964" s="2" t="inlineStr"/>
    </row>
    <row r="965" ht="15" customHeight="1">
      <c r="A965" t="inlineStr">
        <is>
          <t>A 67572-2018</t>
        </is>
      </c>
      <c r="B965" s="1" t="n">
        <v>43439</v>
      </c>
      <c r="C965" s="1" t="n">
        <v>45212</v>
      </c>
      <c r="D965" t="inlineStr">
        <is>
          <t>VÄSTERNORRLANDS LÄN</t>
        </is>
      </c>
      <c r="E965" t="inlineStr">
        <is>
          <t>SOLLEFTEÅ</t>
        </is>
      </c>
      <c r="G965" t="n">
        <v>5.9</v>
      </c>
      <c r="H965" t="n">
        <v>0</v>
      </c>
      <c r="I965" t="n">
        <v>0</v>
      </c>
      <c r="J965" t="n">
        <v>0</v>
      </c>
      <c r="K965" t="n">
        <v>0</v>
      </c>
      <c r="L965" t="n">
        <v>0</v>
      </c>
      <c r="M965" t="n">
        <v>0</v>
      </c>
      <c r="N965" t="n">
        <v>0</v>
      </c>
      <c r="O965" t="n">
        <v>0</v>
      </c>
      <c r="P965" t="n">
        <v>0</v>
      </c>
      <c r="Q965" t="n">
        <v>0</v>
      </c>
      <c r="R965" s="2" t="inlineStr"/>
    </row>
    <row r="966" ht="15" customHeight="1">
      <c r="A966" t="inlineStr">
        <is>
          <t>A 67802-2018</t>
        </is>
      </c>
      <c r="B966" s="1" t="n">
        <v>43440</v>
      </c>
      <c r="C966" s="1" t="n">
        <v>45212</v>
      </c>
      <c r="D966" t="inlineStr">
        <is>
          <t>VÄSTERNORRLANDS LÄN</t>
        </is>
      </c>
      <c r="E966" t="inlineStr">
        <is>
          <t>ÅNGE</t>
        </is>
      </c>
      <c r="G966" t="n">
        <v>1.6</v>
      </c>
      <c r="H966" t="n">
        <v>0</v>
      </c>
      <c r="I966" t="n">
        <v>0</v>
      </c>
      <c r="J966" t="n">
        <v>0</v>
      </c>
      <c r="K966" t="n">
        <v>0</v>
      </c>
      <c r="L966" t="n">
        <v>0</v>
      </c>
      <c r="M966" t="n">
        <v>0</v>
      </c>
      <c r="N966" t="n">
        <v>0</v>
      </c>
      <c r="O966" t="n">
        <v>0</v>
      </c>
      <c r="P966" t="n">
        <v>0</v>
      </c>
      <c r="Q966" t="n">
        <v>0</v>
      </c>
      <c r="R966" s="2" t="inlineStr"/>
    </row>
    <row r="967" ht="15" customHeight="1">
      <c r="A967" t="inlineStr">
        <is>
          <t>A 68002-2018</t>
        </is>
      </c>
      <c r="B967" s="1" t="n">
        <v>43440</v>
      </c>
      <c r="C967" s="1" t="n">
        <v>45212</v>
      </c>
      <c r="D967" t="inlineStr">
        <is>
          <t>VÄSTERNORRLANDS LÄN</t>
        </is>
      </c>
      <c r="E967" t="inlineStr">
        <is>
          <t>HÄRNÖSAND</t>
        </is>
      </c>
      <c r="G967" t="n">
        <v>3.6</v>
      </c>
      <c r="H967" t="n">
        <v>0</v>
      </c>
      <c r="I967" t="n">
        <v>0</v>
      </c>
      <c r="J967" t="n">
        <v>0</v>
      </c>
      <c r="K967" t="n">
        <v>0</v>
      </c>
      <c r="L967" t="n">
        <v>0</v>
      </c>
      <c r="M967" t="n">
        <v>0</v>
      </c>
      <c r="N967" t="n">
        <v>0</v>
      </c>
      <c r="O967" t="n">
        <v>0</v>
      </c>
      <c r="P967" t="n">
        <v>0</v>
      </c>
      <c r="Q967" t="n">
        <v>0</v>
      </c>
      <c r="R967" s="2" t="inlineStr"/>
    </row>
    <row r="968" ht="15" customHeight="1">
      <c r="A968" t="inlineStr">
        <is>
          <t>A 68003-2018</t>
        </is>
      </c>
      <c r="B968" s="1" t="n">
        <v>43440</v>
      </c>
      <c r="C968" s="1" t="n">
        <v>45212</v>
      </c>
      <c r="D968" t="inlineStr">
        <is>
          <t>VÄSTERNORRLANDS LÄN</t>
        </is>
      </c>
      <c r="E968" t="inlineStr">
        <is>
          <t>HÄRNÖSAND</t>
        </is>
      </c>
      <c r="G968" t="n">
        <v>1</v>
      </c>
      <c r="H968" t="n">
        <v>0</v>
      </c>
      <c r="I968" t="n">
        <v>0</v>
      </c>
      <c r="J968" t="n">
        <v>0</v>
      </c>
      <c r="K968" t="n">
        <v>0</v>
      </c>
      <c r="L968" t="n">
        <v>0</v>
      </c>
      <c r="M968" t="n">
        <v>0</v>
      </c>
      <c r="N968" t="n">
        <v>0</v>
      </c>
      <c r="O968" t="n">
        <v>0</v>
      </c>
      <c r="P968" t="n">
        <v>0</v>
      </c>
      <c r="Q968" t="n">
        <v>0</v>
      </c>
      <c r="R968" s="2" t="inlineStr"/>
    </row>
    <row r="969" ht="15" customHeight="1">
      <c r="A969" t="inlineStr">
        <is>
          <t>A 68273-2018</t>
        </is>
      </c>
      <c r="B969" s="1" t="n">
        <v>43441</v>
      </c>
      <c r="C969" s="1" t="n">
        <v>45212</v>
      </c>
      <c r="D969" t="inlineStr">
        <is>
          <t>VÄSTERNORRLANDS LÄN</t>
        </is>
      </c>
      <c r="E969" t="inlineStr">
        <is>
          <t>ÖRNSKÖLDSVIK</t>
        </is>
      </c>
      <c r="F969" t="inlineStr">
        <is>
          <t>Holmen skog AB</t>
        </is>
      </c>
      <c r="G969" t="n">
        <v>4.4</v>
      </c>
      <c r="H969" t="n">
        <v>0</v>
      </c>
      <c r="I969" t="n">
        <v>0</v>
      </c>
      <c r="J969" t="n">
        <v>0</v>
      </c>
      <c r="K969" t="n">
        <v>0</v>
      </c>
      <c r="L969" t="n">
        <v>0</v>
      </c>
      <c r="M969" t="n">
        <v>0</v>
      </c>
      <c r="N969" t="n">
        <v>0</v>
      </c>
      <c r="O969" t="n">
        <v>0</v>
      </c>
      <c r="P969" t="n">
        <v>0</v>
      </c>
      <c r="Q969" t="n">
        <v>0</v>
      </c>
      <c r="R969" s="2" t="inlineStr"/>
    </row>
    <row r="970" ht="15" customHeight="1">
      <c r="A970" t="inlineStr">
        <is>
          <t>A 68339-2018</t>
        </is>
      </c>
      <c r="B970" s="1" t="n">
        <v>43441</v>
      </c>
      <c r="C970" s="1" t="n">
        <v>45212</v>
      </c>
      <c r="D970" t="inlineStr">
        <is>
          <t>VÄSTERNORRLANDS LÄN</t>
        </is>
      </c>
      <c r="E970" t="inlineStr">
        <is>
          <t>ÅNGE</t>
        </is>
      </c>
      <c r="G970" t="n">
        <v>1.9</v>
      </c>
      <c r="H970" t="n">
        <v>0</v>
      </c>
      <c r="I970" t="n">
        <v>0</v>
      </c>
      <c r="J970" t="n">
        <v>0</v>
      </c>
      <c r="K970" t="n">
        <v>0</v>
      </c>
      <c r="L970" t="n">
        <v>0</v>
      </c>
      <c r="M970" t="n">
        <v>0</v>
      </c>
      <c r="N970" t="n">
        <v>0</v>
      </c>
      <c r="O970" t="n">
        <v>0</v>
      </c>
      <c r="P970" t="n">
        <v>0</v>
      </c>
      <c r="Q970" t="n">
        <v>0</v>
      </c>
      <c r="R970" s="2" t="inlineStr"/>
    </row>
    <row r="971" ht="15" customHeight="1">
      <c r="A971" t="inlineStr">
        <is>
          <t>A 68319-2018</t>
        </is>
      </c>
      <c r="B971" s="1" t="n">
        <v>43441</v>
      </c>
      <c r="C971" s="1" t="n">
        <v>45212</v>
      </c>
      <c r="D971" t="inlineStr">
        <is>
          <t>VÄSTERNORRLANDS LÄN</t>
        </is>
      </c>
      <c r="E971" t="inlineStr">
        <is>
          <t>ÖRNSKÖLDSVIK</t>
        </is>
      </c>
      <c r="G971" t="n">
        <v>2.1</v>
      </c>
      <c r="H971" t="n">
        <v>0</v>
      </c>
      <c r="I971" t="n">
        <v>0</v>
      </c>
      <c r="J971" t="n">
        <v>0</v>
      </c>
      <c r="K971" t="n">
        <v>0</v>
      </c>
      <c r="L971" t="n">
        <v>0</v>
      </c>
      <c r="M971" t="n">
        <v>0</v>
      </c>
      <c r="N971" t="n">
        <v>0</v>
      </c>
      <c r="O971" t="n">
        <v>0</v>
      </c>
      <c r="P971" t="n">
        <v>0</v>
      </c>
      <c r="Q971" t="n">
        <v>0</v>
      </c>
      <c r="R971" s="2" t="inlineStr"/>
    </row>
    <row r="972" ht="15" customHeight="1">
      <c r="A972" t="inlineStr">
        <is>
          <t>A 69303-2018</t>
        </is>
      </c>
      <c r="B972" s="1" t="n">
        <v>43441</v>
      </c>
      <c r="C972" s="1" t="n">
        <v>45212</v>
      </c>
      <c r="D972" t="inlineStr">
        <is>
          <t>VÄSTERNORRLANDS LÄN</t>
        </is>
      </c>
      <c r="E972" t="inlineStr">
        <is>
          <t>ÖRNSKÖLDSVIK</t>
        </is>
      </c>
      <c r="G972" t="n">
        <v>1.8</v>
      </c>
      <c r="H972" t="n">
        <v>0</v>
      </c>
      <c r="I972" t="n">
        <v>0</v>
      </c>
      <c r="J972" t="n">
        <v>0</v>
      </c>
      <c r="K972" t="n">
        <v>0</v>
      </c>
      <c r="L972" t="n">
        <v>0</v>
      </c>
      <c r="M972" t="n">
        <v>0</v>
      </c>
      <c r="N972" t="n">
        <v>0</v>
      </c>
      <c r="O972" t="n">
        <v>0</v>
      </c>
      <c r="P972" t="n">
        <v>0</v>
      </c>
      <c r="Q972" t="n">
        <v>0</v>
      </c>
      <c r="R972" s="2" t="inlineStr"/>
    </row>
    <row r="973" ht="15" customHeight="1">
      <c r="A973" t="inlineStr">
        <is>
          <t>A 68685-2018</t>
        </is>
      </c>
      <c r="B973" s="1" t="n">
        <v>43444</v>
      </c>
      <c r="C973" s="1" t="n">
        <v>45212</v>
      </c>
      <c r="D973" t="inlineStr">
        <is>
          <t>VÄSTERNORRLANDS LÄN</t>
        </is>
      </c>
      <c r="E973" t="inlineStr">
        <is>
          <t>ÖRNSKÖLDSVIK</t>
        </is>
      </c>
      <c r="F973" t="inlineStr">
        <is>
          <t>Holmen skog AB</t>
        </is>
      </c>
      <c r="G973" t="n">
        <v>2</v>
      </c>
      <c r="H973" t="n">
        <v>0</v>
      </c>
      <c r="I973" t="n">
        <v>0</v>
      </c>
      <c r="J973" t="n">
        <v>0</v>
      </c>
      <c r="K973" t="n">
        <v>0</v>
      </c>
      <c r="L973" t="n">
        <v>0</v>
      </c>
      <c r="M973" t="n">
        <v>0</v>
      </c>
      <c r="N973" t="n">
        <v>0</v>
      </c>
      <c r="O973" t="n">
        <v>0</v>
      </c>
      <c r="P973" t="n">
        <v>0</v>
      </c>
      <c r="Q973" t="n">
        <v>0</v>
      </c>
      <c r="R973" s="2" t="inlineStr"/>
    </row>
    <row r="974" ht="15" customHeight="1">
      <c r="A974" t="inlineStr">
        <is>
          <t>A 68542-2018</t>
        </is>
      </c>
      <c r="B974" s="1" t="n">
        <v>43444</v>
      </c>
      <c r="C974" s="1" t="n">
        <v>45212</v>
      </c>
      <c r="D974" t="inlineStr">
        <is>
          <t>VÄSTERNORRLANDS LÄN</t>
        </is>
      </c>
      <c r="E974" t="inlineStr">
        <is>
          <t>HÄRNÖSAND</t>
        </is>
      </c>
      <c r="G974" t="n">
        <v>2.7</v>
      </c>
      <c r="H974" t="n">
        <v>0</v>
      </c>
      <c r="I974" t="n">
        <v>0</v>
      </c>
      <c r="J974" t="n">
        <v>0</v>
      </c>
      <c r="K974" t="n">
        <v>0</v>
      </c>
      <c r="L974" t="n">
        <v>0</v>
      </c>
      <c r="M974" t="n">
        <v>0</v>
      </c>
      <c r="N974" t="n">
        <v>0</v>
      </c>
      <c r="O974" t="n">
        <v>0</v>
      </c>
      <c r="P974" t="n">
        <v>0</v>
      </c>
      <c r="Q974" t="n">
        <v>0</v>
      </c>
      <c r="R974" s="2" t="inlineStr"/>
    </row>
    <row r="975" ht="15" customHeight="1">
      <c r="A975" t="inlineStr">
        <is>
          <t>A 68809-2018</t>
        </is>
      </c>
      <c r="B975" s="1" t="n">
        <v>43444</v>
      </c>
      <c r="C975" s="1" t="n">
        <v>45212</v>
      </c>
      <c r="D975" t="inlineStr">
        <is>
          <t>VÄSTERNORRLANDS LÄN</t>
        </is>
      </c>
      <c r="E975" t="inlineStr">
        <is>
          <t>ÖRNSKÖLDSVIK</t>
        </is>
      </c>
      <c r="G975" t="n">
        <v>0.9</v>
      </c>
      <c r="H975" t="n">
        <v>0</v>
      </c>
      <c r="I975" t="n">
        <v>0</v>
      </c>
      <c r="J975" t="n">
        <v>0</v>
      </c>
      <c r="K975" t="n">
        <v>0</v>
      </c>
      <c r="L975" t="n">
        <v>0</v>
      </c>
      <c r="M975" t="n">
        <v>0</v>
      </c>
      <c r="N975" t="n">
        <v>0</v>
      </c>
      <c r="O975" t="n">
        <v>0</v>
      </c>
      <c r="P975" t="n">
        <v>0</v>
      </c>
      <c r="Q975" t="n">
        <v>0</v>
      </c>
      <c r="R975" s="2" t="inlineStr"/>
    </row>
    <row r="976" ht="15" customHeight="1">
      <c r="A976" t="inlineStr">
        <is>
          <t>A 68633-2018</t>
        </is>
      </c>
      <c r="B976" s="1" t="n">
        <v>43444</v>
      </c>
      <c r="C976" s="1" t="n">
        <v>45212</v>
      </c>
      <c r="D976" t="inlineStr">
        <is>
          <t>VÄSTERNORRLANDS LÄN</t>
        </is>
      </c>
      <c r="E976" t="inlineStr">
        <is>
          <t>HÄRNÖSAND</t>
        </is>
      </c>
      <c r="G976" t="n">
        <v>15</v>
      </c>
      <c r="H976" t="n">
        <v>0</v>
      </c>
      <c r="I976" t="n">
        <v>0</v>
      </c>
      <c r="J976" t="n">
        <v>0</v>
      </c>
      <c r="K976" t="n">
        <v>0</v>
      </c>
      <c r="L976" t="n">
        <v>0</v>
      </c>
      <c r="M976" t="n">
        <v>0</v>
      </c>
      <c r="N976" t="n">
        <v>0</v>
      </c>
      <c r="O976" t="n">
        <v>0</v>
      </c>
      <c r="P976" t="n">
        <v>0</v>
      </c>
      <c r="Q976" t="n">
        <v>0</v>
      </c>
      <c r="R976" s="2" t="inlineStr"/>
    </row>
    <row r="977" ht="15" customHeight="1">
      <c r="A977" t="inlineStr">
        <is>
          <t>A 68665-2018</t>
        </is>
      </c>
      <c r="B977" s="1" t="n">
        <v>43444</v>
      </c>
      <c r="C977" s="1" t="n">
        <v>45212</v>
      </c>
      <c r="D977" t="inlineStr">
        <is>
          <t>VÄSTERNORRLANDS LÄN</t>
        </is>
      </c>
      <c r="E977" t="inlineStr">
        <is>
          <t>SOLLEFTEÅ</t>
        </is>
      </c>
      <c r="G977" t="n">
        <v>3.3</v>
      </c>
      <c r="H977" t="n">
        <v>0</v>
      </c>
      <c r="I977" t="n">
        <v>0</v>
      </c>
      <c r="J977" t="n">
        <v>0</v>
      </c>
      <c r="K977" t="n">
        <v>0</v>
      </c>
      <c r="L977" t="n">
        <v>0</v>
      </c>
      <c r="M977" t="n">
        <v>0</v>
      </c>
      <c r="N977" t="n">
        <v>0</v>
      </c>
      <c r="O977" t="n">
        <v>0</v>
      </c>
      <c r="P977" t="n">
        <v>0</v>
      </c>
      <c r="Q977" t="n">
        <v>0</v>
      </c>
      <c r="R977" s="2" t="inlineStr"/>
    </row>
    <row r="978" ht="15" customHeight="1">
      <c r="A978" t="inlineStr">
        <is>
          <t>A 69141-2018</t>
        </is>
      </c>
      <c r="B978" s="1" t="n">
        <v>43445</v>
      </c>
      <c r="C978" s="1" t="n">
        <v>45212</v>
      </c>
      <c r="D978" t="inlineStr">
        <is>
          <t>VÄSTERNORRLANDS LÄN</t>
        </is>
      </c>
      <c r="E978" t="inlineStr">
        <is>
          <t>HÄRNÖSAND</t>
        </is>
      </c>
      <c r="G978" t="n">
        <v>4.3</v>
      </c>
      <c r="H978" t="n">
        <v>0</v>
      </c>
      <c r="I978" t="n">
        <v>0</v>
      </c>
      <c r="J978" t="n">
        <v>0</v>
      </c>
      <c r="K978" t="n">
        <v>0</v>
      </c>
      <c r="L978" t="n">
        <v>0</v>
      </c>
      <c r="M978" t="n">
        <v>0</v>
      </c>
      <c r="N978" t="n">
        <v>0</v>
      </c>
      <c r="O978" t="n">
        <v>0</v>
      </c>
      <c r="P978" t="n">
        <v>0</v>
      </c>
      <c r="Q978" t="n">
        <v>0</v>
      </c>
      <c r="R978" s="2" t="inlineStr"/>
    </row>
    <row r="979" ht="15" customHeight="1">
      <c r="A979" t="inlineStr">
        <is>
          <t>A 68977-2018</t>
        </is>
      </c>
      <c r="B979" s="1" t="n">
        <v>43445</v>
      </c>
      <c r="C979" s="1" t="n">
        <v>45212</v>
      </c>
      <c r="D979" t="inlineStr">
        <is>
          <t>VÄSTERNORRLANDS LÄN</t>
        </is>
      </c>
      <c r="E979" t="inlineStr">
        <is>
          <t>ÖRNSKÖLDSVIK</t>
        </is>
      </c>
      <c r="F979" t="inlineStr">
        <is>
          <t>Holmen skog AB</t>
        </is>
      </c>
      <c r="G979" t="n">
        <v>8.699999999999999</v>
      </c>
      <c r="H979" t="n">
        <v>0</v>
      </c>
      <c r="I979" t="n">
        <v>0</v>
      </c>
      <c r="J979" t="n">
        <v>0</v>
      </c>
      <c r="K979" t="n">
        <v>0</v>
      </c>
      <c r="L979" t="n">
        <v>0</v>
      </c>
      <c r="M979" t="n">
        <v>0</v>
      </c>
      <c r="N979" t="n">
        <v>0</v>
      </c>
      <c r="O979" t="n">
        <v>0</v>
      </c>
      <c r="P979" t="n">
        <v>0</v>
      </c>
      <c r="Q979" t="n">
        <v>0</v>
      </c>
      <c r="R979" s="2" t="inlineStr"/>
    </row>
    <row r="980" ht="15" customHeight="1">
      <c r="A980" t="inlineStr">
        <is>
          <t>A 69132-2018</t>
        </is>
      </c>
      <c r="B980" s="1" t="n">
        <v>43445</v>
      </c>
      <c r="C980" s="1" t="n">
        <v>45212</v>
      </c>
      <c r="D980" t="inlineStr">
        <is>
          <t>VÄSTERNORRLANDS LÄN</t>
        </is>
      </c>
      <c r="E980" t="inlineStr">
        <is>
          <t>ÖRNSKÖLDSVIK</t>
        </is>
      </c>
      <c r="G980" t="n">
        <v>3.1</v>
      </c>
      <c r="H980" t="n">
        <v>0</v>
      </c>
      <c r="I980" t="n">
        <v>0</v>
      </c>
      <c r="J980" t="n">
        <v>0</v>
      </c>
      <c r="K980" t="n">
        <v>0</v>
      </c>
      <c r="L980" t="n">
        <v>0</v>
      </c>
      <c r="M980" t="n">
        <v>0</v>
      </c>
      <c r="N980" t="n">
        <v>0</v>
      </c>
      <c r="O980" t="n">
        <v>0</v>
      </c>
      <c r="P980" t="n">
        <v>0</v>
      </c>
      <c r="Q980" t="n">
        <v>0</v>
      </c>
      <c r="R980" s="2" t="inlineStr"/>
    </row>
    <row r="981" ht="15" customHeight="1">
      <c r="A981" t="inlineStr">
        <is>
          <t>A 69281-2018</t>
        </is>
      </c>
      <c r="B981" s="1" t="n">
        <v>43445</v>
      </c>
      <c r="C981" s="1" t="n">
        <v>45212</v>
      </c>
      <c r="D981" t="inlineStr">
        <is>
          <t>VÄSTERNORRLANDS LÄN</t>
        </is>
      </c>
      <c r="E981" t="inlineStr">
        <is>
          <t>ÖRNSKÖLDSVIK</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70365-2018</t>
        </is>
      </c>
      <c r="B982" s="1" t="n">
        <v>43446</v>
      </c>
      <c r="C982" s="1" t="n">
        <v>45212</v>
      </c>
      <c r="D982" t="inlineStr">
        <is>
          <t>VÄSTERNORRLANDS LÄN</t>
        </is>
      </c>
      <c r="E982" t="inlineStr">
        <is>
          <t>SOLLEFTEÅ</t>
        </is>
      </c>
      <c r="G982" t="n">
        <v>9</v>
      </c>
      <c r="H982" t="n">
        <v>0</v>
      </c>
      <c r="I982" t="n">
        <v>0</v>
      </c>
      <c r="J982" t="n">
        <v>0</v>
      </c>
      <c r="K982" t="n">
        <v>0</v>
      </c>
      <c r="L982" t="n">
        <v>0</v>
      </c>
      <c r="M982" t="n">
        <v>0</v>
      </c>
      <c r="N982" t="n">
        <v>0</v>
      </c>
      <c r="O982" t="n">
        <v>0</v>
      </c>
      <c r="P982" t="n">
        <v>0</v>
      </c>
      <c r="Q982" t="n">
        <v>0</v>
      </c>
      <c r="R982" s="2" t="inlineStr"/>
    </row>
    <row r="983" ht="15" customHeight="1">
      <c r="A983" t="inlineStr">
        <is>
          <t>A 69370-2018</t>
        </is>
      </c>
      <c r="B983" s="1" t="n">
        <v>43446</v>
      </c>
      <c r="C983" s="1" t="n">
        <v>45212</v>
      </c>
      <c r="D983" t="inlineStr">
        <is>
          <t>VÄSTERNORRLANDS LÄN</t>
        </is>
      </c>
      <c r="E983" t="inlineStr">
        <is>
          <t>SUNDSVALL</t>
        </is>
      </c>
      <c r="G983" t="n">
        <v>0.8</v>
      </c>
      <c r="H983" t="n">
        <v>0</v>
      </c>
      <c r="I983" t="n">
        <v>0</v>
      </c>
      <c r="J983" t="n">
        <v>0</v>
      </c>
      <c r="K983" t="n">
        <v>0</v>
      </c>
      <c r="L983" t="n">
        <v>0</v>
      </c>
      <c r="M983" t="n">
        <v>0</v>
      </c>
      <c r="N983" t="n">
        <v>0</v>
      </c>
      <c r="O983" t="n">
        <v>0</v>
      </c>
      <c r="P983" t="n">
        <v>0</v>
      </c>
      <c r="Q983" t="n">
        <v>0</v>
      </c>
      <c r="R983" s="2" t="inlineStr"/>
    </row>
    <row r="984" ht="15" customHeight="1">
      <c r="A984" t="inlineStr">
        <is>
          <t>A 70390-2018</t>
        </is>
      </c>
      <c r="B984" s="1" t="n">
        <v>43446</v>
      </c>
      <c r="C984" s="1" t="n">
        <v>45212</v>
      </c>
      <c r="D984" t="inlineStr">
        <is>
          <t>VÄSTERNORRLANDS LÄN</t>
        </is>
      </c>
      <c r="E984" t="inlineStr">
        <is>
          <t>ÖRNSKÖLDSVIK</t>
        </is>
      </c>
      <c r="G984" t="n">
        <v>4.3</v>
      </c>
      <c r="H984" t="n">
        <v>0</v>
      </c>
      <c r="I984" t="n">
        <v>0</v>
      </c>
      <c r="J984" t="n">
        <v>0</v>
      </c>
      <c r="K984" t="n">
        <v>0</v>
      </c>
      <c r="L984" t="n">
        <v>0</v>
      </c>
      <c r="M984" t="n">
        <v>0</v>
      </c>
      <c r="N984" t="n">
        <v>0</v>
      </c>
      <c r="O984" t="n">
        <v>0</v>
      </c>
      <c r="P984" t="n">
        <v>0</v>
      </c>
      <c r="Q984" t="n">
        <v>0</v>
      </c>
      <c r="R984" s="2" t="inlineStr"/>
    </row>
    <row r="985" ht="15" customHeight="1">
      <c r="A985" t="inlineStr">
        <is>
          <t>A 69604-2018</t>
        </is>
      </c>
      <c r="B985" s="1" t="n">
        <v>43446</v>
      </c>
      <c r="C985" s="1" t="n">
        <v>45212</v>
      </c>
      <c r="D985" t="inlineStr">
        <is>
          <t>VÄSTERNORRLANDS LÄN</t>
        </is>
      </c>
      <c r="E985" t="inlineStr">
        <is>
          <t>ÅNGE</t>
        </is>
      </c>
      <c r="G985" t="n">
        <v>1.1</v>
      </c>
      <c r="H985" t="n">
        <v>0</v>
      </c>
      <c r="I985" t="n">
        <v>0</v>
      </c>
      <c r="J985" t="n">
        <v>0</v>
      </c>
      <c r="K985" t="n">
        <v>0</v>
      </c>
      <c r="L985" t="n">
        <v>0</v>
      </c>
      <c r="M985" t="n">
        <v>0</v>
      </c>
      <c r="N985" t="n">
        <v>0</v>
      </c>
      <c r="O985" t="n">
        <v>0</v>
      </c>
      <c r="P985" t="n">
        <v>0</v>
      </c>
      <c r="Q985" t="n">
        <v>0</v>
      </c>
      <c r="R985" s="2" t="inlineStr"/>
    </row>
    <row r="986" ht="15" customHeight="1">
      <c r="A986" t="inlineStr">
        <is>
          <t>A 70368-2018</t>
        </is>
      </c>
      <c r="B986" s="1" t="n">
        <v>43446</v>
      </c>
      <c r="C986" s="1" t="n">
        <v>45212</v>
      </c>
      <c r="D986" t="inlineStr">
        <is>
          <t>VÄSTERNORRLANDS LÄN</t>
        </is>
      </c>
      <c r="E986" t="inlineStr">
        <is>
          <t>SOLLEFTEÅ</t>
        </is>
      </c>
      <c r="G986" t="n">
        <v>1.7</v>
      </c>
      <c r="H986" t="n">
        <v>0</v>
      </c>
      <c r="I986" t="n">
        <v>0</v>
      </c>
      <c r="J986" t="n">
        <v>0</v>
      </c>
      <c r="K986" t="n">
        <v>0</v>
      </c>
      <c r="L986" t="n">
        <v>0</v>
      </c>
      <c r="M986" t="n">
        <v>0</v>
      </c>
      <c r="N986" t="n">
        <v>0</v>
      </c>
      <c r="O986" t="n">
        <v>0</v>
      </c>
      <c r="P986" t="n">
        <v>0</v>
      </c>
      <c r="Q986" t="n">
        <v>0</v>
      </c>
      <c r="R986" s="2" t="inlineStr"/>
    </row>
    <row r="987" ht="15" customHeight="1">
      <c r="A987" t="inlineStr">
        <is>
          <t>A 69655-2018</t>
        </is>
      </c>
      <c r="B987" s="1" t="n">
        <v>43447</v>
      </c>
      <c r="C987" s="1" t="n">
        <v>45212</v>
      </c>
      <c r="D987" t="inlineStr">
        <is>
          <t>VÄSTERNORRLANDS LÄN</t>
        </is>
      </c>
      <c r="E987" t="inlineStr">
        <is>
          <t>ÅNGE</t>
        </is>
      </c>
      <c r="G987" t="n">
        <v>6.3</v>
      </c>
      <c r="H987" t="n">
        <v>0</v>
      </c>
      <c r="I987" t="n">
        <v>0</v>
      </c>
      <c r="J987" t="n">
        <v>0</v>
      </c>
      <c r="K987" t="n">
        <v>0</v>
      </c>
      <c r="L987" t="n">
        <v>0</v>
      </c>
      <c r="M987" t="n">
        <v>0</v>
      </c>
      <c r="N987" t="n">
        <v>0</v>
      </c>
      <c r="O987" t="n">
        <v>0</v>
      </c>
      <c r="P987" t="n">
        <v>0</v>
      </c>
      <c r="Q987" t="n">
        <v>0</v>
      </c>
      <c r="R987" s="2" t="inlineStr"/>
    </row>
    <row r="988" ht="15" customHeight="1">
      <c r="A988" t="inlineStr">
        <is>
          <t>A 69853-2018</t>
        </is>
      </c>
      <c r="B988" s="1" t="n">
        <v>43447</v>
      </c>
      <c r="C988" s="1" t="n">
        <v>45212</v>
      </c>
      <c r="D988" t="inlineStr">
        <is>
          <t>VÄSTERNORRLANDS LÄN</t>
        </is>
      </c>
      <c r="E988" t="inlineStr">
        <is>
          <t>ÅNGE</t>
        </is>
      </c>
      <c r="G988" t="n">
        <v>0.8</v>
      </c>
      <c r="H988" t="n">
        <v>0</v>
      </c>
      <c r="I988" t="n">
        <v>0</v>
      </c>
      <c r="J988" t="n">
        <v>0</v>
      </c>
      <c r="K988" t="n">
        <v>0</v>
      </c>
      <c r="L988" t="n">
        <v>0</v>
      </c>
      <c r="M988" t="n">
        <v>0</v>
      </c>
      <c r="N988" t="n">
        <v>0</v>
      </c>
      <c r="O988" t="n">
        <v>0</v>
      </c>
      <c r="P988" t="n">
        <v>0</v>
      </c>
      <c r="Q988" t="n">
        <v>0</v>
      </c>
      <c r="R988" s="2" t="inlineStr"/>
    </row>
    <row r="989" ht="15" customHeight="1">
      <c r="A989" t="inlineStr">
        <is>
          <t>A 70547-2018</t>
        </is>
      </c>
      <c r="B989" s="1" t="n">
        <v>43447</v>
      </c>
      <c r="C989" s="1" t="n">
        <v>45212</v>
      </c>
      <c r="D989" t="inlineStr">
        <is>
          <t>VÄSTERNORRLANDS LÄN</t>
        </is>
      </c>
      <c r="E989" t="inlineStr">
        <is>
          <t>ÅNGE</t>
        </is>
      </c>
      <c r="G989" t="n">
        <v>1.6</v>
      </c>
      <c r="H989" t="n">
        <v>0</v>
      </c>
      <c r="I989" t="n">
        <v>0</v>
      </c>
      <c r="J989" t="n">
        <v>0</v>
      </c>
      <c r="K989" t="n">
        <v>0</v>
      </c>
      <c r="L989" t="n">
        <v>0</v>
      </c>
      <c r="M989" t="n">
        <v>0</v>
      </c>
      <c r="N989" t="n">
        <v>0</v>
      </c>
      <c r="O989" t="n">
        <v>0</v>
      </c>
      <c r="P989" t="n">
        <v>0</v>
      </c>
      <c r="Q989" t="n">
        <v>0</v>
      </c>
      <c r="R989" s="2" t="inlineStr"/>
    </row>
    <row r="990" ht="15" customHeight="1">
      <c r="A990" t="inlineStr">
        <is>
          <t>A 69850-2018</t>
        </is>
      </c>
      <c r="B990" s="1" t="n">
        <v>43447</v>
      </c>
      <c r="C990" s="1" t="n">
        <v>45212</v>
      </c>
      <c r="D990" t="inlineStr">
        <is>
          <t>VÄSTERNORRLANDS LÄN</t>
        </is>
      </c>
      <c r="E990" t="inlineStr">
        <is>
          <t>ÅNGE</t>
        </is>
      </c>
      <c r="G990" t="n">
        <v>4</v>
      </c>
      <c r="H990" t="n">
        <v>0</v>
      </c>
      <c r="I990" t="n">
        <v>0</v>
      </c>
      <c r="J990" t="n">
        <v>0</v>
      </c>
      <c r="K990" t="n">
        <v>0</v>
      </c>
      <c r="L990" t="n">
        <v>0</v>
      </c>
      <c r="M990" t="n">
        <v>0</v>
      </c>
      <c r="N990" t="n">
        <v>0</v>
      </c>
      <c r="O990" t="n">
        <v>0</v>
      </c>
      <c r="P990" t="n">
        <v>0</v>
      </c>
      <c r="Q990" t="n">
        <v>0</v>
      </c>
      <c r="R990" s="2" t="inlineStr"/>
    </row>
    <row r="991" ht="15" customHeight="1">
      <c r="A991" t="inlineStr">
        <is>
          <t>A 69956-2018</t>
        </is>
      </c>
      <c r="B991" s="1" t="n">
        <v>43447</v>
      </c>
      <c r="C991" s="1" t="n">
        <v>45212</v>
      </c>
      <c r="D991" t="inlineStr">
        <is>
          <t>VÄSTERNORRLANDS LÄN</t>
        </is>
      </c>
      <c r="E991" t="inlineStr">
        <is>
          <t>ÖRNSKÖLDSVIK</t>
        </is>
      </c>
      <c r="G991" t="n">
        <v>1.4</v>
      </c>
      <c r="H991" t="n">
        <v>0</v>
      </c>
      <c r="I991" t="n">
        <v>0</v>
      </c>
      <c r="J991" t="n">
        <v>0</v>
      </c>
      <c r="K991" t="n">
        <v>0</v>
      </c>
      <c r="L991" t="n">
        <v>0</v>
      </c>
      <c r="M991" t="n">
        <v>0</v>
      </c>
      <c r="N991" t="n">
        <v>0</v>
      </c>
      <c r="O991" t="n">
        <v>0</v>
      </c>
      <c r="P991" t="n">
        <v>0</v>
      </c>
      <c r="Q991" t="n">
        <v>0</v>
      </c>
      <c r="R991" s="2" t="inlineStr"/>
    </row>
    <row r="992" ht="15" customHeight="1">
      <c r="A992" t="inlineStr">
        <is>
          <t>A 70549-2018</t>
        </is>
      </c>
      <c r="B992" s="1" t="n">
        <v>43447</v>
      </c>
      <c r="C992" s="1" t="n">
        <v>45212</v>
      </c>
      <c r="D992" t="inlineStr">
        <is>
          <t>VÄSTERNORRLANDS LÄN</t>
        </is>
      </c>
      <c r="E992" t="inlineStr">
        <is>
          <t>ÅNGE</t>
        </is>
      </c>
      <c r="G992" t="n">
        <v>5</v>
      </c>
      <c r="H992" t="n">
        <v>0</v>
      </c>
      <c r="I992" t="n">
        <v>0</v>
      </c>
      <c r="J992" t="n">
        <v>0</v>
      </c>
      <c r="K992" t="n">
        <v>0</v>
      </c>
      <c r="L992" t="n">
        <v>0</v>
      </c>
      <c r="M992" t="n">
        <v>0</v>
      </c>
      <c r="N992" t="n">
        <v>0</v>
      </c>
      <c r="O992" t="n">
        <v>0</v>
      </c>
      <c r="P992" t="n">
        <v>0</v>
      </c>
      <c r="Q992" t="n">
        <v>0</v>
      </c>
      <c r="R992" s="2" t="inlineStr"/>
    </row>
    <row r="993" ht="15" customHeight="1">
      <c r="A993" t="inlineStr">
        <is>
          <t>A 70581-2018</t>
        </is>
      </c>
      <c r="B993" s="1" t="n">
        <v>43447</v>
      </c>
      <c r="C993" s="1" t="n">
        <v>45212</v>
      </c>
      <c r="D993" t="inlineStr">
        <is>
          <t>VÄSTERNORRLANDS LÄN</t>
        </is>
      </c>
      <c r="E993" t="inlineStr">
        <is>
          <t>SOLLEFTEÅ</t>
        </is>
      </c>
      <c r="G993" t="n">
        <v>1</v>
      </c>
      <c r="H993" t="n">
        <v>0</v>
      </c>
      <c r="I993" t="n">
        <v>0</v>
      </c>
      <c r="J993" t="n">
        <v>0</v>
      </c>
      <c r="K993" t="n">
        <v>0</v>
      </c>
      <c r="L993" t="n">
        <v>0</v>
      </c>
      <c r="M993" t="n">
        <v>0</v>
      </c>
      <c r="N993" t="n">
        <v>0</v>
      </c>
      <c r="O993" t="n">
        <v>0</v>
      </c>
      <c r="P993" t="n">
        <v>0</v>
      </c>
      <c r="Q993" t="n">
        <v>0</v>
      </c>
      <c r="R993" s="2" t="inlineStr"/>
    </row>
    <row r="994" ht="15" customHeight="1">
      <c r="A994" t="inlineStr">
        <is>
          <t>A 69906-2018</t>
        </is>
      </c>
      <c r="B994" s="1" t="n">
        <v>43447</v>
      </c>
      <c r="C994" s="1" t="n">
        <v>45212</v>
      </c>
      <c r="D994" t="inlineStr">
        <is>
          <t>VÄSTERNORRLANDS LÄN</t>
        </is>
      </c>
      <c r="E994" t="inlineStr">
        <is>
          <t>ÅNGE</t>
        </is>
      </c>
      <c r="G994" t="n">
        <v>2.7</v>
      </c>
      <c r="H994" t="n">
        <v>0</v>
      </c>
      <c r="I994" t="n">
        <v>0</v>
      </c>
      <c r="J994" t="n">
        <v>0</v>
      </c>
      <c r="K994" t="n">
        <v>0</v>
      </c>
      <c r="L994" t="n">
        <v>0</v>
      </c>
      <c r="M994" t="n">
        <v>0</v>
      </c>
      <c r="N994" t="n">
        <v>0</v>
      </c>
      <c r="O994" t="n">
        <v>0</v>
      </c>
      <c r="P994" t="n">
        <v>0</v>
      </c>
      <c r="Q994" t="n">
        <v>0</v>
      </c>
      <c r="R994" s="2" t="inlineStr"/>
    </row>
    <row r="995" ht="15" customHeight="1">
      <c r="A995" t="inlineStr">
        <is>
          <t>A 69957-2018</t>
        </is>
      </c>
      <c r="B995" s="1" t="n">
        <v>43447</v>
      </c>
      <c r="C995" s="1" t="n">
        <v>45212</v>
      </c>
      <c r="D995" t="inlineStr">
        <is>
          <t>VÄSTERNORRLANDS LÄN</t>
        </is>
      </c>
      <c r="E995" t="inlineStr">
        <is>
          <t>ÖRNSKÖLDSVIK</t>
        </is>
      </c>
      <c r="G995" t="n">
        <v>1.6</v>
      </c>
      <c r="H995" t="n">
        <v>0</v>
      </c>
      <c r="I995" t="n">
        <v>0</v>
      </c>
      <c r="J995" t="n">
        <v>0</v>
      </c>
      <c r="K995" t="n">
        <v>0</v>
      </c>
      <c r="L995" t="n">
        <v>0</v>
      </c>
      <c r="M995" t="n">
        <v>0</v>
      </c>
      <c r="N995" t="n">
        <v>0</v>
      </c>
      <c r="O995" t="n">
        <v>0</v>
      </c>
      <c r="P995" t="n">
        <v>0</v>
      </c>
      <c r="Q995" t="n">
        <v>0</v>
      </c>
      <c r="R995" s="2" t="inlineStr"/>
    </row>
    <row r="996" ht="15" customHeight="1">
      <c r="A996" t="inlineStr">
        <is>
          <t>A 69970-2018</t>
        </is>
      </c>
      <c r="B996" s="1" t="n">
        <v>43447</v>
      </c>
      <c r="C996" s="1" t="n">
        <v>45212</v>
      </c>
      <c r="D996" t="inlineStr">
        <is>
          <t>VÄSTERNORRLANDS LÄN</t>
        </is>
      </c>
      <c r="E996" t="inlineStr">
        <is>
          <t>SOLLEFTEÅ</t>
        </is>
      </c>
      <c r="G996" t="n">
        <v>1.5</v>
      </c>
      <c r="H996" t="n">
        <v>0</v>
      </c>
      <c r="I996" t="n">
        <v>0</v>
      </c>
      <c r="J996" t="n">
        <v>0</v>
      </c>
      <c r="K996" t="n">
        <v>0</v>
      </c>
      <c r="L996" t="n">
        <v>0</v>
      </c>
      <c r="M996" t="n">
        <v>0</v>
      </c>
      <c r="N996" t="n">
        <v>0</v>
      </c>
      <c r="O996" t="n">
        <v>0</v>
      </c>
      <c r="P996" t="n">
        <v>0</v>
      </c>
      <c r="Q996" t="n">
        <v>0</v>
      </c>
      <c r="R996" s="2" t="inlineStr"/>
    </row>
    <row r="997" ht="15" customHeight="1">
      <c r="A997" t="inlineStr">
        <is>
          <t>A 69908-2018</t>
        </is>
      </c>
      <c r="B997" s="1" t="n">
        <v>43447</v>
      </c>
      <c r="C997" s="1" t="n">
        <v>45212</v>
      </c>
      <c r="D997" t="inlineStr">
        <is>
          <t>VÄSTERNORRLANDS LÄN</t>
        </is>
      </c>
      <c r="E997" t="inlineStr">
        <is>
          <t>ÅNGE</t>
        </is>
      </c>
      <c r="G997" t="n">
        <v>2.6</v>
      </c>
      <c r="H997" t="n">
        <v>0</v>
      </c>
      <c r="I997" t="n">
        <v>0</v>
      </c>
      <c r="J997" t="n">
        <v>0</v>
      </c>
      <c r="K997" t="n">
        <v>0</v>
      </c>
      <c r="L997" t="n">
        <v>0</v>
      </c>
      <c r="M997" t="n">
        <v>0</v>
      </c>
      <c r="N997" t="n">
        <v>0</v>
      </c>
      <c r="O997" t="n">
        <v>0</v>
      </c>
      <c r="P997" t="n">
        <v>0</v>
      </c>
      <c r="Q997" t="n">
        <v>0</v>
      </c>
      <c r="R997" s="2" t="inlineStr"/>
    </row>
    <row r="998" ht="15" customHeight="1">
      <c r="A998" t="inlineStr">
        <is>
          <t>A 69973-2018</t>
        </is>
      </c>
      <c r="B998" s="1" t="n">
        <v>43447</v>
      </c>
      <c r="C998" s="1" t="n">
        <v>45212</v>
      </c>
      <c r="D998" t="inlineStr">
        <is>
          <t>VÄSTERNORRLANDS LÄN</t>
        </is>
      </c>
      <c r="E998" t="inlineStr">
        <is>
          <t>ÅNGE</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70125-2018</t>
        </is>
      </c>
      <c r="B999" s="1" t="n">
        <v>43448</v>
      </c>
      <c r="C999" s="1" t="n">
        <v>45212</v>
      </c>
      <c r="D999" t="inlineStr">
        <is>
          <t>VÄSTERNORRLANDS LÄN</t>
        </is>
      </c>
      <c r="E999" t="inlineStr">
        <is>
          <t>ÖRNSKÖLDSVIK</t>
        </is>
      </c>
      <c r="G999" t="n">
        <v>2.2</v>
      </c>
      <c r="H999" t="n">
        <v>0</v>
      </c>
      <c r="I999" t="n">
        <v>0</v>
      </c>
      <c r="J999" t="n">
        <v>0</v>
      </c>
      <c r="K999" t="n">
        <v>0</v>
      </c>
      <c r="L999" t="n">
        <v>0</v>
      </c>
      <c r="M999" t="n">
        <v>0</v>
      </c>
      <c r="N999" t="n">
        <v>0</v>
      </c>
      <c r="O999" t="n">
        <v>0</v>
      </c>
      <c r="P999" t="n">
        <v>0</v>
      </c>
      <c r="Q999" t="n">
        <v>0</v>
      </c>
      <c r="R999" s="2" t="inlineStr"/>
    </row>
    <row r="1000" ht="15" customHeight="1">
      <c r="A1000" t="inlineStr">
        <is>
          <t>A 70999-2018</t>
        </is>
      </c>
      <c r="B1000" s="1" t="n">
        <v>43448</v>
      </c>
      <c r="C1000" s="1" t="n">
        <v>45212</v>
      </c>
      <c r="D1000" t="inlineStr">
        <is>
          <t>VÄSTERNORRLANDS LÄN</t>
        </is>
      </c>
      <c r="E1000" t="inlineStr">
        <is>
          <t>ÖRNSKÖLDSVIK</t>
        </is>
      </c>
      <c r="G1000" t="n">
        <v>11.4</v>
      </c>
      <c r="H1000" t="n">
        <v>0</v>
      </c>
      <c r="I1000" t="n">
        <v>0</v>
      </c>
      <c r="J1000" t="n">
        <v>0</v>
      </c>
      <c r="K1000" t="n">
        <v>0</v>
      </c>
      <c r="L1000" t="n">
        <v>0</v>
      </c>
      <c r="M1000" t="n">
        <v>0</v>
      </c>
      <c r="N1000" t="n">
        <v>0</v>
      </c>
      <c r="O1000" t="n">
        <v>0</v>
      </c>
      <c r="P1000" t="n">
        <v>0</v>
      </c>
      <c r="Q1000" t="n">
        <v>0</v>
      </c>
      <c r="R1000" s="2" t="inlineStr"/>
    </row>
    <row r="1001" ht="15" customHeight="1">
      <c r="A1001" t="inlineStr">
        <is>
          <t>A 70253-2018</t>
        </is>
      </c>
      <c r="B1001" s="1" t="n">
        <v>43448</v>
      </c>
      <c r="C1001" s="1" t="n">
        <v>45212</v>
      </c>
      <c r="D1001" t="inlineStr">
        <is>
          <t>VÄSTERNORRLANDS LÄN</t>
        </is>
      </c>
      <c r="E1001" t="inlineStr">
        <is>
          <t>SUNDSVALL</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70405-2018</t>
        </is>
      </c>
      <c r="B1002" s="1" t="n">
        <v>43450</v>
      </c>
      <c r="C1002" s="1" t="n">
        <v>45212</v>
      </c>
      <c r="D1002" t="inlineStr">
        <is>
          <t>VÄSTERNORRLANDS LÄN</t>
        </is>
      </c>
      <c r="E1002" t="inlineStr">
        <is>
          <t>ÖRNSKÖLDSVIK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70533-2018</t>
        </is>
      </c>
      <c r="B1003" s="1" t="n">
        <v>43451</v>
      </c>
      <c r="C1003" s="1" t="n">
        <v>45212</v>
      </c>
      <c r="D1003" t="inlineStr">
        <is>
          <t>VÄSTERNORRLANDS LÄN</t>
        </is>
      </c>
      <c r="E1003" t="inlineStr">
        <is>
          <t>ÖRNSKÖLDSVIK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70560-2018</t>
        </is>
      </c>
      <c r="B1004" s="1" t="n">
        <v>43451</v>
      </c>
      <c r="C1004" s="1" t="n">
        <v>45212</v>
      </c>
      <c r="D1004" t="inlineStr">
        <is>
          <t>VÄSTERNORRLANDS LÄN</t>
        </is>
      </c>
      <c r="E1004" t="inlineStr">
        <is>
          <t>TIMRÅ</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70527-2018</t>
        </is>
      </c>
      <c r="B1005" s="1" t="n">
        <v>43451</v>
      </c>
      <c r="C1005" s="1" t="n">
        <v>45212</v>
      </c>
      <c r="D1005" t="inlineStr">
        <is>
          <t>VÄSTERNORRLANDS LÄN</t>
        </is>
      </c>
      <c r="E1005" t="inlineStr">
        <is>
          <t>ÖRNSKÖLDSVIK</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71273-2018</t>
        </is>
      </c>
      <c r="B1006" s="1" t="n">
        <v>43451</v>
      </c>
      <c r="C1006" s="1" t="n">
        <v>45212</v>
      </c>
      <c r="D1006" t="inlineStr">
        <is>
          <t>VÄSTERNORRLANDS LÄN</t>
        </is>
      </c>
      <c r="E1006" t="inlineStr">
        <is>
          <t>ÖRNSKÖLDSVIK</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70429-2018</t>
        </is>
      </c>
      <c r="B1007" s="1" t="n">
        <v>43451</v>
      </c>
      <c r="C1007" s="1" t="n">
        <v>45212</v>
      </c>
      <c r="D1007" t="inlineStr">
        <is>
          <t>VÄSTERNORRLANDS LÄN</t>
        </is>
      </c>
      <c r="E1007" t="inlineStr">
        <is>
          <t>SOLLEFTEÅ</t>
        </is>
      </c>
      <c r="G1007" t="n">
        <v>4</v>
      </c>
      <c r="H1007" t="n">
        <v>0</v>
      </c>
      <c r="I1007" t="n">
        <v>0</v>
      </c>
      <c r="J1007" t="n">
        <v>0</v>
      </c>
      <c r="K1007" t="n">
        <v>0</v>
      </c>
      <c r="L1007" t="n">
        <v>0</v>
      </c>
      <c r="M1007" t="n">
        <v>0</v>
      </c>
      <c r="N1007" t="n">
        <v>0</v>
      </c>
      <c r="O1007" t="n">
        <v>0</v>
      </c>
      <c r="P1007" t="n">
        <v>0</v>
      </c>
      <c r="Q1007" t="n">
        <v>0</v>
      </c>
      <c r="R1007" s="2" t="inlineStr"/>
    </row>
    <row r="1008" ht="15" customHeight="1">
      <c r="A1008" t="inlineStr">
        <is>
          <t>A 71719-2018</t>
        </is>
      </c>
      <c r="B1008" s="1" t="n">
        <v>43451</v>
      </c>
      <c r="C1008" s="1" t="n">
        <v>45212</v>
      </c>
      <c r="D1008" t="inlineStr">
        <is>
          <t>VÄSTERNORRLANDS LÄN</t>
        </is>
      </c>
      <c r="E1008" t="inlineStr">
        <is>
          <t>ÖRNSKÖLDSVIK</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70950-2018</t>
        </is>
      </c>
      <c r="B1009" s="1" t="n">
        <v>43452</v>
      </c>
      <c r="C1009" s="1" t="n">
        <v>45212</v>
      </c>
      <c r="D1009" t="inlineStr">
        <is>
          <t>VÄSTERNORRLANDS LÄN</t>
        </is>
      </c>
      <c r="E1009" t="inlineStr">
        <is>
          <t>SUNDSVALL</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71038-2018</t>
        </is>
      </c>
      <c r="B1010" s="1" t="n">
        <v>43452</v>
      </c>
      <c r="C1010" s="1" t="n">
        <v>45212</v>
      </c>
      <c r="D1010" t="inlineStr">
        <is>
          <t>VÄSTERNORRLANDS LÄN</t>
        </is>
      </c>
      <c r="E1010" t="inlineStr">
        <is>
          <t>ÖRNSKÖLDSVIK</t>
        </is>
      </c>
      <c r="F1010" t="inlineStr">
        <is>
          <t>Holmen skog AB</t>
        </is>
      </c>
      <c r="G1010" t="n">
        <v>12.5</v>
      </c>
      <c r="H1010" t="n">
        <v>0</v>
      </c>
      <c r="I1010" t="n">
        <v>0</v>
      </c>
      <c r="J1010" t="n">
        <v>0</v>
      </c>
      <c r="K1010" t="n">
        <v>0</v>
      </c>
      <c r="L1010" t="n">
        <v>0</v>
      </c>
      <c r="M1010" t="n">
        <v>0</v>
      </c>
      <c r="N1010" t="n">
        <v>0</v>
      </c>
      <c r="O1010" t="n">
        <v>0</v>
      </c>
      <c r="P1010" t="n">
        <v>0</v>
      </c>
      <c r="Q1010" t="n">
        <v>0</v>
      </c>
      <c r="R1010" s="2" t="inlineStr"/>
    </row>
    <row r="1011" ht="15" customHeight="1">
      <c r="A1011" t="inlineStr">
        <is>
          <t>A 70960-2018</t>
        </is>
      </c>
      <c r="B1011" s="1" t="n">
        <v>43452</v>
      </c>
      <c r="C1011" s="1" t="n">
        <v>45212</v>
      </c>
      <c r="D1011" t="inlineStr">
        <is>
          <t>VÄSTERNORRLANDS LÄN</t>
        </is>
      </c>
      <c r="E1011" t="inlineStr">
        <is>
          <t>ÖRNSKÖLDSVIK</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71078-2018</t>
        </is>
      </c>
      <c r="B1012" s="1" t="n">
        <v>43452</v>
      </c>
      <c r="C1012" s="1" t="n">
        <v>45212</v>
      </c>
      <c r="D1012" t="inlineStr">
        <is>
          <t>VÄSTERNORRLANDS LÄN</t>
        </is>
      </c>
      <c r="E1012" t="inlineStr">
        <is>
          <t>HÄRNÖSAND</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71366-2018</t>
        </is>
      </c>
      <c r="B1013" s="1" t="n">
        <v>43453</v>
      </c>
      <c r="C1013" s="1" t="n">
        <v>45212</v>
      </c>
      <c r="D1013" t="inlineStr">
        <is>
          <t>VÄSTERNORRLANDS LÄN</t>
        </is>
      </c>
      <c r="E1013" t="inlineStr">
        <is>
          <t>SOLLEFTEÅ</t>
        </is>
      </c>
      <c r="G1013" t="n">
        <v>11.7</v>
      </c>
      <c r="H1013" t="n">
        <v>0</v>
      </c>
      <c r="I1013" t="n">
        <v>0</v>
      </c>
      <c r="J1013" t="n">
        <v>0</v>
      </c>
      <c r="K1013" t="n">
        <v>0</v>
      </c>
      <c r="L1013" t="n">
        <v>0</v>
      </c>
      <c r="M1013" t="n">
        <v>0</v>
      </c>
      <c r="N1013" t="n">
        <v>0</v>
      </c>
      <c r="O1013" t="n">
        <v>0</v>
      </c>
      <c r="P1013" t="n">
        <v>0</v>
      </c>
      <c r="Q1013" t="n">
        <v>0</v>
      </c>
      <c r="R1013" s="2" t="inlineStr"/>
    </row>
    <row r="1014" ht="15" customHeight="1">
      <c r="A1014" t="inlineStr">
        <is>
          <t>A 71481-2018</t>
        </is>
      </c>
      <c r="B1014" s="1" t="n">
        <v>43453</v>
      </c>
      <c r="C1014" s="1" t="n">
        <v>45212</v>
      </c>
      <c r="D1014" t="inlineStr">
        <is>
          <t>VÄSTERNORRLANDS LÄN</t>
        </is>
      </c>
      <c r="E1014" t="inlineStr">
        <is>
          <t>ÖRNSKÖLDSVIK</t>
        </is>
      </c>
      <c r="G1014" t="n">
        <v>14.8</v>
      </c>
      <c r="H1014" t="n">
        <v>0</v>
      </c>
      <c r="I1014" t="n">
        <v>0</v>
      </c>
      <c r="J1014" t="n">
        <v>0</v>
      </c>
      <c r="K1014" t="n">
        <v>0</v>
      </c>
      <c r="L1014" t="n">
        <v>0</v>
      </c>
      <c r="M1014" t="n">
        <v>0</v>
      </c>
      <c r="N1014" t="n">
        <v>0</v>
      </c>
      <c r="O1014" t="n">
        <v>0</v>
      </c>
      <c r="P1014" t="n">
        <v>0</v>
      </c>
      <c r="Q1014" t="n">
        <v>0</v>
      </c>
      <c r="R1014" s="2" t="inlineStr"/>
    </row>
    <row r="1015" ht="15" customHeight="1">
      <c r="A1015" t="inlineStr">
        <is>
          <t>A 72403-2018</t>
        </is>
      </c>
      <c r="B1015" s="1" t="n">
        <v>43453</v>
      </c>
      <c r="C1015" s="1" t="n">
        <v>45212</v>
      </c>
      <c r="D1015" t="inlineStr">
        <is>
          <t>VÄSTERNORRLANDS LÄN</t>
        </is>
      </c>
      <c r="E1015" t="inlineStr">
        <is>
          <t>KRAMFORS</t>
        </is>
      </c>
      <c r="G1015" t="n">
        <v>5.3</v>
      </c>
      <c r="H1015" t="n">
        <v>0</v>
      </c>
      <c r="I1015" t="n">
        <v>0</v>
      </c>
      <c r="J1015" t="n">
        <v>0</v>
      </c>
      <c r="K1015" t="n">
        <v>0</v>
      </c>
      <c r="L1015" t="n">
        <v>0</v>
      </c>
      <c r="M1015" t="n">
        <v>0</v>
      </c>
      <c r="N1015" t="n">
        <v>0</v>
      </c>
      <c r="O1015" t="n">
        <v>0</v>
      </c>
      <c r="P1015" t="n">
        <v>0</v>
      </c>
      <c r="Q1015" t="n">
        <v>0</v>
      </c>
      <c r="R1015" s="2" t="inlineStr"/>
    </row>
    <row r="1016" ht="15" customHeight="1">
      <c r="A1016" t="inlineStr">
        <is>
          <t>A 71211-2018</t>
        </is>
      </c>
      <c r="B1016" s="1" t="n">
        <v>43453</v>
      </c>
      <c r="C1016" s="1" t="n">
        <v>45212</v>
      </c>
      <c r="D1016" t="inlineStr">
        <is>
          <t>VÄSTERNORRLANDS LÄN</t>
        </is>
      </c>
      <c r="E1016" t="inlineStr">
        <is>
          <t>ÅNGE</t>
        </is>
      </c>
      <c r="F1016" t="inlineStr">
        <is>
          <t>Holmen skog AB</t>
        </is>
      </c>
      <c r="G1016" t="n">
        <v>12.9</v>
      </c>
      <c r="H1016" t="n">
        <v>0</v>
      </c>
      <c r="I1016" t="n">
        <v>0</v>
      </c>
      <c r="J1016" t="n">
        <v>0</v>
      </c>
      <c r="K1016" t="n">
        <v>0</v>
      </c>
      <c r="L1016" t="n">
        <v>0</v>
      </c>
      <c r="M1016" t="n">
        <v>0</v>
      </c>
      <c r="N1016" t="n">
        <v>0</v>
      </c>
      <c r="O1016" t="n">
        <v>0</v>
      </c>
      <c r="P1016" t="n">
        <v>0</v>
      </c>
      <c r="Q1016" t="n">
        <v>0</v>
      </c>
      <c r="R1016" s="2" t="inlineStr"/>
    </row>
    <row r="1017" ht="15" customHeight="1">
      <c r="A1017" t="inlineStr">
        <is>
          <t>A 71389-2018</t>
        </is>
      </c>
      <c r="B1017" s="1" t="n">
        <v>43453</v>
      </c>
      <c r="C1017" s="1" t="n">
        <v>45212</v>
      </c>
      <c r="D1017" t="inlineStr">
        <is>
          <t>VÄSTERNORRLANDS LÄN</t>
        </is>
      </c>
      <c r="E1017" t="inlineStr">
        <is>
          <t>ÖRNSKÖLDSVIK</t>
        </is>
      </c>
      <c r="F1017" t="inlineStr">
        <is>
          <t>Holmen skog AB</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71384-2018</t>
        </is>
      </c>
      <c r="B1018" s="1" t="n">
        <v>43453</v>
      </c>
      <c r="C1018" s="1" t="n">
        <v>45212</v>
      </c>
      <c r="D1018" t="inlineStr">
        <is>
          <t>VÄSTERNORRLANDS LÄN</t>
        </is>
      </c>
      <c r="E1018" t="inlineStr">
        <is>
          <t>SOLLEFTEÅ</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71422-2018</t>
        </is>
      </c>
      <c r="B1019" s="1" t="n">
        <v>43453</v>
      </c>
      <c r="C1019" s="1" t="n">
        <v>45212</v>
      </c>
      <c r="D1019" t="inlineStr">
        <is>
          <t>VÄSTERNORRLANDS LÄN</t>
        </is>
      </c>
      <c r="E1019" t="inlineStr">
        <is>
          <t>ÅNGE</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71474-2018</t>
        </is>
      </c>
      <c r="B1020" s="1" t="n">
        <v>43453</v>
      </c>
      <c r="C1020" s="1" t="n">
        <v>45212</v>
      </c>
      <c r="D1020" t="inlineStr">
        <is>
          <t>VÄSTERNORRLANDS LÄN</t>
        </is>
      </c>
      <c r="E1020" t="inlineStr">
        <is>
          <t>SUNDSVALL</t>
        </is>
      </c>
      <c r="F1020" t="inlineStr">
        <is>
          <t>Kommuner</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71359-2018</t>
        </is>
      </c>
      <c r="B1021" s="1" t="n">
        <v>43453</v>
      </c>
      <c r="C1021" s="1" t="n">
        <v>45212</v>
      </c>
      <c r="D1021" t="inlineStr">
        <is>
          <t>VÄSTERNORRLANDS LÄN</t>
        </is>
      </c>
      <c r="E1021" t="inlineStr">
        <is>
          <t>SOLLEFTEÅ</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71419-2018</t>
        </is>
      </c>
      <c r="B1022" s="1" t="n">
        <v>43453</v>
      </c>
      <c r="C1022" s="1" t="n">
        <v>45212</v>
      </c>
      <c r="D1022" t="inlineStr">
        <is>
          <t>VÄSTERNORRLANDS LÄN</t>
        </is>
      </c>
      <c r="E1022" t="inlineStr">
        <is>
          <t>SOLLEFTEÅ</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71579-2018</t>
        </is>
      </c>
      <c r="B1023" s="1" t="n">
        <v>43454</v>
      </c>
      <c r="C1023" s="1" t="n">
        <v>45212</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71824-2018</t>
        </is>
      </c>
      <c r="B1024" s="1" t="n">
        <v>43454</v>
      </c>
      <c r="C1024" s="1" t="n">
        <v>45212</v>
      </c>
      <c r="D1024" t="inlineStr">
        <is>
          <t>VÄSTERNORRLANDS LÄN</t>
        </is>
      </c>
      <c r="E1024" t="inlineStr">
        <is>
          <t>ÖRNSKÖLDSVIK</t>
        </is>
      </c>
      <c r="G1024" t="n">
        <v>6.6</v>
      </c>
      <c r="H1024" t="n">
        <v>0</v>
      </c>
      <c r="I1024" t="n">
        <v>0</v>
      </c>
      <c r="J1024" t="n">
        <v>0</v>
      </c>
      <c r="K1024" t="n">
        <v>0</v>
      </c>
      <c r="L1024" t="n">
        <v>0</v>
      </c>
      <c r="M1024" t="n">
        <v>0</v>
      </c>
      <c r="N1024" t="n">
        <v>0</v>
      </c>
      <c r="O1024" t="n">
        <v>0</v>
      </c>
      <c r="P1024" t="n">
        <v>0</v>
      </c>
      <c r="Q1024" t="n">
        <v>0</v>
      </c>
      <c r="R1024" s="2" t="inlineStr"/>
    </row>
    <row r="1025" ht="15" customHeight="1">
      <c r="A1025" t="inlineStr">
        <is>
          <t>A 71868-2018</t>
        </is>
      </c>
      <c r="B1025" s="1" t="n">
        <v>43454</v>
      </c>
      <c r="C1025" s="1" t="n">
        <v>45212</v>
      </c>
      <c r="D1025" t="inlineStr">
        <is>
          <t>VÄSTERNORRLANDS LÄN</t>
        </is>
      </c>
      <c r="E1025" t="inlineStr">
        <is>
          <t>SOLLEFTEÅ</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71884-2018</t>
        </is>
      </c>
      <c r="B1026" s="1" t="n">
        <v>43454</v>
      </c>
      <c r="C1026" s="1" t="n">
        <v>45212</v>
      </c>
      <c r="D1026" t="inlineStr">
        <is>
          <t>VÄSTERNORRLANDS LÄN</t>
        </is>
      </c>
      <c r="E1026" t="inlineStr">
        <is>
          <t>KRAMFORS</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162-2019</t>
        </is>
      </c>
      <c r="B1027" s="1" t="n">
        <v>43454</v>
      </c>
      <c r="C1027" s="1" t="n">
        <v>45212</v>
      </c>
      <c r="D1027" t="inlineStr">
        <is>
          <t>VÄSTERNORRLANDS LÄN</t>
        </is>
      </c>
      <c r="E1027" t="inlineStr">
        <is>
          <t>KRAMFORS</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71566-2018</t>
        </is>
      </c>
      <c r="B1028" s="1" t="n">
        <v>43454</v>
      </c>
      <c r="C1028" s="1" t="n">
        <v>45212</v>
      </c>
      <c r="D1028" t="inlineStr">
        <is>
          <t>VÄSTERNORRLANDS LÄN</t>
        </is>
      </c>
      <c r="E1028" t="inlineStr">
        <is>
          <t>ÖRNSKÖLDSVIK</t>
        </is>
      </c>
      <c r="F1028" t="inlineStr">
        <is>
          <t>Holmen skog AB</t>
        </is>
      </c>
      <c r="G1028" t="n">
        <v>21.9</v>
      </c>
      <c r="H1028" t="n">
        <v>0</v>
      </c>
      <c r="I1028" t="n">
        <v>0</v>
      </c>
      <c r="J1028" t="n">
        <v>0</v>
      </c>
      <c r="K1028" t="n">
        <v>0</v>
      </c>
      <c r="L1028" t="n">
        <v>0</v>
      </c>
      <c r="M1028" t="n">
        <v>0</v>
      </c>
      <c r="N1028" t="n">
        <v>0</v>
      </c>
      <c r="O1028" t="n">
        <v>0</v>
      </c>
      <c r="P1028" t="n">
        <v>0</v>
      </c>
      <c r="Q1028" t="n">
        <v>0</v>
      </c>
      <c r="R1028" s="2" t="inlineStr"/>
    </row>
    <row r="1029" ht="15" customHeight="1">
      <c r="A1029" t="inlineStr">
        <is>
          <t>A 71580-2018</t>
        </is>
      </c>
      <c r="B1029" s="1" t="n">
        <v>43454</v>
      </c>
      <c r="C1029" s="1" t="n">
        <v>45212</v>
      </c>
      <c r="D1029" t="inlineStr">
        <is>
          <t>VÄSTERNORRLANDS LÄN</t>
        </is>
      </c>
      <c r="E1029" t="inlineStr">
        <is>
          <t>KRAMFORS</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71862-2018</t>
        </is>
      </c>
      <c r="B1030" s="1" t="n">
        <v>43454</v>
      </c>
      <c r="C1030" s="1" t="n">
        <v>45212</v>
      </c>
      <c r="D1030" t="inlineStr">
        <is>
          <t>VÄSTERNORRLANDS LÄN</t>
        </is>
      </c>
      <c r="E1030" t="inlineStr">
        <is>
          <t>HÄRNÖSAND</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71869-2018</t>
        </is>
      </c>
      <c r="B1031" s="1" t="n">
        <v>43454</v>
      </c>
      <c r="C1031" s="1" t="n">
        <v>45212</v>
      </c>
      <c r="D1031" t="inlineStr">
        <is>
          <t>VÄSTERNORRLANDS LÄN</t>
        </is>
      </c>
      <c r="E1031" t="inlineStr">
        <is>
          <t>SUNDSVALL</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151-2019</t>
        </is>
      </c>
      <c r="B1032" s="1" t="n">
        <v>43454</v>
      </c>
      <c r="C1032" s="1" t="n">
        <v>45212</v>
      </c>
      <c r="D1032" t="inlineStr">
        <is>
          <t>VÄSTERNORRLANDS LÄN</t>
        </is>
      </c>
      <c r="E1032" t="inlineStr">
        <is>
          <t>ÖRNSKÖLDSVIK</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71867-2018</t>
        </is>
      </c>
      <c r="B1033" s="1" t="n">
        <v>43454</v>
      </c>
      <c r="C1033" s="1" t="n">
        <v>45212</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71883-2018</t>
        </is>
      </c>
      <c r="B1034" s="1" t="n">
        <v>43454</v>
      </c>
      <c r="C1034" s="1" t="n">
        <v>45212</v>
      </c>
      <c r="D1034" t="inlineStr">
        <is>
          <t>VÄSTERNORRLANDS LÄN</t>
        </is>
      </c>
      <c r="E1034" t="inlineStr">
        <is>
          <t>SUNDSVALL</t>
        </is>
      </c>
      <c r="G1034" t="n">
        <v>5.2</v>
      </c>
      <c r="H1034" t="n">
        <v>0</v>
      </c>
      <c r="I1034" t="n">
        <v>0</v>
      </c>
      <c r="J1034" t="n">
        <v>0</v>
      </c>
      <c r="K1034" t="n">
        <v>0</v>
      </c>
      <c r="L1034" t="n">
        <v>0</v>
      </c>
      <c r="M1034" t="n">
        <v>0</v>
      </c>
      <c r="N1034" t="n">
        <v>0</v>
      </c>
      <c r="O1034" t="n">
        <v>0</v>
      </c>
      <c r="P1034" t="n">
        <v>0</v>
      </c>
      <c r="Q1034" t="n">
        <v>0</v>
      </c>
      <c r="R1034" s="2" t="inlineStr"/>
    </row>
    <row r="1035" ht="15" customHeight="1">
      <c r="A1035" t="inlineStr">
        <is>
          <t>A 71581-2018</t>
        </is>
      </c>
      <c r="B1035" s="1" t="n">
        <v>43454</v>
      </c>
      <c r="C1035" s="1" t="n">
        <v>45212</v>
      </c>
      <c r="D1035" t="inlineStr">
        <is>
          <t>VÄSTERNORRLANDS LÄN</t>
        </is>
      </c>
      <c r="E1035" t="inlineStr">
        <is>
          <t>KRAMFORS</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71866-2018</t>
        </is>
      </c>
      <c r="B1036" s="1" t="n">
        <v>43454</v>
      </c>
      <c r="C1036" s="1" t="n">
        <v>45212</v>
      </c>
      <c r="D1036" t="inlineStr">
        <is>
          <t>VÄSTERNORRLANDS LÄN</t>
        </is>
      </c>
      <c r="E1036" t="inlineStr">
        <is>
          <t>SOLLEFTEÅ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72028-2018</t>
        </is>
      </c>
      <c r="B1037" s="1" t="n">
        <v>43455</v>
      </c>
      <c r="C1037" s="1" t="n">
        <v>45212</v>
      </c>
      <c r="D1037" t="inlineStr">
        <is>
          <t>VÄSTERNORRLANDS LÄN</t>
        </is>
      </c>
      <c r="E1037" t="inlineStr">
        <is>
          <t>ÖRNSKÖLDSVIK</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72136-2018</t>
        </is>
      </c>
      <c r="B1038" s="1" t="n">
        <v>43455</v>
      </c>
      <c r="C1038" s="1" t="n">
        <v>45212</v>
      </c>
      <c r="D1038" t="inlineStr">
        <is>
          <t>VÄSTERNORRLANDS LÄN</t>
        </is>
      </c>
      <c r="E1038" t="inlineStr">
        <is>
          <t>ÅNGE</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72090-2018</t>
        </is>
      </c>
      <c r="B1039" s="1" t="n">
        <v>43455</v>
      </c>
      <c r="C1039" s="1" t="n">
        <v>45212</v>
      </c>
      <c r="D1039" t="inlineStr">
        <is>
          <t>VÄSTERNORRLANDS LÄN</t>
        </is>
      </c>
      <c r="E1039" t="inlineStr">
        <is>
          <t>SUNDSVALL</t>
        </is>
      </c>
      <c r="G1039" t="n">
        <v>7.9</v>
      </c>
      <c r="H1039" t="n">
        <v>0</v>
      </c>
      <c r="I1039" t="n">
        <v>0</v>
      </c>
      <c r="J1039" t="n">
        <v>0</v>
      </c>
      <c r="K1039" t="n">
        <v>0</v>
      </c>
      <c r="L1039" t="n">
        <v>0</v>
      </c>
      <c r="M1039" t="n">
        <v>0</v>
      </c>
      <c r="N1039" t="n">
        <v>0</v>
      </c>
      <c r="O1039" t="n">
        <v>0</v>
      </c>
      <c r="P1039" t="n">
        <v>0</v>
      </c>
      <c r="Q1039" t="n">
        <v>0</v>
      </c>
      <c r="R1039" s="2" t="inlineStr"/>
    </row>
    <row r="1040" ht="15" customHeight="1">
      <c r="A1040" t="inlineStr">
        <is>
          <t>A 72099-2018</t>
        </is>
      </c>
      <c r="B1040" s="1" t="n">
        <v>43455</v>
      </c>
      <c r="C1040" s="1" t="n">
        <v>45212</v>
      </c>
      <c r="D1040" t="inlineStr">
        <is>
          <t>VÄSTERNORRLANDS LÄN</t>
        </is>
      </c>
      <c r="E1040" t="inlineStr">
        <is>
          <t>ÅNGE</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72286-2018</t>
        </is>
      </c>
      <c r="B1041" s="1" t="n">
        <v>43455</v>
      </c>
      <c r="C1041" s="1" t="n">
        <v>45212</v>
      </c>
      <c r="D1041" t="inlineStr">
        <is>
          <t>VÄSTERNORRLANDS LÄN</t>
        </is>
      </c>
      <c r="E1041" t="inlineStr">
        <is>
          <t>SOLLEFTEÅ</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72166-2018</t>
        </is>
      </c>
      <c r="B1042" s="1" t="n">
        <v>43455</v>
      </c>
      <c r="C1042" s="1" t="n">
        <v>45212</v>
      </c>
      <c r="D1042" t="inlineStr">
        <is>
          <t>VÄSTERNORRLANDS LÄN</t>
        </is>
      </c>
      <c r="E1042" t="inlineStr">
        <is>
          <t>ÅNGE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72392-2018</t>
        </is>
      </c>
      <c r="B1043" s="1" t="n">
        <v>43461</v>
      </c>
      <c r="C1043" s="1" t="n">
        <v>45212</v>
      </c>
      <c r="D1043" t="inlineStr">
        <is>
          <t>VÄSTERNORRLANDS LÄN</t>
        </is>
      </c>
      <c r="E1043" t="inlineStr">
        <is>
          <t>ÖRNSKÖLDSVIK</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72482-2018</t>
        </is>
      </c>
      <c r="B1044" s="1" t="n">
        <v>43461</v>
      </c>
      <c r="C1044" s="1" t="n">
        <v>45212</v>
      </c>
      <c r="D1044" t="inlineStr">
        <is>
          <t>VÄSTERNORRLANDS LÄN</t>
        </is>
      </c>
      <c r="E1044" t="inlineStr">
        <is>
          <t>TIMRÅ</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72483-2018</t>
        </is>
      </c>
      <c r="B1045" s="1" t="n">
        <v>43461</v>
      </c>
      <c r="C1045" s="1" t="n">
        <v>45212</v>
      </c>
      <c r="D1045" t="inlineStr">
        <is>
          <t>VÄSTERNORRLANDS LÄN</t>
        </is>
      </c>
      <c r="E1045" t="inlineStr">
        <is>
          <t>SOLLEFTEÅ</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975-2019</t>
        </is>
      </c>
      <c r="B1046" s="1" t="n">
        <v>43461</v>
      </c>
      <c r="C1046" s="1" t="n">
        <v>45212</v>
      </c>
      <c r="D1046" t="inlineStr">
        <is>
          <t>VÄSTERNORRLANDS LÄN</t>
        </is>
      </c>
      <c r="E1046" t="inlineStr">
        <is>
          <t>ÖRNSKÖLDSVIK</t>
        </is>
      </c>
      <c r="G1046" t="n">
        <v>16.3</v>
      </c>
      <c r="H1046" t="n">
        <v>0</v>
      </c>
      <c r="I1046" t="n">
        <v>0</v>
      </c>
      <c r="J1046" t="n">
        <v>0</v>
      </c>
      <c r="K1046" t="n">
        <v>0</v>
      </c>
      <c r="L1046" t="n">
        <v>0</v>
      </c>
      <c r="M1046" t="n">
        <v>0</v>
      </c>
      <c r="N1046" t="n">
        <v>0</v>
      </c>
      <c r="O1046" t="n">
        <v>0</v>
      </c>
      <c r="P1046" t="n">
        <v>0</v>
      </c>
      <c r="Q1046" t="n">
        <v>0</v>
      </c>
      <c r="R1046" s="2" t="inlineStr"/>
    </row>
    <row r="1047" ht="15" customHeight="1">
      <c r="A1047" t="inlineStr">
        <is>
          <t>A 237-2019</t>
        </is>
      </c>
      <c r="B1047" s="1" t="n">
        <v>43467</v>
      </c>
      <c r="C1047" s="1" t="n">
        <v>45212</v>
      </c>
      <c r="D1047" t="inlineStr">
        <is>
          <t>VÄSTERNORRLANDS LÄN</t>
        </is>
      </c>
      <c r="E1047" t="inlineStr">
        <is>
          <t>KRAMFORS</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238-2019</t>
        </is>
      </c>
      <c r="B1048" s="1" t="n">
        <v>43467</v>
      </c>
      <c r="C1048" s="1" t="n">
        <v>45212</v>
      </c>
      <c r="D1048" t="inlineStr">
        <is>
          <t>VÄSTERNORRLANDS LÄN</t>
        </is>
      </c>
      <c r="E1048" t="inlineStr">
        <is>
          <t>SUNDSVALL</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2098-2019</t>
        </is>
      </c>
      <c r="B1049" s="1" t="n">
        <v>43467</v>
      </c>
      <c r="C1049" s="1" t="n">
        <v>45212</v>
      </c>
      <c r="D1049" t="inlineStr">
        <is>
          <t>VÄSTERNORRLANDS LÄN</t>
        </is>
      </c>
      <c r="E1049" t="inlineStr">
        <is>
          <t>ÅNGE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2050-2019</t>
        </is>
      </c>
      <c r="B1050" s="1" t="n">
        <v>43467</v>
      </c>
      <c r="C1050" s="1" t="n">
        <v>45212</v>
      </c>
      <c r="D1050" t="inlineStr">
        <is>
          <t>VÄSTERNORRLANDS LÄN</t>
        </is>
      </c>
      <c r="E1050" t="inlineStr">
        <is>
          <t>ÖRNSKÖLDSVIK</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457-2019</t>
        </is>
      </c>
      <c r="B1051" s="1" t="n">
        <v>43468</v>
      </c>
      <c r="C1051" s="1" t="n">
        <v>45212</v>
      </c>
      <c r="D1051" t="inlineStr">
        <is>
          <t>VÄSTERNORRLANDS LÄN</t>
        </is>
      </c>
      <c r="E1051" t="inlineStr">
        <is>
          <t>ÖRNSKÖLDSVIK</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268-2019</t>
        </is>
      </c>
      <c r="B1052" s="1" t="n">
        <v>43468</v>
      </c>
      <c r="C1052" s="1" t="n">
        <v>45212</v>
      </c>
      <c r="D1052" t="inlineStr">
        <is>
          <t>VÄSTERNORRLANDS LÄN</t>
        </is>
      </c>
      <c r="E1052" t="inlineStr">
        <is>
          <t>ÖRNSKÖLDSVIK</t>
        </is>
      </c>
      <c r="F1052" t="inlineStr">
        <is>
          <t>Holmen skog AB</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257-2019</t>
        </is>
      </c>
      <c r="B1053" s="1" t="n">
        <v>43468</v>
      </c>
      <c r="C1053" s="1" t="n">
        <v>45212</v>
      </c>
      <c r="D1053" t="inlineStr">
        <is>
          <t>VÄSTERNORRLANDS LÄN</t>
        </is>
      </c>
      <c r="E1053" t="inlineStr">
        <is>
          <t>KRAMFORS</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456-2019</t>
        </is>
      </c>
      <c r="B1054" s="1" t="n">
        <v>43468</v>
      </c>
      <c r="C1054" s="1" t="n">
        <v>45212</v>
      </c>
      <c r="D1054" t="inlineStr">
        <is>
          <t>VÄSTERNORRLANDS LÄN</t>
        </is>
      </c>
      <c r="E1054" t="inlineStr">
        <is>
          <t>ÖRNSKÖLDSVIK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2421-2019</t>
        </is>
      </c>
      <c r="B1055" s="1" t="n">
        <v>43468</v>
      </c>
      <c r="C1055" s="1" t="n">
        <v>45212</v>
      </c>
      <c r="D1055" t="inlineStr">
        <is>
          <t>VÄSTERNORRLANDS LÄN</t>
        </is>
      </c>
      <c r="E1055" t="inlineStr">
        <is>
          <t>SOLLEFTEÅ</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281-2019</t>
        </is>
      </c>
      <c r="B1056" s="1" t="n">
        <v>43468</v>
      </c>
      <c r="C1056" s="1" t="n">
        <v>45212</v>
      </c>
      <c r="D1056" t="inlineStr">
        <is>
          <t>VÄSTERNORRLANDS LÄN</t>
        </is>
      </c>
      <c r="E1056" t="inlineStr">
        <is>
          <t>ÖRNSKÖLDSVIK</t>
        </is>
      </c>
      <c r="F1056" t="inlineStr">
        <is>
          <t>Holmen skog AB</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2798-2019</t>
        </is>
      </c>
      <c r="B1057" s="1" t="n">
        <v>43469</v>
      </c>
      <c r="C1057" s="1" t="n">
        <v>45212</v>
      </c>
      <c r="D1057" t="inlineStr">
        <is>
          <t>VÄSTERNORRLANDS LÄN</t>
        </is>
      </c>
      <c r="E1057" t="inlineStr">
        <is>
          <t>ÅNGE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543-2019</t>
        </is>
      </c>
      <c r="B1058" s="1" t="n">
        <v>43469</v>
      </c>
      <c r="C1058" s="1" t="n">
        <v>45212</v>
      </c>
      <c r="D1058" t="inlineStr">
        <is>
          <t>VÄSTERNORRLANDS LÄN</t>
        </is>
      </c>
      <c r="E1058" t="inlineStr">
        <is>
          <t>SOLLEFTEÅ</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2816-2019</t>
        </is>
      </c>
      <c r="B1059" s="1" t="n">
        <v>43469</v>
      </c>
      <c r="C1059" s="1" t="n">
        <v>45212</v>
      </c>
      <c r="D1059" t="inlineStr">
        <is>
          <t>VÄSTERNORRLANDS LÄN</t>
        </is>
      </c>
      <c r="E1059" t="inlineStr">
        <is>
          <t>ÖRNSKÖLDSVIK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546-2019</t>
        </is>
      </c>
      <c r="B1060" s="1" t="n">
        <v>43469</v>
      </c>
      <c r="C1060" s="1" t="n">
        <v>45212</v>
      </c>
      <c r="D1060" t="inlineStr">
        <is>
          <t>VÄSTERNORRLANDS LÄN</t>
        </is>
      </c>
      <c r="E1060" t="inlineStr">
        <is>
          <t>ÅNGE</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565-2019</t>
        </is>
      </c>
      <c r="B1061" s="1" t="n">
        <v>43469</v>
      </c>
      <c r="C1061" s="1" t="n">
        <v>45212</v>
      </c>
      <c r="D1061" t="inlineStr">
        <is>
          <t>VÄSTERNORRLANDS LÄN</t>
        </is>
      </c>
      <c r="E1061" t="inlineStr">
        <is>
          <t>SOLLEFTEÅ</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578-2019</t>
        </is>
      </c>
      <c r="B1062" s="1" t="n">
        <v>43469</v>
      </c>
      <c r="C1062" s="1" t="n">
        <v>45212</v>
      </c>
      <c r="D1062" t="inlineStr">
        <is>
          <t>VÄSTERNORRLANDS LÄN</t>
        </is>
      </c>
      <c r="E1062" t="inlineStr">
        <is>
          <t>SUNDSVALL</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552-2019</t>
        </is>
      </c>
      <c r="B1063" s="1" t="n">
        <v>43469</v>
      </c>
      <c r="C1063" s="1" t="n">
        <v>45212</v>
      </c>
      <c r="D1063" t="inlineStr">
        <is>
          <t>VÄSTERNORRLANDS LÄN</t>
        </is>
      </c>
      <c r="E1063" t="inlineStr">
        <is>
          <t>SOLLEFTEÅ</t>
        </is>
      </c>
      <c r="F1063" t="inlineStr">
        <is>
          <t>Holmen skog AB</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705-2019</t>
        </is>
      </c>
      <c r="B1064" s="1" t="n">
        <v>43469</v>
      </c>
      <c r="C1064" s="1" t="n">
        <v>45212</v>
      </c>
      <c r="D1064" t="inlineStr">
        <is>
          <t>VÄSTERNORRLANDS LÄN</t>
        </is>
      </c>
      <c r="E1064" t="inlineStr">
        <is>
          <t>SUNDSVALL</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2977-2019</t>
        </is>
      </c>
      <c r="B1065" s="1" t="n">
        <v>43472</v>
      </c>
      <c r="C1065" s="1" t="n">
        <v>45212</v>
      </c>
      <c r="D1065" t="inlineStr">
        <is>
          <t>VÄSTERNORRLANDS LÄN</t>
        </is>
      </c>
      <c r="E1065" t="inlineStr">
        <is>
          <t>ÖRNSKÖLDSVIK</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1010-2019</t>
        </is>
      </c>
      <c r="B1066" s="1" t="n">
        <v>43472</v>
      </c>
      <c r="C1066" s="1" t="n">
        <v>45212</v>
      </c>
      <c r="D1066" t="inlineStr">
        <is>
          <t>VÄSTERNORRLANDS LÄN</t>
        </is>
      </c>
      <c r="E1066" t="inlineStr">
        <is>
          <t>ÖRNSKÖLDSVIK</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2982-2019</t>
        </is>
      </c>
      <c r="B1067" s="1" t="n">
        <v>43472</v>
      </c>
      <c r="C1067" s="1" t="n">
        <v>45212</v>
      </c>
      <c r="D1067" t="inlineStr">
        <is>
          <t>VÄSTERNORRLANDS LÄN</t>
        </is>
      </c>
      <c r="E1067" t="inlineStr">
        <is>
          <t>ÖRNSKÖLDSVIK</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1193-2019</t>
        </is>
      </c>
      <c r="B1068" s="1" t="n">
        <v>43473</v>
      </c>
      <c r="C1068" s="1" t="n">
        <v>45212</v>
      </c>
      <c r="D1068" t="inlineStr">
        <is>
          <t>VÄSTERNORRLANDS LÄN</t>
        </is>
      </c>
      <c r="E1068" t="inlineStr">
        <is>
          <t>SUNDSVALL</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1259-2019</t>
        </is>
      </c>
      <c r="B1069" s="1" t="n">
        <v>43473</v>
      </c>
      <c r="C1069" s="1" t="n">
        <v>45212</v>
      </c>
      <c r="D1069" t="inlineStr">
        <is>
          <t>VÄSTERNORRLANDS LÄN</t>
        </is>
      </c>
      <c r="E1069" t="inlineStr">
        <is>
          <t>SUNDSVALL</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1275-2019</t>
        </is>
      </c>
      <c r="B1070" s="1" t="n">
        <v>43473</v>
      </c>
      <c r="C1070" s="1" t="n">
        <v>45212</v>
      </c>
      <c r="D1070" t="inlineStr">
        <is>
          <t>VÄSTERNORRLANDS LÄN</t>
        </is>
      </c>
      <c r="E1070" t="inlineStr">
        <is>
          <t>SUNDSVALL</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1538-2019</t>
        </is>
      </c>
      <c r="B1071" s="1" t="n">
        <v>43473</v>
      </c>
      <c r="C1071" s="1" t="n">
        <v>45212</v>
      </c>
      <c r="D1071" t="inlineStr">
        <is>
          <t>VÄSTERNORRLANDS LÄN</t>
        </is>
      </c>
      <c r="E1071" t="inlineStr">
        <is>
          <t>ÅNGE</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1946-2019</t>
        </is>
      </c>
      <c r="B1072" s="1" t="n">
        <v>43475</v>
      </c>
      <c r="C1072" s="1" t="n">
        <v>45212</v>
      </c>
      <c r="D1072" t="inlineStr">
        <is>
          <t>VÄSTERNORRLANDS LÄN</t>
        </is>
      </c>
      <c r="E1072" t="inlineStr">
        <is>
          <t>ÖRNSKÖLDSVIK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1958-2019</t>
        </is>
      </c>
      <c r="B1073" s="1" t="n">
        <v>43475</v>
      </c>
      <c r="C1073" s="1" t="n">
        <v>45212</v>
      </c>
      <c r="D1073" t="inlineStr">
        <is>
          <t>VÄSTERNORRLANDS LÄN</t>
        </is>
      </c>
      <c r="E1073" t="inlineStr">
        <is>
          <t>ÖRNSKÖLDSVIK</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4018-2019</t>
        </is>
      </c>
      <c r="B1074" s="1" t="n">
        <v>43475</v>
      </c>
      <c r="C1074" s="1" t="n">
        <v>45212</v>
      </c>
      <c r="D1074" t="inlineStr">
        <is>
          <t>VÄSTERNORRLANDS LÄN</t>
        </is>
      </c>
      <c r="E1074" t="inlineStr">
        <is>
          <t>ÖRNSKÖLDSVIK</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2501-2019</t>
        </is>
      </c>
      <c r="B1075" s="1" t="n">
        <v>43476</v>
      </c>
      <c r="C1075" s="1" t="n">
        <v>45212</v>
      </c>
      <c r="D1075" t="inlineStr">
        <is>
          <t>VÄSTERNORRLANDS LÄN</t>
        </is>
      </c>
      <c r="E1075" t="inlineStr">
        <is>
          <t>ÖRNSKÖLDSVIK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2439-2019</t>
        </is>
      </c>
      <c r="B1076" s="1" t="n">
        <v>43476</v>
      </c>
      <c r="C1076" s="1" t="n">
        <v>45212</v>
      </c>
      <c r="D1076" t="inlineStr">
        <is>
          <t>VÄSTERNORRLANDS LÄN</t>
        </is>
      </c>
      <c r="E1076" t="inlineStr">
        <is>
          <t>ÖRNSKÖLDSVIK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2781-2019</t>
        </is>
      </c>
      <c r="B1077" s="1" t="n">
        <v>43479</v>
      </c>
      <c r="C1077" s="1" t="n">
        <v>45212</v>
      </c>
      <c r="D1077" t="inlineStr">
        <is>
          <t>VÄSTERNORRLANDS LÄN</t>
        </is>
      </c>
      <c r="E1077" t="inlineStr">
        <is>
          <t>ÖRNSKÖLDSVIK</t>
        </is>
      </c>
      <c r="F1077" t="inlineStr">
        <is>
          <t>Holmen skog AB</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4891-2019</t>
        </is>
      </c>
      <c r="B1078" s="1" t="n">
        <v>43479</v>
      </c>
      <c r="C1078" s="1" t="n">
        <v>45212</v>
      </c>
      <c r="D1078" t="inlineStr">
        <is>
          <t>VÄSTERNORRLANDS LÄN</t>
        </is>
      </c>
      <c r="E1078" t="inlineStr">
        <is>
          <t>ÅNGE</t>
        </is>
      </c>
      <c r="F1078" t="inlineStr">
        <is>
          <t>SCA</t>
        </is>
      </c>
      <c r="G1078" t="n">
        <v>7.7</v>
      </c>
      <c r="H1078" t="n">
        <v>0</v>
      </c>
      <c r="I1078" t="n">
        <v>0</v>
      </c>
      <c r="J1078" t="n">
        <v>0</v>
      </c>
      <c r="K1078" t="n">
        <v>0</v>
      </c>
      <c r="L1078" t="n">
        <v>0</v>
      </c>
      <c r="M1078" t="n">
        <v>0</v>
      </c>
      <c r="N1078" t="n">
        <v>0</v>
      </c>
      <c r="O1078" t="n">
        <v>0</v>
      </c>
      <c r="P1078" t="n">
        <v>0</v>
      </c>
      <c r="Q1078" t="n">
        <v>0</v>
      </c>
      <c r="R1078" s="2" t="inlineStr"/>
    </row>
    <row r="1079" ht="15" customHeight="1">
      <c r="A1079" t="inlineStr">
        <is>
          <t>A 5005-2019</t>
        </is>
      </c>
      <c r="B1079" s="1" t="n">
        <v>43479</v>
      </c>
      <c r="C1079" s="1" t="n">
        <v>45212</v>
      </c>
      <c r="D1079" t="inlineStr">
        <is>
          <t>VÄSTERNORRLANDS LÄN</t>
        </is>
      </c>
      <c r="E1079" t="inlineStr">
        <is>
          <t>ÖRNSKÖLDSVIK</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3080-2019</t>
        </is>
      </c>
      <c r="B1080" s="1" t="n">
        <v>43479</v>
      </c>
      <c r="C1080" s="1" t="n">
        <v>45212</v>
      </c>
      <c r="D1080" t="inlineStr">
        <is>
          <t>VÄSTERNORRLANDS LÄN</t>
        </is>
      </c>
      <c r="E1080" t="inlineStr">
        <is>
          <t>ÅNGE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3110-2019</t>
        </is>
      </c>
      <c r="B1081" s="1" t="n">
        <v>43479</v>
      </c>
      <c r="C1081" s="1" t="n">
        <v>45212</v>
      </c>
      <c r="D1081" t="inlineStr">
        <is>
          <t>VÄSTERNORRLANDS LÄN</t>
        </is>
      </c>
      <c r="E1081" t="inlineStr">
        <is>
          <t>SOLLEFTEÅ</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4336-2019</t>
        </is>
      </c>
      <c r="B1082" s="1" t="n">
        <v>43479</v>
      </c>
      <c r="C1082" s="1" t="n">
        <v>45212</v>
      </c>
      <c r="D1082" t="inlineStr">
        <is>
          <t>VÄSTERNORRLANDS LÄN</t>
        </is>
      </c>
      <c r="E1082" t="inlineStr">
        <is>
          <t>SOLLEFTEÅ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4901-2019</t>
        </is>
      </c>
      <c r="B1083" s="1" t="n">
        <v>43479</v>
      </c>
      <c r="C1083" s="1" t="n">
        <v>45212</v>
      </c>
      <c r="D1083" t="inlineStr">
        <is>
          <t>VÄSTERNORRLANDS LÄN</t>
        </is>
      </c>
      <c r="E1083" t="inlineStr">
        <is>
          <t>ÅNGE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4899-2019</t>
        </is>
      </c>
      <c r="B1084" s="1" t="n">
        <v>43479</v>
      </c>
      <c r="C1084" s="1" t="n">
        <v>45212</v>
      </c>
      <c r="D1084" t="inlineStr">
        <is>
          <t>VÄSTERNORRLANDS LÄN</t>
        </is>
      </c>
      <c r="E1084" t="inlineStr">
        <is>
          <t>HÄRNÖSAND</t>
        </is>
      </c>
      <c r="F1084" t="inlineStr">
        <is>
          <t>SCA</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4913-2019</t>
        </is>
      </c>
      <c r="B1085" s="1" t="n">
        <v>43479</v>
      </c>
      <c r="C1085" s="1" t="n">
        <v>45212</v>
      </c>
      <c r="D1085" t="inlineStr">
        <is>
          <t>VÄSTERNORRLANDS LÄN</t>
        </is>
      </c>
      <c r="E1085" t="inlineStr">
        <is>
          <t>ÅNGE</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4953-2019</t>
        </is>
      </c>
      <c r="B1086" s="1" t="n">
        <v>43479</v>
      </c>
      <c r="C1086" s="1" t="n">
        <v>45212</v>
      </c>
      <c r="D1086" t="inlineStr">
        <is>
          <t>VÄSTERNORRLANDS LÄN</t>
        </is>
      </c>
      <c r="E1086" t="inlineStr">
        <is>
          <t>SUNDSVALL</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5065-2019</t>
        </is>
      </c>
      <c r="B1087" s="1" t="n">
        <v>43480</v>
      </c>
      <c r="C1087" s="1" t="n">
        <v>45212</v>
      </c>
      <c r="D1087" t="inlineStr">
        <is>
          <t>VÄSTERNORRLANDS LÄN</t>
        </is>
      </c>
      <c r="E1087" t="inlineStr">
        <is>
          <t>SOLLEFTEÅ</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3157-2019</t>
        </is>
      </c>
      <c r="B1088" s="1" t="n">
        <v>43480</v>
      </c>
      <c r="C1088" s="1" t="n">
        <v>45212</v>
      </c>
      <c r="D1088" t="inlineStr">
        <is>
          <t>VÄSTERNORRLANDS LÄN</t>
        </is>
      </c>
      <c r="E1088" t="inlineStr">
        <is>
          <t>SOLLEFTEÅ</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3145-2019</t>
        </is>
      </c>
      <c r="B1089" s="1" t="n">
        <v>43480</v>
      </c>
      <c r="C1089" s="1" t="n">
        <v>45212</v>
      </c>
      <c r="D1089" t="inlineStr">
        <is>
          <t>VÄSTERNORRLANDS LÄN</t>
        </is>
      </c>
      <c r="E1089" t="inlineStr">
        <is>
          <t>KRAMFORS</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3162-2019</t>
        </is>
      </c>
      <c r="B1090" s="1" t="n">
        <v>43480</v>
      </c>
      <c r="C1090" s="1" t="n">
        <v>45212</v>
      </c>
      <c r="D1090" t="inlineStr">
        <is>
          <t>VÄSTERNORRLANDS LÄN</t>
        </is>
      </c>
      <c r="E1090" t="inlineStr">
        <is>
          <t>SOLLEFTEÅ</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5142-2019</t>
        </is>
      </c>
      <c r="B1091" s="1" t="n">
        <v>43480</v>
      </c>
      <c r="C1091" s="1" t="n">
        <v>45212</v>
      </c>
      <c r="D1091" t="inlineStr">
        <is>
          <t>VÄSTERNORRLANDS LÄN</t>
        </is>
      </c>
      <c r="E1091" t="inlineStr">
        <is>
          <t>ÖRNSKÖLDSVIK</t>
        </is>
      </c>
      <c r="G1091" t="n">
        <v>10.1</v>
      </c>
      <c r="H1091" t="n">
        <v>0</v>
      </c>
      <c r="I1091" t="n">
        <v>0</v>
      </c>
      <c r="J1091" t="n">
        <v>0</v>
      </c>
      <c r="K1091" t="n">
        <v>0</v>
      </c>
      <c r="L1091" t="n">
        <v>0</v>
      </c>
      <c r="M1091" t="n">
        <v>0</v>
      </c>
      <c r="N1091" t="n">
        <v>0</v>
      </c>
      <c r="O1091" t="n">
        <v>0</v>
      </c>
      <c r="P1091" t="n">
        <v>0</v>
      </c>
      <c r="Q1091" t="n">
        <v>0</v>
      </c>
      <c r="R1091" s="2" t="inlineStr"/>
    </row>
    <row r="1092" ht="15" customHeight="1">
      <c r="A1092" t="inlineStr">
        <is>
          <t>A 3777-2019</t>
        </is>
      </c>
      <c r="B1092" s="1" t="n">
        <v>43481</v>
      </c>
      <c r="C1092" s="1" t="n">
        <v>45212</v>
      </c>
      <c r="D1092" t="inlineStr">
        <is>
          <t>VÄSTERNORRLANDS LÄN</t>
        </is>
      </c>
      <c r="E1092" t="inlineStr">
        <is>
          <t>KRAMFORS</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5454-2019</t>
        </is>
      </c>
      <c r="B1093" s="1" t="n">
        <v>43481</v>
      </c>
      <c r="C1093" s="1" t="n">
        <v>45212</v>
      </c>
      <c r="D1093" t="inlineStr">
        <is>
          <t>VÄSTERNORRLANDS LÄN</t>
        </is>
      </c>
      <c r="E1093" t="inlineStr">
        <is>
          <t>KRAMFORS</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5344-2019</t>
        </is>
      </c>
      <c r="B1094" s="1" t="n">
        <v>43481</v>
      </c>
      <c r="C1094" s="1" t="n">
        <v>45212</v>
      </c>
      <c r="D1094" t="inlineStr">
        <is>
          <t>VÄSTERNORRLANDS LÄN</t>
        </is>
      </c>
      <c r="E1094" t="inlineStr">
        <is>
          <t>SUNDSVALL</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5455-2019</t>
        </is>
      </c>
      <c r="B1095" s="1" t="n">
        <v>43481</v>
      </c>
      <c r="C1095" s="1" t="n">
        <v>45212</v>
      </c>
      <c r="D1095" t="inlineStr">
        <is>
          <t>VÄSTERNORRLANDS LÄN</t>
        </is>
      </c>
      <c r="E1095" t="inlineStr">
        <is>
          <t>KRAMFORS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3773-2019</t>
        </is>
      </c>
      <c r="B1096" s="1" t="n">
        <v>43481</v>
      </c>
      <c r="C1096" s="1" t="n">
        <v>45212</v>
      </c>
      <c r="D1096" t="inlineStr">
        <is>
          <t>VÄSTERNORRLANDS LÄN</t>
        </is>
      </c>
      <c r="E1096" t="inlineStr">
        <is>
          <t>KRAMFORS</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3781-2019</t>
        </is>
      </c>
      <c r="B1097" s="1" t="n">
        <v>43481</v>
      </c>
      <c r="C1097" s="1" t="n">
        <v>45212</v>
      </c>
      <c r="D1097" t="inlineStr">
        <is>
          <t>VÄSTERNORRLANDS LÄN</t>
        </is>
      </c>
      <c r="E1097" t="inlineStr">
        <is>
          <t>SOLLEFTEÅ</t>
        </is>
      </c>
      <c r="F1097" t="inlineStr">
        <is>
          <t>SCA</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5451-2019</t>
        </is>
      </c>
      <c r="B1098" s="1" t="n">
        <v>43481</v>
      </c>
      <c r="C1098" s="1" t="n">
        <v>45212</v>
      </c>
      <c r="D1098" t="inlineStr">
        <is>
          <t>VÄSTERNORRLANDS LÄN</t>
        </is>
      </c>
      <c r="E1098" t="inlineStr">
        <is>
          <t>KRAMFORS</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3780-2019</t>
        </is>
      </c>
      <c r="B1099" s="1" t="n">
        <v>43481</v>
      </c>
      <c r="C1099" s="1" t="n">
        <v>45212</v>
      </c>
      <c r="D1099" t="inlineStr">
        <is>
          <t>VÄSTERNORRLANDS LÄN</t>
        </is>
      </c>
      <c r="E1099" t="inlineStr">
        <is>
          <t>SOLLEFTEÅ</t>
        </is>
      </c>
      <c r="F1099" t="inlineStr">
        <is>
          <t>SCA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5193-2019</t>
        </is>
      </c>
      <c r="B1100" s="1" t="n">
        <v>43481</v>
      </c>
      <c r="C1100" s="1" t="n">
        <v>45212</v>
      </c>
      <c r="D1100" t="inlineStr">
        <is>
          <t>VÄSTERNORRLANDS LÄN</t>
        </is>
      </c>
      <c r="E1100" t="inlineStr">
        <is>
          <t>SOLLEFTEÅ</t>
        </is>
      </c>
      <c r="G1100" t="n">
        <v>11.3</v>
      </c>
      <c r="H1100" t="n">
        <v>0</v>
      </c>
      <c r="I1100" t="n">
        <v>0</v>
      </c>
      <c r="J1100" t="n">
        <v>0</v>
      </c>
      <c r="K1100" t="n">
        <v>0</v>
      </c>
      <c r="L1100" t="n">
        <v>0</v>
      </c>
      <c r="M1100" t="n">
        <v>0</v>
      </c>
      <c r="N1100" t="n">
        <v>0</v>
      </c>
      <c r="O1100" t="n">
        <v>0</v>
      </c>
      <c r="P1100" t="n">
        <v>0</v>
      </c>
      <c r="Q1100" t="n">
        <v>0</v>
      </c>
      <c r="R1100" s="2" t="inlineStr"/>
    </row>
    <row r="1101" ht="15" customHeight="1">
      <c r="A1101" t="inlineStr">
        <is>
          <t>A 5356-2019</t>
        </is>
      </c>
      <c r="B1101" s="1" t="n">
        <v>43481</v>
      </c>
      <c r="C1101" s="1" t="n">
        <v>45212</v>
      </c>
      <c r="D1101" t="inlineStr">
        <is>
          <t>VÄSTERNORRLANDS LÄN</t>
        </is>
      </c>
      <c r="E1101" t="inlineStr">
        <is>
          <t>ÖRNSKÖLDSVIK</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5449-2019</t>
        </is>
      </c>
      <c r="B1102" s="1" t="n">
        <v>43481</v>
      </c>
      <c r="C1102" s="1" t="n">
        <v>45212</v>
      </c>
      <c r="D1102" t="inlineStr">
        <is>
          <t>VÄSTERNORRLANDS LÄN</t>
        </is>
      </c>
      <c r="E1102" t="inlineStr">
        <is>
          <t>ÖRNSKÖLDSVIK</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3952-2019</t>
        </is>
      </c>
      <c r="B1103" s="1" t="n">
        <v>43482</v>
      </c>
      <c r="C1103" s="1" t="n">
        <v>45212</v>
      </c>
      <c r="D1103" t="inlineStr">
        <is>
          <t>VÄSTERNORRLANDS LÄN</t>
        </is>
      </c>
      <c r="E1103" t="inlineStr">
        <is>
          <t>SOLLEFTEÅ</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3784-2019</t>
        </is>
      </c>
      <c r="B1104" s="1" t="n">
        <v>43482</v>
      </c>
      <c r="C1104" s="1" t="n">
        <v>45212</v>
      </c>
      <c r="D1104" t="inlineStr">
        <is>
          <t>VÄSTERNORRLANDS LÄN</t>
        </is>
      </c>
      <c r="E1104" t="inlineStr">
        <is>
          <t>HÄRNÖSAND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4068-2019</t>
        </is>
      </c>
      <c r="B1105" s="1" t="n">
        <v>43482</v>
      </c>
      <c r="C1105" s="1" t="n">
        <v>45212</v>
      </c>
      <c r="D1105" t="inlineStr">
        <is>
          <t>VÄSTERNORRLANDS LÄN</t>
        </is>
      </c>
      <c r="E1105" t="inlineStr">
        <is>
          <t>ÅNGE</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5724-2019</t>
        </is>
      </c>
      <c r="B1106" s="1" t="n">
        <v>43482</v>
      </c>
      <c r="C1106" s="1" t="n">
        <v>45212</v>
      </c>
      <c r="D1106" t="inlineStr">
        <is>
          <t>VÄSTERNORRLANDS LÄN</t>
        </is>
      </c>
      <c r="E1106" t="inlineStr">
        <is>
          <t>ÖRNSKÖLDSVIK</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4144-2019</t>
        </is>
      </c>
      <c r="B1107" s="1" t="n">
        <v>43483</v>
      </c>
      <c r="C1107" s="1" t="n">
        <v>45212</v>
      </c>
      <c r="D1107" t="inlineStr">
        <is>
          <t>VÄSTERNORRLANDS LÄN</t>
        </is>
      </c>
      <c r="E1107" t="inlineStr">
        <is>
          <t>ÅNGE</t>
        </is>
      </c>
      <c r="F1107" t="inlineStr">
        <is>
          <t>Holmen skog AB</t>
        </is>
      </c>
      <c r="G1107" t="n">
        <v>18.9</v>
      </c>
      <c r="H1107" t="n">
        <v>0</v>
      </c>
      <c r="I1107" t="n">
        <v>0</v>
      </c>
      <c r="J1107" t="n">
        <v>0</v>
      </c>
      <c r="K1107" t="n">
        <v>0</v>
      </c>
      <c r="L1107" t="n">
        <v>0</v>
      </c>
      <c r="M1107" t="n">
        <v>0</v>
      </c>
      <c r="N1107" t="n">
        <v>0</v>
      </c>
      <c r="O1107" t="n">
        <v>0</v>
      </c>
      <c r="P1107" t="n">
        <v>0</v>
      </c>
      <c r="Q1107" t="n">
        <v>0</v>
      </c>
      <c r="R1107" s="2" t="inlineStr"/>
    </row>
    <row r="1108" ht="15" customHeight="1">
      <c r="A1108" t="inlineStr">
        <is>
          <t>A 5994-2019</t>
        </is>
      </c>
      <c r="B1108" s="1" t="n">
        <v>43483</v>
      </c>
      <c r="C1108" s="1" t="n">
        <v>45212</v>
      </c>
      <c r="D1108" t="inlineStr">
        <is>
          <t>VÄSTERNORRLANDS LÄN</t>
        </is>
      </c>
      <c r="E1108" t="inlineStr">
        <is>
          <t>HÄRNÖSAND</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4165-2019</t>
        </is>
      </c>
      <c r="B1109" s="1" t="n">
        <v>43483</v>
      </c>
      <c r="C1109" s="1" t="n">
        <v>45212</v>
      </c>
      <c r="D1109" t="inlineStr">
        <is>
          <t>VÄSTERNORRLANDS LÄN</t>
        </is>
      </c>
      <c r="E1109" t="inlineStr">
        <is>
          <t>ÖRNSKÖLDSVIK</t>
        </is>
      </c>
      <c r="F1109" t="inlineStr">
        <is>
          <t>Holmen skog AB</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6267-2019</t>
        </is>
      </c>
      <c r="B1110" s="1" t="n">
        <v>43486</v>
      </c>
      <c r="C1110" s="1" t="n">
        <v>45212</v>
      </c>
      <c r="D1110" t="inlineStr">
        <is>
          <t>VÄSTERNORRLANDS LÄN</t>
        </is>
      </c>
      <c r="E1110" t="inlineStr">
        <is>
          <t>ÅNGE</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4831-2019</t>
        </is>
      </c>
      <c r="B1111" s="1" t="n">
        <v>43486</v>
      </c>
      <c r="C1111" s="1" t="n">
        <v>45212</v>
      </c>
      <c r="D1111" t="inlineStr">
        <is>
          <t>VÄSTERNORRLANDS LÄN</t>
        </is>
      </c>
      <c r="E1111" t="inlineStr">
        <is>
          <t>SUNDSVALL</t>
        </is>
      </c>
      <c r="G1111" t="n">
        <v>11.8</v>
      </c>
      <c r="H1111" t="n">
        <v>0</v>
      </c>
      <c r="I1111" t="n">
        <v>0</v>
      </c>
      <c r="J1111" t="n">
        <v>0</v>
      </c>
      <c r="K1111" t="n">
        <v>0</v>
      </c>
      <c r="L1111" t="n">
        <v>0</v>
      </c>
      <c r="M1111" t="n">
        <v>0</v>
      </c>
      <c r="N1111" t="n">
        <v>0</v>
      </c>
      <c r="O1111" t="n">
        <v>0</v>
      </c>
      <c r="P1111" t="n">
        <v>0</v>
      </c>
      <c r="Q1111" t="n">
        <v>0</v>
      </c>
      <c r="R1111" s="2" t="inlineStr"/>
    </row>
    <row r="1112" ht="15" customHeight="1">
      <c r="A1112" t="inlineStr">
        <is>
          <t>A 4749-2019</t>
        </is>
      </c>
      <c r="B1112" s="1" t="n">
        <v>43486</v>
      </c>
      <c r="C1112" s="1" t="n">
        <v>45212</v>
      </c>
      <c r="D1112" t="inlineStr">
        <is>
          <t>VÄSTERNORRLANDS LÄN</t>
        </is>
      </c>
      <c r="E1112" t="inlineStr">
        <is>
          <t>SUNDSVALL</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4920-2019</t>
        </is>
      </c>
      <c r="B1113" s="1" t="n">
        <v>43487</v>
      </c>
      <c r="C1113" s="1" t="n">
        <v>45212</v>
      </c>
      <c r="D1113" t="inlineStr">
        <is>
          <t>VÄSTERNORRLANDS LÄN</t>
        </is>
      </c>
      <c r="E1113" t="inlineStr">
        <is>
          <t>ÖRNSKÖLDSVIK</t>
        </is>
      </c>
      <c r="F1113" t="inlineStr">
        <is>
          <t>Holmen skog AB</t>
        </is>
      </c>
      <c r="G1113" t="n">
        <v>5.5</v>
      </c>
      <c r="H1113" t="n">
        <v>0</v>
      </c>
      <c r="I1113" t="n">
        <v>0</v>
      </c>
      <c r="J1113" t="n">
        <v>0</v>
      </c>
      <c r="K1113" t="n">
        <v>0</v>
      </c>
      <c r="L1113" t="n">
        <v>0</v>
      </c>
      <c r="M1113" t="n">
        <v>0</v>
      </c>
      <c r="N1113" t="n">
        <v>0</v>
      </c>
      <c r="O1113" t="n">
        <v>0</v>
      </c>
      <c r="P1113" t="n">
        <v>0</v>
      </c>
      <c r="Q1113" t="n">
        <v>0</v>
      </c>
      <c r="R1113" s="2" t="inlineStr"/>
    </row>
    <row r="1114" ht="15" customHeight="1">
      <c r="A1114" t="inlineStr">
        <is>
          <t>A 5050-2019</t>
        </is>
      </c>
      <c r="B1114" s="1" t="n">
        <v>43487</v>
      </c>
      <c r="C1114" s="1" t="n">
        <v>45212</v>
      </c>
      <c r="D1114" t="inlineStr">
        <is>
          <t>VÄSTERNORRLANDS LÄN</t>
        </is>
      </c>
      <c r="E1114" t="inlineStr">
        <is>
          <t>SOLLEFTEÅ</t>
        </is>
      </c>
      <c r="F1114" t="inlineStr">
        <is>
          <t>Kyrkan</t>
        </is>
      </c>
      <c r="G1114" t="n">
        <v>17.3</v>
      </c>
      <c r="H1114" t="n">
        <v>0</v>
      </c>
      <c r="I1114" t="n">
        <v>0</v>
      </c>
      <c r="J1114" t="n">
        <v>0</v>
      </c>
      <c r="K1114" t="n">
        <v>0</v>
      </c>
      <c r="L1114" t="n">
        <v>0</v>
      </c>
      <c r="M1114" t="n">
        <v>0</v>
      </c>
      <c r="N1114" t="n">
        <v>0</v>
      </c>
      <c r="O1114" t="n">
        <v>0</v>
      </c>
      <c r="P1114" t="n">
        <v>0</v>
      </c>
      <c r="Q1114" t="n">
        <v>0</v>
      </c>
      <c r="R1114" s="2" t="inlineStr"/>
    </row>
    <row r="1115" ht="15" customHeight="1">
      <c r="A1115" t="inlineStr">
        <is>
          <t>A 5178-2019</t>
        </is>
      </c>
      <c r="B1115" s="1" t="n">
        <v>43488</v>
      </c>
      <c r="C1115" s="1" t="n">
        <v>45212</v>
      </c>
      <c r="D1115" t="inlineStr">
        <is>
          <t>VÄSTERNORRLANDS LÄN</t>
        </is>
      </c>
      <c r="E1115" t="inlineStr">
        <is>
          <t>KRAMFORS</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6623-2019</t>
        </is>
      </c>
      <c r="B1116" s="1" t="n">
        <v>43488</v>
      </c>
      <c r="C1116" s="1" t="n">
        <v>45212</v>
      </c>
      <c r="D1116" t="inlineStr">
        <is>
          <t>VÄSTERNORRLANDS LÄN</t>
        </is>
      </c>
      <c r="E1116" t="inlineStr">
        <is>
          <t>SUNDSVALL</t>
        </is>
      </c>
      <c r="G1116" t="n">
        <v>7.6</v>
      </c>
      <c r="H1116" t="n">
        <v>0</v>
      </c>
      <c r="I1116" t="n">
        <v>0</v>
      </c>
      <c r="J1116" t="n">
        <v>0</v>
      </c>
      <c r="K1116" t="n">
        <v>0</v>
      </c>
      <c r="L1116" t="n">
        <v>0</v>
      </c>
      <c r="M1116" t="n">
        <v>0</v>
      </c>
      <c r="N1116" t="n">
        <v>0</v>
      </c>
      <c r="O1116" t="n">
        <v>0</v>
      </c>
      <c r="P1116" t="n">
        <v>0</v>
      </c>
      <c r="Q1116" t="n">
        <v>0</v>
      </c>
      <c r="R1116" s="2" t="inlineStr"/>
    </row>
    <row r="1117" ht="15" customHeight="1">
      <c r="A1117" t="inlineStr">
        <is>
          <t>A 5417-2019</t>
        </is>
      </c>
      <c r="B1117" s="1" t="n">
        <v>43488</v>
      </c>
      <c r="C1117" s="1" t="n">
        <v>45212</v>
      </c>
      <c r="D1117" t="inlineStr">
        <is>
          <t>VÄSTERNORRLANDS LÄN</t>
        </is>
      </c>
      <c r="E1117" t="inlineStr">
        <is>
          <t>TIMRÅ</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5416-2019</t>
        </is>
      </c>
      <c r="B1118" s="1" t="n">
        <v>43488</v>
      </c>
      <c r="C1118" s="1" t="n">
        <v>45212</v>
      </c>
      <c r="D1118" t="inlineStr">
        <is>
          <t>VÄSTERNORRLANDS LÄN</t>
        </is>
      </c>
      <c r="E1118" t="inlineStr">
        <is>
          <t>TIMRÅ</t>
        </is>
      </c>
      <c r="G1118" t="n">
        <v>14.5</v>
      </c>
      <c r="H1118" t="n">
        <v>0</v>
      </c>
      <c r="I1118" t="n">
        <v>0</v>
      </c>
      <c r="J1118" t="n">
        <v>0</v>
      </c>
      <c r="K1118" t="n">
        <v>0</v>
      </c>
      <c r="L1118" t="n">
        <v>0</v>
      </c>
      <c r="M1118" t="n">
        <v>0</v>
      </c>
      <c r="N1118" t="n">
        <v>0</v>
      </c>
      <c r="O1118" t="n">
        <v>0</v>
      </c>
      <c r="P1118" t="n">
        <v>0</v>
      </c>
      <c r="Q1118" t="n">
        <v>0</v>
      </c>
      <c r="R1118" s="2" t="inlineStr"/>
    </row>
    <row r="1119" ht="15" customHeight="1">
      <c r="A1119" t="inlineStr">
        <is>
          <t>A 5419-2019</t>
        </is>
      </c>
      <c r="B1119" s="1" t="n">
        <v>43488</v>
      </c>
      <c r="C1119" s="1" t="n">
        <v>45212</v>
      </c>
      <c r="D1119" t="inlineStr">
        <is>
          <t>VÄSTERNORRLANDS LÄN</t>
        </is>
      </c>
      <c r="E1119" t="inlineStr">
        <is>
          <t>SUNDSVALL</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7159-2019</t>
        </is>
      </c>
      <c r="B1120" s="1" t="n">
        <v>43489</v>
      </c>
      <c r="C1120" s="1" t="n">
        <v>45212</v>
      </c>
      <c r="D1120" t="inlineStr">
        <is>
          <t>VÄSTERNORRLANDS LÄN</t>
        </is>
      </c>
      <c r="E1120" t="inlineStr">
        <is>
          <t>SOLLEFTEÅ</t>
        </is>
      </c>
      <c r="F1120" t="inlineStr">
        <is>
          <t>SCA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5934-2019</t>
        </is>
      </c>
      <c r="B1121" s="1" t="n">
        <v>43490</v>
      </c>
      <c r="C1121" s="1" t="n">
        <v>45212</v>
      </c>
      <c r="D1121" t="inlineStr">
        <is>
          <t>VÄSTERNORRLANDS LÄN</t>
        </is>
      </c>
      <c r="E1121" t="inlineStr">
        <is>
          <t>SUNDSVALL</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5923-2019</t>
        </is>
      </c>
      <c r="B1122" s="1" t="n">
        <v>43490</v>
      </c>
      <c r="C1122" s="1" t="n">
        <v>45212</v>
      </c>
      <c r="D1122" t="inlineStr">
        <is>
          <t>VÄSTERNORRLANDS LÄN</t>
        </is>
      </c>
      <c r="E1122" t="inlineStr">
        <is>
          <t>SOLLEFTEÅ</t>
        </is>
      </c>
      <c r="G1122" t="n">
        <v>6.8</v>
      </c>
      <c r="H1122" t="n">
        <v>0</v>
      </c>
      <c r="I1122" t="n">
        <v>0</v>
      </c>
      <c r="J1122" t="n">
        <v>0</v>
      </c>
      <c r="K1122" t="n">
        <v>0</v>
      </c>
      <c r="L1122" t="n">
        <v>0</v>
      </c>
      <c r="M1122" t="n">
        <v>0</v>
      </c>
      <c r="N1122" t="n">
        <v>0</v>
      </c>
      <c r="O1122" t="n">
        <v>0</v>
      </c>
      <c r="P1122" t="n">
        <v>0</v>
      </c>
      <c r="Q1122" t="n">
        <v>0</v>
      </c>
      <c r="R1122" s="2" t="inlineStr"/>
    </row>
    <row r="1123" ht="15" customHeight="1">
      <c r="A1123" t="inlineStr">
        <is>
          <t>A 7990-2019</t>
        </is>
      </c>
      <c r="B1123" s="1" t="n">
        <v>43493</v>
      </c>
      <c r="C1123" s="1" t="n">
        <v>45212</v>
      </c>
      <c r="D1123" t="inlineStr">
        <is>
          <t>VÄSTERNORRLANDS LÄN</t>
        </is>
      </c>
      <c r="E1123" t="inlineStr">
        <is>
          <t>ÅNGE</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6309-2019</t>
        </is>
      </c>
      <c r="B1124" s="1" t="n">
        <v>43493</v>
      </c>
      <c r="C1124" s="1" t="n">
        <v>45212</v>
      </c>
      <c r="D1124" t="inlineStr">
        <is>
          <t>VÄSTERNORRLANDS LÄN</t>
        </is>
      </c>
      <c r="E1124" t="inlineStr">
        <is>
          <t>ÖRNSKÖLDSVIK</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7929-2019</t>
        </is>
      </c>
      <c r="B1125" s="1" t="n">
        <v>43493</v>
      </c>
      <c r="C1125" s="1" t="n">
        <v>45212</v>
      </c>
      <c r="D1125" t="inlineStr">
        <is>
          <t>VÄSTERNORRLANDS LÄN</t>
        </is>
      </c>
      <c r="E1125" t="inlineStr">
        <is>
          <t>KRAMFORS</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6075-2019</t>
        </is>
      </c>
      <c r="B1126" s="1" t="n">
        <v>43493</v>
      </c>
      <c r="C1126" s="1" t="n">
        <v>45212</v>
      </c>
      <c r="D1126" t="inlineStr">
        <is>
          <t>VÄSTERNORRLANDS LÄN</t>
        </is>
      </c>
      <c r="E1126" t="inlineStr">
        <is>
          <t>ÅNGE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6321-2019</t>
        </is>
      </c>
      <c r="B1127" s="1" t="n">
        <v>43493</v>
      </c>
      <c r="C1127" s="1" t="n">
        <v>45212</v>
      </c>
      <c r="D1127" t="inlineStr">
        <is>
          <t>VÄSTERNORRLANDS LÄN</t>
        </is>
      </c>
      <c r="E1127" t="inlineStr">
        <is>
          <t>ÖRNSKÖLDSVIK</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7992-2019</t>
        </is>
      </c>
      <c r="B1128" s="1" t="n">
        <v>43493</v>
      </c>
      <c r="C1128" s="1" t="n">
        <v>45212</v>
      </c>
      <c r="D1128" t="inlineStr">
        <is>
          <t>VÄSTERNORRLANDS LÄN</t>
        </is>
      </c>
      <c r="E1128" t="inlineStr">
        <is>
          <t>ÅNGE</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7792-2019</t>
        </is>
      </c>
      <c r="B1129" s="1" t="n">
        <v>43494</v>
      </c>
      <c r="C1129" s="1" t="n">
        <v>45212</v>
      </c>
      <c r="D1129" t="inlineStr">
        <is>
          <t>VÄSTERNORRLANDS LÄN</t>
        </is>
      </c>
      <c r="E1129" t="inlineStr">
        <is>
          <t>SOLLEFTEÅ</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7982-2019</t>
        </is>
      </c>
      <c r="B1130" s="1" t="n">
        <v>43494</v>
      </c>
      <c r="C1130" s="1" t="n">
        <v>45212</v>
      </c>
      <c r="D1130" t="inlineStr">
        <is>
          <t>VÄSTERNORRLANDS LÄN</t>
        </is>
      </c>
      <c r="E1130" t="inlineStr">
        <is>
          <t>KRAMFORS</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6767-2019</t>
        </is>
      </c>
      <c r="B1131" s="1" t="n">
        <v>43494</v>
      </c>
      <c r="C1131" s="1" t="n">
        <v>45212</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6768-2019</t>
        </is>
      </c>
      <c r="B1132" s="1" t="n">
        <v>43494</v>
      </c>
      <c r="C1132" s="1" t="n">
        <v>45212</v>
      </c>
      <c r="D1132" t="inlineStr">
        <is>
          <t>VÄSTERNORRLANDS LÄN</t>
        </is>
      </c>
      <c r="E1132" t="inlineStr">
        <is>
          <t>SUNDSVALL</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7777-2019</t>
        </is>
      </c>
      <c r="B1133" s="1" t="n">
        <v>43494</v>
      </c>
      <c r="C1133" s="1" t="n">
        <v>45212</v>
      </c>
      <c r="D1133" t="inlineStr">
        <is>
          <t>VÄSTERNORRLANDS LÄN</t>
        </is>
      </c>
      <c r="E1133" t="inlineStr">
        <is>
          <t>KRAMFORS</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6766-2019</t>
        </is>
      </c>
      <c r="B1134" s="1" t="n">
        <v>43494</v>
      </c>
      <c r="C1134" s="1" t="n">
        <v>45212</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6931-2019</t>
        </is>
      </c>
      <c r="B1135" s="1" t="n">
        <v>43495</v>
      </c>
      <c r="C1135" s="1" t="n">
        <v>45212</v>
      </c>
      <c r="D1135" t="inlineStr">
        <is>
          <t>VÄSTERNORRLANDS LÄN</t>
        </is>
      </c>
      <c r="E1135" t="inlineStr">
        <is>
          <t>SUNDSVALL</t>
        </is>
      </c>
      <c r="F1135" t="inlineStr">
        <is>
          <t>Kommuner</t>
        </is>
      </c>
      <c r="G1135" t="n">
        <v>3.1</v>
      </c>
      <c r="H1135" t="n">
        <v>0</v>
      </c>
      <c r="I1135" t="n">
        <v>0</v>
      </c>
      <c r="J1135" t="n">
        <v>0</v>
      </c>
      <c r="K1135" t="n">
        <v>0</v>
      </c>
      <c r="L1135" t="n">
        <v>0</v>
      </c>
      <c r="M1135" t="n">
        <v>0</v>
      </c>
      <c r="N1135" t="n">
        <v>0</v>
      </c>
      <c r="O1135" t="n">
        <v>0</v>
      </c>
      <c r="P1135" t="n">
        <v>0</v>
      </c>
      <c r="Q1135" t="n">
        <v>0</v>
      </c>
      <c r="R1135" s="2" t="inlineStr"/>
    </row>
    <row r="1136" ht="15" customHeight="1">
      <c r="A1136" t="inlineStr">
        <is>
          <t>A 7075-2019</t>
        </is>
      </c>
      <c r="B1136" s="1" t="n">
        <v>43496</v>
      </c>
      <c r="C1136" s="1" t="n">
        <v>45212</v>
      </c>
      <c r="D1136" t="inlineStr">
        <is>
          <t>VÄSTERNORRLANDS LÄN</t>
        </is>
      </c>
      <c r="E1136" t="inlineStr">
        <is>
          <t>ÅNGE</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7131-2019</t>
        </is>
      </c>
      <c r="B1137" s="1" t="n">
        <v>43496</v>
      </c>
      <c r="C1137" s="1" t="n">
        <v>45212</v>
      </c>
      <c r="D1137" t="inlineStr">
        <is>
          <t>VÄSTERNORRLANDS LÄN</t>
        </is>
      </c>
      <c r="E1137" t="inlineStr">
        <is>
          <t>ÅNGE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7797-2019</t>
        </is>
      </c>
      <c r="B1138" s="1" t="n">
        <v>43496</v>
      </c>
      <c r="C1138" s="1" t="n">
        <v>45212</v>
      </c>
      <c r="D1138" t="inlineStr">
        <is>
          <t>VÄSTERNORRLANDS LÄN</t>
        </is>
      </c>
      <c r="E1138" t="inlineStr">
        <is>
          <t>ÖRNSKÖLDSVIK</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7125-2019</t>
        </is>
      </c>
      <c r="B1139" s="1" t="n">
        <v>43496</v>
      </c>
      <c r="C1139" s="1" t="n">
        <v>45212</v>
      </c>
      <c r="D1139" t="inlineStr">
        <is>
          <t>VÄSTERNORRLANDS LÄN</t>
        </is>
      </c>
      <c r="E1139" t="inlineStr">
        <is>
          <t>SUNDSVALL</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7148-2019</t>
        </is>
      </c>
      <c r="B1140" s="1" t="n">
        <v>43496</v>
      </c>
      <c r="C1140" s="1" t="n">
        <v>45212</v>
      </c>
      <c r="D1140" t="inlineStr">
        <is>
          <t>VÄSTERNORRLANDS LÄN</t>
        </is>
      </c>
      <c r="E1140" t="inlineStr">
        <is>
          <t>ÅNGE</t>
        </is>
      </c>
      <c r="G1140" t="n">
        <v>12.8</v>
      </c>
      <c r="H1140" t="n">
        <v>0</v>
      </c>
      <c r="I1140" t="n">
        <v>0</v>
      </c>
      <c r="J1140" t="n">
        <v>0</v>
      </c>
      <c r="K1140" t="n">
        <v>0</v>
      </c>
      <c r="L1140" t="n">
        <v>0</v>
      </c>
      <c r="M1140" t="n">
        <v>0</v>
      </c>
      <c r="N1140" t="n">
        <v>0</v>
      </c>
      <c r="O1140" t="n">
        <v>0</v>
      </c>
      <c r="P1140" t="n">
        <v>0</v>
      </c>
      <c r="Q1140" t="n">
        <v>0</v>
      </c>
      <c r="R1140" s="2" t="inlineStr"/>
    </row>
    <row r="1141" ht="15" customHeight="1">
      <c r="A1141" t="inlineStr">
        <is>
          <t>A 7079-2019</t>
        </is>
      </c>
      <c r="B1141" s="1" t="n">
        <v>43496</v>
      </c>
      <c r="C1141" s="1" t="n">
        <v>45212</v>
      </c>
      <c r="D1141" t="inlineStr">
        <is>
          <t>VÄSTERNORRLANDS LÄN</t>
        </is>
      </c>
      <c r="E1141" t="inlineStr">
        <is>
          <t>ÅNGE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8178-2019</t>
        </is>
      </c>
      <c r="B1142" s="1" t="n">
        <v>43496</v>
      </c>
      <c r="C1142" s="1" t="n">
        <v>45212</v>
      </c>
      <c r="D1142" t="inlineStr">
        <is>
          <t>VÄSTERNORRLANDS LÄN</t>
        </is>
      </c>
      <c r="E1142" t="inlineStr">
        <is>
          <t>ÖRNSKÖLDSVIK</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8416-2019</t>
        </is>
      </c>
      <c r="B1143" s="1" t="n">
        <v>43497</v>
      </c>
      <c r="C1143" s="1" t="n">
        <v>45212</v>
      </c>
      <c r="D1143" t="inlineStr">
        <is>
          <t>VÄSTERNORRLANDS LÄN</t>
        </is>
      </c>
      <c r="E1143" t="inlineStr">
        <is>
          <t>ÖRNSKÖLDSVIK</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8448-2019</t>
        </is>
      </c>
      <c r="B1144" s="1" t="n">
        <v>43497</v>
      </c>
      <c r="C1144" s="1" t="n">
        <v>45212</v>
      </c>
      <c r="D1144" t="inlineStr">
        <is>
          <t>VÄSTERNORRLANDS LÄN</t>
        </is>
      </c>
      <c r="E1144" t="inlineStr">
        <is>
          <t>SUNDSVALL</t>
        </is>
      </c>
      <c r="G1144" t="n">
        <v>8.4</v>
      </c>
      <c r="H1144" t="n">
        <v>0</v>
      </c>
      <c r="I1144" t="n">
        <v>0</v>
      </c>
      <c r="J1144" t="n">
        <v>0</v>
      </c>
      <c r="K1144" t="n">
        <v>0</v>
      </c>
      <c r="L1144" t="n">
        <v>0</v>
      </c>
      <c r="M1144" t="n">
        <v>0</v>
      </c>
      <c r="N1144" t="n">
        <v>0</v>
      </c>
      <c r="O1144" t="n">
        <v>0</v>
      </c>
      <c r="P1144" t="n">
        <v>0</v>
      </c>
      <c r="Q1144" t="n">
        <v>0</v>
      </c>
      <c r="R1144" s="2" t="inlineStr"/>
    </row>
    <row r="1145" ht="15" customHeight="1">
      <c r="A1145" t="inlineStr">
        <is>
          <t>A 7588-2019</t>
        </is>
      </c>
      <c r="B1145" s="1" t="n">
        <v>43498</v>
      </c>
      <c r="C1145" s="1" t="n">
        <v>45212</v>
      </c>
      <c r="D1145" t="inlineStr">
        <is>
          <t>VÄSTERNORRLANDS LÄN</t>
        </is>
      </c>
      <c r="E1145" t="inlineStr">
        <is>
          <t>ÖRNSKÖLDSVIK</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8562-2019</t>
        </is>
      </c>
      <c r="B1146" s="1" t="n">
        <v>43500</v>
      </c>
      <c r="C1146" s="1" t="n">
        <v>45212</v>
      </c>
      <c r="D1146" t="inlineStr">
        <is>
          <t>VÄSTERNORRLANDS LÄN</t>
        </is>
      </c>
      <c r="E1146" t="inlineStr">
        <is>
          <t>KRAMFORS</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7878-2019</t>
        </is>
      </c>
      <c r="B1147" s="1" t="n">
        <v>43500</v>
      </c>
      <c r="C1147" s="1" t="n">
        <v>45212</v>
      </c>
      <c r="D1147" t="inlineStr">
        <is>
          <t>VÄSTERNORRLANDS LÄN</t>
        </is>
      </c>
      <c r="E1147" t="inlineStr">
        <is>
          <t>SOLLEFTEÅ</t>
        </is>
      </c>
      <c r="G1147" t="n">
        <v>4</v>
      </c>
      <c r="H1147" t="n">
        <v>0</v>
      </c>
      <c r="I1147" t="n">
        <v>0</v>
      </c>
      <c r="J1147" t="n">
        <v>0</v>
      </c>
      <c r="K1147" t="n">
        <v>0</v>
      </c>
      <c r="L1147" t="n">
        <v>0</v>
      </c>
      <c r="M1147" t="n">
        <v>0</v>
      </c>
      <c r="N1147" t="n">
        <v>0</v>
      </c>
      <c r="O1147" t="n">
        <v>0</v>
      </c>
      <c r="P1147" t="n">
        <v>0</v>
      </c>
      <c r="Q1147" t="n">
        <v>0</v>
      </c>
      <c r="R1147" s="2" t="inlineStr"/>
    </row>
    <row r="1148" ht="15" customHeight="1">
      <c r="A1148" t="inlineStr">
        <is>
          <t>A 8278-2019</t>
        </is>
      </c>
      <c r="B1148" s="1" t="n">
        <v>43501</v>
      </c>
      <c r="C1148" s="1" t="n">
        <v>45212</v>
      </c>
      <c r="D1148" t="inlineStr">
        <is>
          <t>VÄSTERNORRLANDS LÄN</t>
        </is>
      </c>
      <c r="E1148" t="inlineStr">
        <is>
          <t>ÅNGE</t>
        </is>
      </c>
      <c r="F1148" t="inlineStr">
        <is>
          <t>SCA</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8020-2019</t>
        </is>
      </c>
      <c r="B1149" s="1" t="n">
        <v>43501</v>
      </c>
      <c r="C1149" s="1" t="n">
        <v>45212</v>
      </c>
      <c r="D1149" t="inlineStr">
        <is>
          <t>VÄSTERNORRLANDS LÄN</t>
        </is>
      </c>
      <c r="E1149" t="inlineStr">
        <is>
          <t>SOLLEFTEÅ</t>
        </is>
      </c>
      <c r="G1149" t="n">
        <v>9</v>
      </c>
      <c r="H1149" t="n">
        <v>0</v>
      </c>
      <c r="I1149" t="n">
        <v>0</v>
      </c>
      <c r="J1149" t="n">
        <v>0</v>
      </c>
      <c r="K1149" t="n">
        <v>0</v>
      </c>
      <c r="L1149" t="n">
        <v>0</v>
      </c>
      <c r="M1149" t="n">
        <v>0</v>
      </c>
      <c r="N1149" t="n">
        <v>0</v>
      </c>
      <c r="O1149" t="n">
        <v>0</v>
      </c>
      <c r="P1149" t="n">
        <v>0</v>
      </c>
      <c r="Q1149" t="n">
        <v>0</v>
      </c>
      <c r="R1149" s="2" t="inlineStr"/>
    </row>
    <row r="1150" ht="15" customHeight="1">
      <c r="A1150" t="inlineStr">
        <is>
          <t>A 8743-2019</t>
        </is>
      </c>
      <c r="B1150" s="1" t="n">
        <v>43501</v>
      </c>
      <c r="C1150" s="1" t="n">
        <v>45212</v>
      </c>
      <c r="D1150" t="inlineStr">
        <is>
          <t>VÄSTERNORRLANDS LÄN</t>
        </is>
      </c>
      <c r="E1150" t="inlineStr">
        <is>
          <t>ÖRNSKÖLDSVIK</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7970-2019</t>
        </is>
      </c>
      <c r="B1151" s="1" t="n">
        <v>43501</v>
      </c>
      <c r="C1151" s="1" t="n">
        <v>45212</v>
      </c>
      <c r="D1151" t="inlineStr">
        <is>
          <t>VÄSTERNORRLANDS LÄN</t>
        </is>
      </c>
      <c r="E1151" t="inlineStr">
        <is>
          <t>SOLLEFTEÅ</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8276-2019</t>
        </is>
      </c>
      <c r="B1152" s="1" t="n">
        <v>43501</v>
      </c>
      <c r="C1152" s="1" t="n">
        <v>45212</v>
      </c>
      <c r="D1152" t="inlineStr">
        <is>
          <t>VÄSTERNORRLANDS LÄN</t>
        </is>
      </c>
      <c r="E1152" t="inlineStr">
        <is>
          <t>ÅNGE</t>
        </is>
      </c>
      <c r="F1152" t="inlineStr">
        <is>
          <t>SCA</t>
        </is>
      </c>
      <c r="G1152" t="n">
        <v>16.6</v>
      </c>
      <c r="H1152" t="n">
        <v>0</v>
      </c>
      <c r="I1152" t="n">
        <v>0</v>
      </c>
      <c r="J1152" t="n">
        <v>0</v>
      </c>
      <c r="K1152" t="n">
        <v>0</v>
      </c>
      <c r="L1152" t="n">
        <v>0</v>
      </c>
      <c r="M1152" t="n">
        <v>0</v>
      </c>
      <c r="N1152" t="n">
        <v>0</v>
      </c>
      <c r="O1152" t="n">
        <v>0</v>
      </c>
      <c r="P1152" t="n">
        <v>0</v>
      </c>
      <c r="Q1152" t="n">
        <v>0</v>
      </c>
      <c r="R1152" s="2" t="inlineStr"/>
    </row>
    <row r="1153" ht="15" customHeight="1">
      <c r="A1153" t="inlineStr">
        <is>
          <t>A 8741-2019</t>
        </is>
      </c>
      <c r="B1153" s="1" t="n">
        <v>43501</v>
      </c>
      <c r="C1153" s="1" t="n">
        <v>45212</v>
      </c>
      <c r="D1153" t="inlineStr">
        <is>
          <t>VÄSTERNORRLANDS LÄN</t>
        </is>
      </c>
      <c r="E1153" t="inlineStr">
        <is>
          <t>ÖRNSKÖLDSVIK</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8899-2019</t>
        </is>
      </c>
      <c r="B1154" s="1" t="n">
        <v>43503</v>
      </c>
      <c r="C1154" s="1" t="n">
        <v>45212</v>
      </c>
      <c r="D1154" t="inlineStr">
        <is>
          <t>VÄSTERNORRLANDS LÄN</t>
        </is>
      </c>
      <c r="E1154" t="inlineStr">
        <is>
          <t>ÖRNSKÖLDSVIK</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8876-2019</t>
        </is>
      </c>
      <c r="B1155" s="1" t="n">
        <v>43503</v>
      </c>
      <c r="C1155" s="1" t="n">
        <v>45212</v>
      </c>
      <c r="D1155" t="inlineStr">
        <is>
          <t>VÄSTERNORRLANDS LÄN</t>
        </is>
      </c>
      <c r="E1155" t="inlineStr">
        <is>
          <t>SUNDSVALL</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8913-2019</t>
        </is>
      </c>
      <c r="B1156" s="1" t="n">
        <v>43503</v>
      </c>
      <c r="C1156" s="1" t="n">
        <v>45212</v>
      </c>
      <c r="D1156" t="inlineStr">
        <is>
          <t>VÄSTERNORRLANDS LÄN</t>
        </is>
      </c>
      <c r="E1156" t="inlineStr">
        <is>
          <t>ÖRNSKÖLDSVIK</t>
        </is>
      </c>
      <c r="G1156" t="n">
        <v>10.1</v>
      </c>
      <c r="H1156" t="n">
        <v>0</v>
      </c>
      <c r="I1156" t="n">
        <v>0</v>
      </c>
      <c r="J1156" t="n">
        <v>0</v>
      </c>
      <c r="K1156" t="n">
        <v>0</v>
      </c>
      <c r="L1156" t="n">
        <v>0</v>
      </c>
      <c r="M1156" t="n">
        <v>0</v>
      </c>
      <c r="N1156" t="n">
        <v>0</v>
      </c>
      <c r="O1156" t="n">
        <v>0</v>
      </c>
      <c r="P1156" t="n">
        <v>0</v>
      </c>
      <c r="Q1156" t="n">
        <v>0</v>
      </c>
      <c r="R1156" s="2" t="inlineStr"/>
    </row>
    <row r="1157" ht="15" customHeight="1">
      <c r="A1157" t="inlineStr">
        <is>
          <t>A 8933-2019</t>
        </is>
      </c>
      <c r="B1157" s="1" t="n">
        <v>43503</v>
      </c>
      <c r="C1157" s="1" t="n">
        <v>45212</v>
      </c>
      <c r="D1157" t="inlineStr">
        <is>
          <t>VÄSTERNORRLANDS LÄN</t>
        </is>
      </c>
      <c r="E1157" t="inlineStr">
        <is>
          <t>ÖRNSKÖLDSVIK</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8870-2019</t>
        </is>
      </c>
      <c r="B1158" s="1" t="n">
        <v>43503</v>
      </c>
      <c r="C1158" s="1" t="n">
        <v>45212</v>
      </c>
      <c r="D1158" t="inlineStr">
        <is>
          <t>VÄSTERNORRLANDS LÄN</t>
        </is>
      </c>
      <c r="E1158" t="inlineStr">
        <is>
          <t>SUNDSVALL</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8935-2019</t>
        </is>
      </c>
      <c r="B1159" s="1" t="n">
        <v>43503</v>
      </c>
      <c r="C1159" s="1" t="n">
        <v>45212</v>
      </c>
      <c r="D1159" t="inlineStr">
        <is>
          <t>VÄSTERNORRLANDS LÄN</t>
        </is>
      </c>
      <c r="E1159" t="inlineStr">
        <is>
          <t>ÖRNSKÖLDSVIK</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8978-2019</t>
        </is>
      </c>
      <c r="B1160" s="1" t="n">
        <v>43504</v>
      </c>
      <c r="C1160" s="1" t="n">
        <v>45212</v>
      </c>
      <c r="D1160" t="inlineStr">
        <is>
          <t>VÄSTERNORRLANDS LÄN</t>
        </is>
      </c>
      <c r="E1160" t="inlineStr">
        <is>
          <t>ÖRNSKÖLDSVIK</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9051-2019</t>
        </is>
      </c>
      <c r="B1161" s="1" t="n">
        <v>43504</v>
      </c>
      <c r="C1161" s="1" t="n">
        <v>45212</v>
      </c>
      <c r="D1161" t="inlineStr">
        <is>
          <t>VÄSTERNORRLANDS LÄN</t>
        </is>
      </c>
      <c r="E1161" t="inlineStr">
        <is>
          <t>SOLLEFTEÅ</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9367-2019</t>
        </is>
      </c>
      <c r="B1162" s="1" t="n">
        <v>43507</v>
      </c>
      <c r="C1162" s="1" t="n">
        <v>45212</v>
      </c>
      <c r="D1162" t="inlineStr">
        <is>
          <t>VÄSTERNORRLANDS LÄN</t>
        </is>
      </c>
      <c r="E1162" t="inlineStr">
        <is>
          <t>SOLLEFTEÅ</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9521-2019</t>
        </is>
      </c>
      <c r="B1163" s="1" t="n">
        <v>43507</v>
      </c>
      <c r="C1163" s="1" t="n">
        <v>45212</v>
      </c>
      <c r="D1163" t="inlineStr">
        <is>
          <t>VÄSTERNORRLANDS LÄN</t>
        </is>
      </c>
      <c r="E1163" t="inlineStr">
        <is>
          <t>SOLLEFTEÅ</t>
        </is>
      </c>
      <c r="G1163" t="n">
        <v>8.800000000000001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9519-2019</t>
        </is>
      </c>
      <c r="B1164" s="1" t="n">
        <v>43507</v>
      </c>
      <c r="C1164" s="1" t="n">
        <v>45212</v>
      </c>
      <c r="D1164" t="inlineStr">
        <is>
          <t>VÄSTERNORRLANDS LÄN</t>
        </is>
      </c>
      <c r="E1164" t="inlineStr">
        <is>
          <t>SOLLEFTEÅ</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9528-2019</t>
        </is>
      </c>
      <c r="B1165" s="1" t="n">
        <v>43507</v>
      </c>
      <c r="C1165" s="1" t="n">
        <v>45212</v>
      </c>
      <c r="D1165" t="inlineStr">
        <is>
          <t>VÄSTERNORRLANDS LÄN</t>
        </is>
      </c>
      <c r="E1165" t="inlineStr">
        <is>
          <t>SUNDSVALL</t>
        </is>
      </c>
      <c r="F1165" t="inlineStr">
        <is>
          <t>SCA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9517-2019</t>
        </is>
      </c>
      <c r="B1166" s="1" t="n">
        <v>43507</v>
      </c>
      <c r="C1166" s="1" t="n">
        <v>45212</v>
      </c>
      <c r="D1166" t="inlineStr">
        <is>
          <t>VÄSTERNORRLANDS LÄN</t>
        </is>
      </c>
      <c r="E1166" t="inlineStr">
        <is>
          <t>SUNDSVALL</t>
        </is>
      </c>
      <c r="F1166" t="inlineStr">
        <is>
          <t>SCA</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9610-2019</t>
        </is>
      </c>
      <c r="B1167" s="1" t="n">
        <v>43508</v>
      </c>
      <c r="C1167" s="1" t="n">
        <v>45212</v>
      </c>
      <c r="D1167" t="inlineStr">
        <is>
          <t>VÄSTERNORRLANDS LÄN</t>
        </is>
      </c>
      <c r="E1167" t="inlineStr">
        <is>
          <t>SOLLEFTEÅ</t>
        </is>
      </c>
      <c r="G1167" t="n">
        <v>7.7</v>
      </c>
      <c r="H1167" t="n">
        <v>0</v>
      </c>
      <c r="I1167" t="n">
        <v>0</v>
      </c>
      <c r="J1167" t="n">
        <v>0</v>
      </c>
      <c r="K1167" t="n">
        <v>0</v>
      </c>
      <c r="L1167" t="n">
        <v>0</v>
      </c>
      <c r="M1167" t="n">
        <v>0</v>
      </c>
      <c r="N1167" t="n">
        <v>0</v>
      </c>
      <c r="O1167" t="n">
        <v>0</v>
      </c>
      <c r="P1167" t="n">
        <v>0</v>
      </c>
      <c r="Q1167" t="n">
        <v>0</v>
      </c>
      <c r="R1167" s="2" t="inlineStr"/>
    </row>
    <row r="1168" ht="15" customHeight="1">
      <c r="A1168" t="inlineStr">
        <is>
          <t>A 9530-2019</t>
        </is>
      </c>
      <c r="B1168" s="1" t="n">
        <v>43508</v>
      </c>
      <c r="C1168" s="1" t="n">
        <v>45212</v>
      </c>
      <c r="D1168" t="inlineStr">
        <is>
          <t>VÄSTERNORRLANDS LÄN</t>
        </is>
      </c>
      <c r="E1168" t="inlineStr">
        <is>
          <t>ÖRNSKÖLDSVIK</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9727-2019</t>
        </is>
      </c>
      <c r="B1169" s="1" t="n">
        <v>43508</v>
      </c>
      <c r="C1169" s="1" t="n">
        <v>45212</v>
      </c>
      <c r="D1169" t="inlineStr">
        <is>
          <t>VÄSTERNORRLANDS LÄN</t>
        </is>
      </c>
      <c r="E1169" t="inlineStr">
        <is>
          <t>SOLLEFTEÅ</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9754-2019</t>
        </is>
      </c>
      <c r="B1170" s="1" t="n">
        <v>43509</v>
      </c>
      <c r="C1170" s="1" t="n">
        <v>45212</v>
      </c>
      <c r="D1170" t="inlineStr">
        <is>
          <t>VÄSTERNORRLANDS LÄN</t>
        </is>
      </c>
      <c r="E1170" t="inlineStr">
        <is>
          <t>ÖRNSKÖLDSVIK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10193-2019</t>
        </is>
      </c>
      <c r="B1171" s="1" t="n">
        <v>43510</v>
      </c>
      <c r="C1171" s="1" t="n">
        <v>45212</v>
      </c>
      <c r="D1171" t="inlineStr">
        <is>
          <t>VÄSTERNORRLANDS LÄN</t>
        </is>
      </c>
      <c r="E1171" t="inlineStr">
        <is>
          <t>ÖRNSKÖLDSVIK</t>
        </is>
      </c>
      <c r="G1171" t="n">
        <v>4.8</v>
      </c>
      <c r="H1171" t="n">
        <v>0</v>
      </c>
      <c r="I1171" t="n">
        <v>0</v>
      </c>
      <c r="J1171" t="n">
        <v>0</v>
      </c>
      <c r="K1171" t="n">
        <v>0</v>
      </c>
      <c r="L1171" t="n">
        <v>0</v>
      </c>
      <c r="M1171" t="n">
        <v>0</v>
      </c>
      <c r="N1171" t="n">
        <v>0</v>
      </c>
      <c r="O1171" t="n">
        <v>0</v>
      </c>
      <c r="P1171" t="n">
        <v>0</v>
      </c>
      <c r="Q1171" t="n">
        <v>0</v>
      </c>
      <c r="R1171" s="2" t="inlineStr"/>
    </row>
    <row r="1172" ht="15" customHeight="1">
      <c r="A1172" t="inlineStr">
        <is>
          <t>A 10239-2019</t>
        </is>
      </c>
      <c r="B1172" s="1" t="n">
        <v>43510</v>
      </c>
      <c r="C1172" s="1" t="n">
        <v>45212</v>
      </c>
      <c r="D1172" t="inlineStr">
        <is>
          <t>VÄSTERNORRLANDS LÄN</t>
        </is>
      </c>
      <c r="E1172" t="inlineStr">
        <is>
          <t>ÖRNSKÖLDSVIK</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10197-2019</t>
        </is>
      </c>
      <c r="B1173" s="1" t="n">
        <v>43510</v>
      </c>
      <c r="C1173" s="1" t="n">
        <v>45212</v>
      </c>
      <c r="D1173" t="inlineStr">
        <is>
          <t>VÄSTERNORRLANDS LÄN</t>
        </is>
      </c>
      <c r="E1173" t="inlineStr">
        <is>
          <t>ÖRNSKÖLDSVIK</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10206-2019</t>
        </is>
      </c>
      <c r="B1174" s="1" t="n">
        <v>43510</v>
      </c>
      <c r="C1174" s="1" t="n">
        <v>45212</v>
      </c>
      <c r="D1174" t="inlineStr">
        <is>
          <t>VÄSTERNORRLANDS LÄN</t>
        </is>
      </c>
      <c r="E1174" t="inlineStr">
        <is>
          <t>ÖRNSKÖLDSVIK</t>
        </is>
      </c>
      <c r="G1174" t="n">
        <v>118.6</v>
      </c>
      <c r="H1174" t="n">
        <v>0</v>
      </c>
      <c r="I1174" t="n">
        <v>0</v>
      </c>
      <c r="J1174" t="n">
        <v>0</v>
      </c>
      <c r="K1174" t="n">
        <v>0</v>
      </c>
      <c r="L1174" t="n">
        <v>0</v>
      </c>
      <c r="M1174" t="n">
        <v>0</v>
      </c>
      <c r="N1174" t="n">
        <v>0</v>
      </c>
      <c r="O1174" t="n">
        <v>0</v>
      </c>
      <c r="P1174" t="n">
        <v>0</v>
      </c>
      <c r="Q1174" t="n">
        <v>0</v>
      </c>
      <c r="R1174" s="2" t="inlineStr"/>
    </row>
    <row r="1175" ht="15" customHeight="1">
      <c r="A1175" t="inlineStr">
        <is>
          <t>A 10066-2019</t>
        </is>
      </c>
      <c r="B1175" s="1" t="n">
        <v>43510</v>
      </c>
      <c r="C1175" s="1" t="n">
        <v>45212</v>
      </c>
      <c r="D1175" t="inlineStr">
        <is>
          <t>VÄSTERNORRLANDS LÄN</t>
        </is>
      </c>
      <c r="E1175" t="inlineStr">
        <is>
          <t>ÖRNSKÖLDSVIK</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10194-2019</t>
        </is>
      </c>
      <c r="B1176" s="1" t="n">
        <v>43510</v>
      </c>
      <c r="C1176" s="1" t="n">
        <v>45212</v>
      </c>
      <c r="D1176" t="inlineStr">
        <is>
          <t>VÄSTERNORRLANDS LÄN</t>
        </is>
      </c>
      <c r="E1176" t="inlineStr">
        <is>
          <t>ÖRNSKÖLDSVIK</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10249-2019</t>
        </is>
      </c>
      <c r="B1177" s="1" t="n">
        <v>43510</v>
      </c>
      <c r="C1177" s="1" t="n">
        <v>45212</v>
      </c>
      <c r="D1177" t="inlineStr">
        <is>
          <t>VÄSTERNORRLANDS LÄN</t>
        </is>
      </c>
      <c r="E1177" t="inlineStr">
        <is>
          <t>SUNDSVALL</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10400-2019</t>
        </is>
      </c>
      <c r="B1178" s="1" t="n">
        <v>43511</v>
      </c>
      <c r="C1178" s="1" t="n">
        <v>45212</v>
      </c>
      <c r="D1178" t="inlineStr">
        <is>
          <t>VÄSTERNORRLANDS LÄN</t>
        </is>
      </c>
      <c r="E1178" t="inlineStr">
        <is>
          <t>SUNDSVALL</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10647-2019</t>
        </is>
      </c>
      <c r="B1179" s="1" t="n">
        <v>43514</v>
      </c>
      <c r="C1179" s="1" t="n">
        <v>45212</v>
      </c>
      <c r="D1179" t="inlineStr">
        <is>
          <t>VÄSTERNORRLANDS LÄN</t>
        </is>
      </c>
      <c r="E1179" t="inlineStr">
        <is>
          <t>HÄRNÖSAND</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10753-2019</t>
        </is>
      </c>
      <c r="B1180" s="1" t="n">
        <v>43514</v>
      </c>
      <c r="C1180" s="1" t="n">
        <v>45212</v>
      </c>
      <c r="D1180" t="inlineStr">
        <is>
          <t>VÄSTERNORRLANDS LÄN</t>
        </is>
      </c>
      <c r="E1180" t="inlineStr">
        <is>
          <t>KRAMFORS</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11078-2019</t>
        </is>
      </c>
      <c r="B1181" s="1" t="n">
        <v>43515</v>
      </c>
      <c r="C1181" s="1" t="n">
        <v>45212</v>
      </c>
      <c r="D1181" t="inlineStr">
        <is>
          <t>VÄSTERNORRLANDS LÄN</t>
        </is>
      </c>
      <c r="E1181" t="inlineStr">
        <is>
          <t>SUNDSVALL</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10907-2019</t>
        </is>
      </c>
      <c r="B1182" s="1" t="n">
        <v>43515</v>
      </c>
      <c r="C1182" s="1" t="n">
        <v>45212</v>
      </c>
      <c r="D1182" t="inlineStr">
        <is>
          <t>VÄSTERNORRLANDS LÄN</t>
        </is>
      </c>
      <c r="E1182" t="inlineStr">
        <is>
          <t>KRAMFORS</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11194-2019</t>
        </is>
      </c>
      <c r="B1183" s="1" t="n">
        <v>43516</v>
      </c>
      <c r="C1183" s="1" t="n">
        <v>45212</v>
      </c>
      <c r="D1183" t="inlineStr">
        <is>
          <t>VÄSTERNORRLANDS LÄN</t>
        </is>
      </c>
      <c r="E1183" t="inlineStr">
        <is>
          <t>SUNDSVALL</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11196-2019</t>
        </is>
      </c>
      <c r="B1184" s="1" t="n">
        <v>43516</v>
      </c>
      <c r="C1184" s="1" t="n">
        <v>45212</v>
      </c>
      <c r="D1184" t="inlineStr">
        <is>
          <t>VÄSTERNORRLANDS LÄN</t>
        </is>
      </c>
      <c r="E1184" t="inlineStr">
        <is>
          <t>SUNDSVALL</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11282-2019</t>
        </is>
      </c>
      <c r="B1185" s="1" t="n">
        <v>43516</v>
      </c>
      <c r="C1185" s="1" t="n">
        <v>45212</v>
      </c>
      <c r="D1185" t="inlineStr">
        <is>
          <t>VÄSTERNORRLANDS LÄN</t>
        </is>
      </c>
      <c r="E1185" t="inlineStr">
        <is>
          <t>SUNDSVALL</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11301-2019</t>
        </is>
      </c>
      <c r="B1186" s="1" t="n">
        <v>43516</v>
      </c>
      <c r="C1186" s="1" t="n">
        <v>45212</v>
      </c>
      <c r="D1186" t="inlineStr">
        <is>
          <t>VÄSTERNORRLANDS LÄN</t>
        </is>
      </c>
      <c r="E1186" t="inlineStr">
        <is>
          <t>KRAMFORS</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11131-2019</t>
        </is>
      </c>
      <c r="B1187" s="1" t="n">
        <v>43516</v>
      </c>
      <c r="C1187" s="1" t="n">
        <v>45212</v>
      </c>
      <c r="D1187" t="inlineStr">
        <is>
          <t>VÄSTERNORRLANDS LÄN</t>
        </is>
      </c>
      <c r="E1187" t="inlineStr">
        <is>
          <t>SUNDSVALL</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11178-2019</t>
        </is>
      </c>
      <c r="B1188" s="1" t="n">
        <v>43516</v>
      </c>
      <c r="C1188" s="1" t="n">
        <v>45212</v>
      </c>
      <c r="D1188" t="inlineStr">
        <is>
          <t>VÄSTERNORRLANDS LÄN</t>
        </is>
      </c>
      <c r="E1188" t="inlineStr">
        <is>
          <t>SUNDSVALL</t>
        </is>
      </c>
      <c r="G1188" t="n">
        <v>5.3</v>
      </c>
      <c r="H1188" t="n">
        <v>0</v>
      </c>
      <c r="I1188" t="n">
        <v>0</v>
      </c>
      <c r="J1188" t="n">
        <v>0</v>
      </c>
      <c r="K1188" t="n">
        <v>0</v>
      </c>
      <c r="L1188" t="n">
        <v>0</v>
      </c>
      <c r="M1188" t="n">
        <v>0</v>
      </c>
      <c r="N1188" t="n">
        <v>0</v>
      </c>
      <c r="O1188" t="n">
        <v>0</v>
      </c>
      <c r="P1188" t="n">
        <v>0</v>
      </c>
      <c r="Q1188" t="n">
        <v>0</v>
      </c>
      <c r="R1188" s="2" t="inlineStr"/>
    </row>
    <row r="1189" ht="15" customHeight="1">
      <c r="A1189" t="inlineStr">
        <is>
          <t>A 11285-2019</t>
        </is>
      </c>
      <c r="B1189" s="1" t="n">
        <v>43516</v>
      </c>
      <c r="C1189" s="1" t="n">
        <v>45212</v>
      </c>
      <c r="D1189" t="inlineStr">
        <is>
          <t>VÄSTERNORRLANDS LÄN</t>
        </is>
      </c>
      <c r="E1189" t="inlineStr">
        <is>
          <t>SOLLEFTEÅ</t>
        </is>
      </c>
      <c r="F1189" t="inlineStr">
        <is>
          <t>SCA</t>
        </is>
      </c>
      <c r="G1189" t="n">
        <v>9.300000000000001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11177-2019</t>
        </is>
      </c>
      <c r="B1190" s="1" t="n">
        <v>43516</v>
      </c>
      <c r="C1190" s="1" t="n">
        <v>45212</v>
      </c>
      <c r="D1190" t="inlineStr">
        <is>
          <t>VÄSTERNORRLANDS LÄN</t>
        </is>
      </c>
      <c r="E1190" t="inlineStr">
        <is>
          <t>SOLLEFTEÅ</t>
        </is>
      </c>
      <c r="F1190" t="inlineStr">
        <is>
          <t>Kyrkan</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11283-2019</t>
        </is>
      </c>
      <c r="B1191" s="1" t="n">
        <v>43516</v>
      </c>
      <c r="C1191" s="1" t="n">
        <v>45212</v>
      </c>
      <c r="D1191" t="inlineStr">
        <is>
          <t>VÄSTERNORRLANDS LÄN</t>
        </is>
      </c>
      <c r="E1191" t="inlineStr">
        <is>
          <t>SOLLEFTEÅ</t>
        </is>
      </c>
      <c r="F1191" t="inlineStr">
        <is>
          <t>SCA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11341-2019</t>
        </is>
      </c>
      <c r="B1192" s="1" t="n">
        <v>43517</v>
      </c>
      <c r="C1192" s="1" t="n">
        <v>45212</v>
      </c>
      <c r="D1192" t="inlineStr">
        <is>
          <t>VÄSTERNORRLANDS LÄN</t>
        </is>
      </c>
      <c r="E1192" t="inlineStr">
        <is>
          <t>SOLLEFTEÅ</t>
        </is>
      </c>
      <c r="G1192" t="n">
        <v>7.2</v>
      </c>
      <c r="H1192" t="n">
        <v>0</v>
      </c>
      <c r="I1192" t="n">
        <v>0</v>
      </c>
      <c r="J1192" t="n">
        <v>0</v>
      </c>
      <c r="K1192" t="n">
        <v>0</v>
      </c>
      <c r="L1192" t="n">
        <v>0</v>
      </c>
      <c r="M1192" t="n">
        <v>0</v>
      </c>
      <c r="N1192" t="n">
        <v>0</v>
      </c>
      <c r="O1192" t="n">
        <v>0</v>
      </c>
      <c r="P1192" t="n">
        <v>0</v>
      </c>
      <c r="Q1192" t="n">
        <v>0</v>
      </c>
      <c r="R1192" s="2" t="inlineStr"/>
    </row>
    <row r="1193" ht="15" customHeight="1">
      <c r="A1193" t="inlineStr">
        <is>
          <t>A 11384-2019</t>
        </is>
      </c>
      <c r="B1193" s="1" t="n">
        <v>43517</v>
      </c>
      <c r="C1193" s="1" t="n">
        <v>45212</v>
      </c>
      <c r="D1193" t="inlineStr">
        <is>
          <t>VÄSTERNORRLANDS LÄN</t>
        </is>
      </c>
      <c r="E1193" t="inlineStr">
        <is>
          <t>SUNDSVALL</t>
        </is>
      </c>
      <c r="G1193" t="n">
        <v>4</v>
      </c>
      <c r="H1193" t="n">
        <v>0</v>
      </c>
      <c r="I1193" t="n">
        <v>0</v>
      </c>
      <c r="J1193" t="n">
        <v>0</v>
      </c>
      <c r="K1193" t="n">
        <v>0</v>
      </c>
      <c r="L1193" t="n">
        <v>0</v>
      </c>
      <c r="M1193" t="n">
        <v>0</v>
      </c>
      <c r="N1193" t="n">
        <v>0</v>
      </c>
      <c r="O1193" t="n">
        <v>0</v>
      </c>
      <c r="P1193" t="n">
        <v>0</v>
      </c>
      <c r="Q1193" t="n">
        <v>0</v>
      </c>
      <c r="R1193" s="2" t="inlineStr"/>
    </row>
    <row r="1194" ht="15" customHeight="1">
      <c r="A1194" t="inlineStr">
        <is>
          <t>A 11620-2019</t>
        </is>
      </c>
      <c r="B1194" s="1" t="n">
        <v>43518</v>
      </c>
      <c r="C1194" s="1" t="n">
        <v>45212</v>
      </c>
      <c r="D1194" t="inlineStr">
        <is>
          <t>VÄSTERNORRLANDS LÄN</t>
        </is>
      </c>
      <c r="E1194" t="inlineStr">
        <is>
          <t>KRAMFORS</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11759-2019</t>
        </is>
      </c>
      <c r="B1195" s="1" t="n">
        <v>43520</v>
      </c>
      <c r="C1195" s="1" t="n">
        <v>45212</v>
      </c>
      <c r="D1195" t="inlineStr">
        <is>
          <t>VÄSTERNORRLANDS LÄN</t>
        </is>
      </c>
      <c r="E1195" t="inlineStr">
        <is>
          <t>SOLLEFTEÅ</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11766-2019</t>
        </is>
      </c>
      <c r="B1196" s="1" t="n">
        <v>43520</v>
      </c>
      <c r="C1196" s="1" t="n">
        <v>45212</v>
      </c>
      <c r="D1196" t="inlineStr">
        <is>
          <t>VÄSTERNORRLANDS LÄN</t>
        </is>
      </c>
      <c r="E1196" t="inlineStr">
        <is>
          <t>SOLLEFTEÅ</t>
        </is>
      </c>
      <c r="G1196" t="n">
        <v>7.1</v>
      </c>
      <c r="H1196" t="n">
        <v>0</v>
      </c>
      <c r="I1196" t="n">
        <v>0</v>
      </c>
      <c r="J1196" t="n">
        <v>0</v>
      </c>
      <c r="K1196" t="n">
        <v>0</v>
      </c>
      <c r="L1196" t="n">
        <v>0</v>
      </c>
      <c r="M1196" t="n">
        <v>0</v>
      </c>
      <c r="N1196" t="n">
        <v>0</v>
      </c>
      <c r="O1196" t="n">
        <v>0</v>
      </c>
      <c r="P1196" t="n">
        <v>0</v>
      </c>
      <c r="Q1196" t="n">
        <v>0</v>
      </c>
      <c r="R1196" s="2" t="inlineStr"/>
    </row>
    <row r="1197" ht="15" customHeight="1">
      <c r="A1197" t="inlineStr">
        <is>
          <t>A 12009-2019</t>
        </is>
      </c>
      <c r="B1197" s="1" t="n">
        <v>43521</v>
      </c>
      <c r="C1197" s="1" t="n">
        <v>45212</v>
      </c>
      <c r="D1197" t="inlineStr">
        <is>
          <t>VÄSTERNORRLANDS LÄN</t>
        </is>
      </c>
      <c r="E1197" t="inlineStr">
        <is>
          <t>SUNDSVALL</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12015-2019</t>
        </is>
      </c>
      <c r="B1198" s="1" t="n">
        <v>43521</v>
      </c>
      <c r="C1198" s="1" t="n">
        <v>45212</v>
      </c>
      <c r="D1198" t="inlineStr">
        <is>
          <t>VÄSTERNORRLANDS LÄN</t>
        </is>
      </c>
      <c r="E1198" t="inlineStr">
        <is>
          <t>SUNDSVALL</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12016-2019</t>
        </is>
      </c>
      <c r="B1199" s="1" t="n">
        <v>43521</v>
      </c>
      <c r="C1199" s="1" t="n">
        <v>45212</v>
      </c>
      <c r="D1199" t="inlineStr">
        <is>
          <t>VÄSTERNORRLANDS LÄN</t>
        </is>
      </c>
      <c r="E1199" t="inlineStr">
        <is>
          <t>SUNDSVALL</t>
        </is>
      </c>
      <c r="F1199" t="inlineStr">
        <is>
          <t>SCA</t>
        </is>
      </c>
      <c r="G1199" t="n">
        <v>14.3</v>
      </c>
      <c r="H1199" t="n">
        <v>0</v>
      </c>
      <c r="I1199" t="n">
        <v>0</v>
      </c>
      <c r="J1199" t="n">
        <v>0</v>
      </c>
      <c r="K1199" t="n">
        <v>0</v>
      </c>
      <c r="L1199" t="n">
        <v>0</v>
      </c>
      <c r="M1199" t="n">
        <v>0</v>
      </c>
      <c r="N1199" t="n">
        <v>0</v>
      </c>
      <c r="O1199" t="n">
        <v>0</v>
      </c>
      <c r="P1199" t="n">
        <v>0</v>
      </c>
      <c r="Q1199" t="n">
        <v>0</v>
      </c>
      <c r="R1199" s="2" t="inlineStr"/>
    </row>
    <row r="1200" ht="15" customHeight="1">
      <c r="A1200" t="inlineStr">
        <is>
          <t>A 12014-2019</t>
        </is>
      </c>
      <c r="B1200" s="1" t="n">
        <v>43521</v>
      </c>
      <c r="C1200" s="1" t="n">
        <v>45212</v>
      </c>
      <c r="D1200" t="inlineStr">
        <is>
          <t>VÄSTERNORRLANDS LÄN</t>
        </is>
      </c>
      <c r="E1200" t="inlineStr">
        <is>
          <t>ÅNGE</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12198-2019</t>
        </is>
      </c>
      <c r="B1201" s="1" t="n">
        <v>43522</v>
      </c>
      <c r="C1201" s="1" t="n">
        <v>45212</v>
      </c>
      <c r="D1201" t="inlineStr">
        <is>
          <t>VÄSTERNORRLANDS LÄN</t>
        </is>
      </c>
      <c r="E1201" t="inlineStr">
        <is>
          <t>KRAMFORS</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12024-2019</t>
        </is>
      </c>
      <c r="B1202" s="1" t="n">
        <v>43522</v>
      </c>
      <c r="C1202" s="1" t="n">
        <v>45212</v>
      </c>
      <c r="D1202" t="inlineStr">
        <is>
          <t>VÄSTERNORRLANDS LÄN</t>
        </is>
      </c>
      <c r="E1202" t="inlineStr">
        <is>
          <t>SUNDSVALL</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12194-2019</t>
        </is>
      </c>
      <c r="B1203" s="1" t="n">
        <v>43522</v>
      </c>
      <c r="C1203" s="1" t="n">
        <v>45212</v>
      </c>
      <c r="D1203" t="inlineStr">
        <is>
          <t>VÄSTERNORRLANDS LÄN</t>
        </is>
      </c>
      <c r="E1203" t="inlineStr">
        <is>
          <t>KRAMFORS</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12253-2019</t>
        </is>
      </c>
      <c r="B1204" s="1" t="n">
        <v>43522</v>
      </c>
      <c r="C1204" s="1" t="n">
        <v>45212</v>
      </c>
      <c r="D1204" t="inlineStr">
        <is>
          <t>VÄSTERNORRLANDS LÄN</t>
        </is>
      </c>
      <c r="E1204" t="inlineStr">
        <is>
          <t>SUNDSVALL</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12249-2019</t>
        </is>
      </c>
      <c r="B1205" s="1" t="n">
        <v>43522</v>
      </c>
      <c r="C1205" s="1" t="n">
        <v>45212</v>
      </c>
      <c r="D1205" t="inlineStr">
        <is>
          <t>VÄSTERNORRLANDS LÄN</t>
        </is>
      </c>
      <c r="E1205" t="inlineStr">
        <is>
          <t>SUNDSVALL</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12272-2019</t>
        </is>
      </c>
      <c r="B1206" s="1" t="n">
        <v>43522</v>
      </c>
      <c r="C1206" s="1" t="n">
        <v>45212</v>
      </c>
      <c r="D1206" t="inlineStr">
        <is>
          <t>VÄSTERNORRLANDS LÄN</t>
        </is>
      </c>
      <c r="E1206" t="inlineStr">
        <is>
          <t>HÄRNÖSAND</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12331-2019</t>
        </is>
      </c>
      <c r="B1207" s="1" t="n">
        <v>43523</v>
      </c>
      <c r="C1207" s="1" t="n">
        <v>45212</v>
      </c>
      <c r="D1207" t="inlineStr">
        <is>
          <t>VÄSTERNORRLANDS LÄN</t>
        </is>
      </c>
      <c r="E1207" t="inlineStr">
        <is>
          <t>SUNDSVALL</t>
        </is>
      </c>
      <c r="F1207" t="inlineStr">
        <is>
          <t>Holmen skog AB</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12510-2019</t>
        </is>
      </c>
      <c r="B1208" s="1" t="n">
        <v>43523</v>
      </c>
      <c r="C1208" s="1" t="n">
        <v>45212</v>
      </c>
      <c r="D1208" t="inlineStr">
        <is>
          <t>VÄSTERNORRLANDS LÄN</t>
        </is>
      </c>
      <c r="E1208" t="inlineStr">
        <is>
          <t>SOLLEFTEÅ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12501-2019</t>
        </is>
      </c>
      <c r="B1209" s="1" t="n">
        <v>43523</v>
      </c>
      <c r="C1209" s="1" t="n">
        <v>45212</v>
      </c>
      <c r="D1209" t="inlineStr">
        <is>
          <t>VÄSTERNORRLANDS LÄN</t>
        </is>
      </c>
      <c r="E1209" t="inlineStr">
        <is>
          <t>SUNDSVALL</t>
        </is>
      </c>
      <c r="G1209" t="n">
        <v>10.5</v>
      </c>
      <c r="H1209" t="n">
        <v>0</v>
      </c>
      <c r="I1209" t="n">
        <v>0</v>
      </c>
      <c r="J1209" t="n">
        <v>0</v>
      </c>
      <c r="K1209" t="n">
        <v>0</v>
      </c>
      <c r="L1209" t="n">
        <v>0</v>
      </c>
      <c r="M1209" t="n">
        <v>0</v>
      </c>
      <c r="N1209" t="n">
        <v>0</v>
      </c>
      <c r="O1209" t="n">
        <v>0</v>
      </c>
      <c r="P1209" t="n">
        <v>0</v>
      </c>
      <c r="Q1209" t="n">
        <v>0</v>
      </c>
      <c r="R1209" s="2" t="inlineStr"/>
    </row>
    <row r="1210" ht="15" customHeight="1">
      <c r="A1210" t="inlineStr">
        <is>
          <t>A 12458-2019</t>
        </is>
      </c>
      <c r="B1210" s="1" t="n">
        <v>43523</v>
      </c>
      <c r="C1210" s="1" t="n">
        <v>45212</v>
      </c>
      <c r="D1210" t="inlineStr">
        <is>
          <t>VÄSTERNORRLANDS LÄN</t>
        </is>
      </c>
      <c r="E1210" t="inlineStr">
        <is>
          <t>ÖRNSKÖLDSVIK</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12666-2019</t>
        </is>
      </c>
      <c r="B1211" s="1" t="n">
        <v>43524</v>
      </c>
      <c r="C1211" s="1" t="n">
        <v>45212</v>
      </c>
      <c r="D1211" t="inlineStr">
        <is>
          <t>VÄSTERNORRLANDS LÄN</t>
        </is>
      </c>
      <c r="E1211" t="inlineStr">
        <is>
          <t>ÖRNSKÖLDSVIK</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12812-2019</t>
        </is>
      </c>
      <c r="B1212" s="1" t="n">
        <v>43524</v>
      </c>
      <c r="C1212" s="1" t="n">
        <v>45212</v>
      </c>
      <c r="D1212" t="inlineStr">
        <is>
          <t>VÄSTERNORRLANDS LÄN</t>
        </is>
      </c>
      <c r="E1212" t="inlineStr">
        <is>
          <t>SOLLEFTEÅ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12604-2019</t>
        </is>
      </c>
      <c r="B1213" s="1" t="n">
        <v>43524</v>
      </c>
      <c r="C1213" s="1" t="n">
        <v>45212</v>
      </c>
      <c r="D1213" t="inlineStr">
        <is>
          <t>VÄSTERNORRLANDS LÄN</t>
        </is>
      </c>
      <c r="E1213" t="inlineStr">
        <is>
          <t>KRAMFORS</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12939-2019</t>
        </is>
      </c>
      <c r="B1214" s="1" t="n">
        <v>43525</v>
      </c>
      <c r="C1214" s="1" t="n">
        <v>45212</v>
      </c>
      <c r="D1214" t="inlineStr">
        <is>
          <t>VÄSTERNORRLANDS LÄN</t>
        </is>
      </c>
      <c r="E1214" t="inlineStr">
        <is>
          <t>KRAMFORS</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12987-2019</t>
        </is>
      </c>
      <c r="B1215" s="1" t="n">
        <v>43525</v>
      </c>
      <c r="C1215" s="1" t="n">
        <v>45212</v>
      </c>
      <c r="D1215" t="inlineStr">
        <is>
          <t>VÄSTERNORRLANDS LÄN</t>
        </is>
      </c>
      <c r="E1215" t="inlineStr">
        <is>
          <t>SOLLEFTEÅ</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13648-2019</t>
        </is>
      </c>
      <c r="B1216" s="1" t="n">
        <v>43530</v>
      </c>
      <c r="C1216" s="1" t="n">
        <v>45212</v>
      </c>
      <c r="D1216" t="inlineStr">
        <is>
          <t>VÄSTERNORRLANDS LÄN</t>
        </is>
      </c>
      <c r="E1216" t="inlineStr">
        <is>
          <t>SOLLEFTEÅ</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13677-2019</t>
        </is>
      </c>
      <c r="B1217" s="1" t="n">
        <v>43530</v>
      </c>
      <c r="C1217" s="1" t="n">
        <v>45212</v>
      </c>
      <c r="D1217" t="inlineStr">
        <is>
          <t>VÄSTERNORRLANDS LÄN</t>
        </is>
      </c>
      <c r="E1217" t="inlineStr">
        <is>
          <t>ÖRNSKÖLDSVIK</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13711-2019</t>
        </is>
      </c>
      <c r="B1218" s="1" t="n">
        <v>43530</v>
      </c>
      <c r="C1218" s="1" t="n">
        <v>45212</v>
      </c>
      <c r="D1218" t="inlineStr">
        <is>
          <t>VÄSTERNORRLANDS LÄN</t>
        </is>
      </c>
      <c r="E1218" t="inlineStr">
        <is>
          <t>SOLLEFTEÅ</t>
        </is>
      </c>
      <c r="G1218" t="n">
        <v>5.6</v>
      </c>
      <c r="H1218" t="n">
        <v>0</v>
      </c>
      <c r="I1218" t="n">
        <v>0</v>
      </c>
      <c r="J1218" t="n">
        <v>0</v>
      </c>
      <c r="K1218" t="n">
        <v>0</v>
      </c>
      <c r="L1218" t="n">
        <v>0</v>
      </c>
      <c r="M1218" t="n">
        <v>0</v>
      </c>
      <c r="N1218" t="n">
        <v>0</v>
      </c>
      <c r="O1218" t="n">
        <v>0</v>
      </c>
      <c r="P1218" t="n">
        <v>0</v>
      </c>
      <c r="Q1218" t="n">
        <v>0</v>
      </c>
      <c r="R1218" s="2" t="inlineStr"/>
    </row>
    <row r="1219" ht="15" customHeight="1">
      <c r="A1219" t="inlineStr">
        <is>
          <t>A 13801-2019</t>
        </is>
      </c>
      <c r="B1219" s="1" t="n">
        <v>43530</v>
      </c>
      <c r="C1219" s="1" t="n">
        <v>45212</v>
      </c>
      <c r="D1219" t="inlineStr">
        <is>
          <t>VÄSTERNORRLANDS LÄN</t>
        </is>
      </c>
      <c r="E1219" t="inlineStr">
        <is>
          <t>SOLLEFTEÅ</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13625-2019</t>
        </is>
      </c>
      <c r="B1220" s="1" t="n">
        <v>43530</v>
      </c>
      <c r="C1220" s="1" t="n">
        <v>45212</v>
      </c>
      <c r="D1220" t="inlineStr">
        <is>
          <t>VÄSTERNORRLANDS LÄN</t>
        </is>
      </c>
      <c r="E1220" t="inlineStr">
        <is>
          <t>ÖRNSKÖLDSVIK</t>
        </is>
      </c>
      <c r="G1220" t="n">
        <v>9.199999999999999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13653-2019</t>
        </is>
      </c>
      <c r="B1221" s="1" t="n">
        <v>43530</v>
      </c>
      <c r="C1221" s="1" t="n">
        <v>45212</v>
      </c>
      <c r="D1221" t="inlineStr">
        <is>
          <t>VÄSTERNORRLANDS LÄN</t>
        </is>
      </c>
      <c r="E1221" t="inlineStr">
        <is>
          <t>SOLLEFTEÅ</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13679-2019</t>
        </is>
      </c>
      <c r="B1222" s="1" t="n">
        <v>43530</v>
      </c>
      <c r="C1222" s="1" t="n">
        <v>45212</v>
      </c>
      <c r="D1222" t="inlineStr">
        <is>
          <t>VÄSTERNORRLANDS LÄN</t>
        </is>
      </c>
      <c r="E1222" t="inlineStr">
        <is>
          <t>SUNDSVALL</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13696-2019</t>
        </is>
      </c>
      <c r="B1223" s="1" t="n">
        <v>43530</v>
      </c>
      <c r="C1223" s="1" t="n">
        <v>45212</v>
      </c>
      <c r="D1223" t="inlineStr">
        <is>
          <t>VÄSTERNORRLANDS LÄN</t>
        </is>
      </c>
      <c r="E1223" t="inlineStr">
        <is>
          <t>ÖRNSKÖLDSVIK</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13800-2019</t>
        </is>
      </c>
      <c r="B1224" s="1" t="n">
        <v>43530</v>
      </c>
      <c r="C1224" s="1" t="n">
        <v>45212</v>
      </c>
      <c r="D1224" t="inlineStr">
        <is>
          <t>VÄSTERNORRLANDS LÄN</t>
        </is>
      </c>
      <c r="E1224" t="inlineStr">
        <is>
          <t>SOLLEFTEÅ</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13912-2019</t>
        </is>
      </c>
      <c r="B1225" s="1" t="n">
        <v>43531</v>
      </c>
      <c r="C1225" s="1" t="n">
        <v>45212</v>
      </c>
      <c r="D1225" t="inlineStr">
        <is>
          <t>VÄSTERNORRLANDS LÄN</t>
        </is>
      </c>
      <c r="E1225" t="inlineStr">
        <is>
          <t>SOLLEFTEÅ</t>
        </is>
      </c>
      <c r="G1225" t="n">
        <v>6.1</v>
      </c>
      <c r="H1225" t="n">
        <v>0</v>
      </c>
      <c r="I1225" t="n">
        <v>0</v>
      </c>
      <c r="J1225" t="n">
        <v>0</v>
      </c>
      <c r="K1225" t="n">
        <v>0</v>
      </c>
      <c r="L1225" t="n">
        <v>0</v>
      </c>
      <c r="M1225" t="n">
        <v>0</v>
      </c>
      <c r="N1225" t="n">
        <v>0</v>
      </c>
      <c r="O1225" t="n">
        <v>0</v>
      </c>
      <c r="P1225" t="n">
        <v>0</v>
      </c>
      <c r="Q1225" t="n">
        <v>0</v>
      </c>
      <c r="R1225" s="2" t="inlineStr"/>
    </row>
    <row r="1226" ht="15" customHeight="1">
      <c r="A1226" t="inlineStr">
        <is>
          <t>A 13914-2019</t>
        </is>
      </c>
      <c r="B1226" s="1" t="n">
        <v>43531</v>
      </c>
      <c r="C1226" s="1" t="n">
        <v>45212</v>
      </c>
      <c r="D1226" t="inlineStr">
        <is>
          <t>VÄSTERNORRLANDS LÄN</t>
        </is>
      </c>
      <c r="E1226" t="inlineStr">
        <is>
          <t>SOLLEFTEÅ</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13860-2019</t>
        </is>
      </c>
      <c r="B1227" s="1" t="n">
        <v>43531</v>
      </c>
      <c r="C1227" s="1" t="n">
        <v>45212</v>
      </c>
      <c r="D1227" t="inlineStr">
        <is>
          <t>VÄSTERNORRLANDS LÄN</t>
        </is>
      </c>
      <c r="E1227" t="inlineStr">
        <is>
          <t>ÖRNSKÖLDSVIK</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13905-2019</t>
        </is>
      </c>
      <c r="B1228" s="1" t="n">
        <v>43531</v>
      </c>
      <c r="C1228" s="1" t="n">
        <v>45212</v>
      </c>
      <c r="D1228" t="inlineStr">
        <is>
          <t>VÄSTERNORRLANDS LÄN</t>
        </is>
      </c>
      <c r="E1228" t="inlineStr">
        <is>
          <t>ÅNGE</t>
        </is>
      </c>
      <c r="F1228" t="inlineStr">
        <is>
          <t>SCA</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14734-2019</t>
        </is>
      </c>
      <c r="B1229" s="1" t="n">
        <v>43535</v>
      </c>
      <c r="C1229" s="1" t="n">
        <v>45212</v>
      </c>
      <c r="D1229" t="inlineStr">
        <is>
          <t>VÄSTERNORRLANDS LÄN</t>
        </is>
      </c>
      <c r="E1229" t="inlineStr">
        <is>
          <t>ÅNGE</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14247-2019</t>
        </is>
      </c>
      <c r="B1230" s="1" t="n">
        <v>43535</v>
      </c>
      <c r="C1230" s="1" t="n">
        <v>45212</v>
      </c>
      <c r="D1230" t="inlineStr">
        <is>
          <t>VÄSTERNORRLANDS LÄN</t>
        </is>
      </c>
      <c r="E1230" t="inlineStr">
        <is>
          <t>HÄRNÖSAND</t>
        </is>
      </c>
      <c r="F1230" t="inlineStr">
        <is>
          <t>Kyrkan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14722-2019</t>
        </is>
      </c>
      <c r="B1231" s="1" t="n">
        <v>43535</v>
      </c>
      <c r="C1231" s="1" t="n">
        <v>45212</v>
      </c>
      <c r="D1231" t="inlineStr">
        <is>
          <t>VÄSTERNORRLANDS LÄN</t>
        </is>
      </c>
      <c r="E1231" t="inlineStr">
        <is>
          <t>ÅNGE</t>
        </is>
      </c>
      <c r="F1231" t="inlineStr">
        <is>
          <t>SCA</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14720-2019</t>
        </is>
      </c>
      <c r="B1232" s="1" t="n">
        <v>43535</v>
      </c>
      <c r="C1232" s="1" t="n">
        <v>45212</v>
      </c>
      <c r="D1232" t="inlineStr">
        <is>
          <t>VÄSTERNORRLANDS LÄN</t>
        </is>
      </c>
      <c r="E1232" t="inlineStr">
        <is>
          <t>SUNDSVALL</t>
        </is>
      </c>
      <c r="F1232" t="inlineStr">
        <is>
          <t>SCA</t>
        </is>
      </c>
      <c r="G1232" t="n">
        <v>19.4</v>
      </c>
      <c r="H1232" t="n">
        <v>0</v>
      </c>
      <c r="I1232" t="n">
        <v>0</v>
      </c>
      <c r="J1232" t="n">
        <v>0</v>
      </c>
      <c r="K1232" t="n">
        <v>0</v>
      </c>
      <c r="L1232" t="n">
        <v>0</v>
      </c>
      <c r="M1232" t="n">
        <v>0</v>
      </c>
      <c r="N1232" t="n">
        <v>0</v>
      </c>
      <c r="O1232" t="n">
        <v>0</v>
      </c>
      <c r="P1232" t="n">
        <v>0</v>
      </c>
      <c r="Q1232" t="n">
        <v>0</v>
      </c>
      <c r="R1232" s="2" t="inlineStr"/>
    </row>
    <row r="1233" ht="15" customHeight="1">
      <c r="A1233" t="inlineStr">
        <is>
          <t>A 14730-2019</t>
        </is>
      </c>
      <c r="B1233" s="1" t="n">
        <v>43535</v>
      </c>
      <c r="C1233" s="1" t="n">
        <v>45212</v>
      </c>
      <c r="D1233" t="inlineStr">
        <is>
          <t>VÄSTERNORRLANDS LÄN</t>
        </is>
      </c>
      <c r="E1233" t="inlineStr">
        <is>
          <t>ÅNGE</t>
        </is>
      </c>
      <c r="F1233" t="inlineStr">
        <is>
          <t>SCA</t>
        </is>
      </c>
      <c r="G1233" t="n">
        <v>10.9</v>
      </c>
      <c r="H1233" t="n">
        <v>0</v>
      </c>
      <c r="I1233" t="n">
        <v>0</v>
      </c>
      <c r="J1233" t="n">
        <v>0</v>
      </c>
      <c r="K1233" t="n">
        <v>0</v>
      </c>
      <c r="L1233" t="n">
        <v>0</v>
      </c>
      <c r="M1233" t="n">
        <v>0</v>
      </c>
      <c r="N1233" t="n">
        <v>0</v>
      </c>
      <c r="O1233" t="n">
        <v>0</v>
      </c>
      <c r="P1233" t="n">
        <v>0</v>
      </c>
      <c r="Q1233" t="n">
        <v>0</v>
      </c>
      <c r="R1233" s="2" t="inlineStr"/>
    </row>
    <row r="1234" ht="15" customHeight="1">
      <c r="A1234" t="inlineStr">
        <is>
          <t>A 14323-2019</t>
        </is>
      </c>
      <c r="B1234" s="1" t="n">
        <v>43535</v>
      </c>
      <c r="C1234" s="1" t="n">
        <v>45212</v>
      </c>
      <c r="D1234" t="inlineStr">
        <is>
          <t>VÄSTERNORRLANDS LÄN</t>
        </is>
      </c>
      <c r="E1234" t="inlineStr">
        <is>
          <t>KRAMFORS</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14388-2019</t>
        </is>
      </c>
      <c r="B1235" s="1" t="n">
        <v>43536</v>
      </c>
      <c r="C1235" s="1" t="n">
        <v>45212</v>
      </c>
      <c r="D1235" t="inlineStr">
        <is>
          <t>VÄSTERNORRLANDS LÄN</t>
        </is>
      </c>
      <c r="E1235" t="inlineStr">
        <is>
          <t>TIMRÅ</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14389-2019</t>
        </is>
      </c>
      <c r="B1236" s="1" t="n">
        <v>43536</v>
      </c>
      <c r="C1236" s="1" t="n">
        <v>45212</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14863-2019</t>
        </is>
      </c>
      <c r="B1237" s="1" t="n">
        <v>43537</v>
      </c>
      <c r="C1237" s="1" t="n">
        <v>45212</v>
      </c>
      <c r="D1237" t="inlineStr">
        <is>
          <t>VÄSTERNORRLANDS LÄN</t>
        </is>
      </c>
      <c r="E1237" t="inlineStr">
        <is>
          <t>HÄRNÖSAND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14886-2019</t>
        </is>
      </c>
      <c r="B1238" s="1" t="n">
        <v>43538</v>
      </c>
      <c r="C1238" s="1" t="n">
        <v>45212</v>
      </c>
      <c r="D1238" t="inlineStr">
        <is>
          <t>VÄSTERNORRLANDS LÄN</t>
        </is>
      </c>
      <c r="E1238" t="inlineStr">
        <is>
          <t>SUNDSVALL</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14954-2019</t>
        </is>
      </c>
      <c r="B1239" s="1" t="n">
        <v>43538</v>
      </c>
      <c r="C1239" s="1" t="n">
        <v>45212</v>
      </c>
      <c r="D1239" t="inlineStr">
        <is>
          <t>VÄSTERNORRLANDS LÄN</t>
        </is>
      </c>
      <c r="E1239" t="inlineStr">
        <is>
          <t>SUNDSVALL</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14827-2019</t>
        </is>
      </c>
      <c r="B1240" s="1" t="n">
        <v>43538</v>
      </c>
      <c r="C1240" s="1" t="n">
        <v>45212</v>
      </c>
      <c r="D1240" t="inlineStr">
        <is>
          <t>VÄSTERNORRLANDS LÄN</t>
        </is>
      </c>
      <c r="E1240" t="inlineStr">
        <is>
          <t>ÅNGE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14871-2019</t>
        </is>
      </c>
      <c r="B1241" s="1" t="n">
        <v>43538</v>
      </c>
      <c r="C1241" s="1" t="n">
        <v>45212</v>
      </c>
      <c r="D1241" t="inlineStr">
        <is>
          <t>VÄSTERNORRLANDS LÄN</t>
        </is>
      </c>
      <c r="E1241" t="inlineStr">
        <is>
          <t>KRAMFORS</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14893-2019</t>
        </is>
      </c>
      <c r="B1242" s="1" t="n">
        <v>43538</v>
      </c>
      <c r="C1242" s="1" t="n">
        <v>45212</v>
      </c>
      <c r="D1242" t="inlineStr">
        <is>
          <t>VÄSTERNORRLANDS LÄN</t>
        </is>
      </c>
      <c r="E1242" t="inlineStr">
        <is>
          <t>SUNDSVALL</t>
        </is>
      </c>
      <c r="G1242" t="n">
        <v>5.8</v>
      </c>
      <c r="H1242" t="n">
        <v>0</v>
      </c>
      <c r="I1242" t="n">
        <v>0</v>
      </c>
      <c r="J1242" t="n">
        <v>0</v>
      </c>
      <c r="K1242" t="n">
        <v>0</v>
      </c>
      <c r="L1242" t="n">
        <v>0</v>
      </c>
      <c r="M1242" t="n">
        <v>0</v>
      </c>
      <c r="N1242" t="n">
        <v>0</v>
      </c>
      <c r="O1242" t="n">
        <v>0</v>
      </c>
      <c r="P1242" t="n">
        <v>0</v>
      </c>
      <c r="Q1242" t="n">
        <v>0</v>
      </c>
      <c r="R1242" s="2" t="inlineStr"/>
    </row>
    <row r="1243" ht="15" customHeight="1">
      <c r="A1243" t="inlineStr">
        <is>
          <t>A 14824-2019</t>
        </is>
      </c>
      <c r="B1243" s="1" t="n">
        <v>43538</v>
      </c>
      <c r="C1243" s="1" t="n">
        <v>45212</v>
      </c>
      <c r="D1243" t="inlineStr">
        <is>
          <t>VÄSTERNORRLANDS LÄN</t>
        </is>
      </c>
      <c r="E1243" t="inlineStr">
        <is>
          <t>ÖRNSKÖLDSVIK</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14814-2019</t>
        </is>
      </c>
      <c r="B1244" s="1" t="n">
        <v>43539</v>
      </c>
      <c r="C1244" s="1" t="n">
        <v>45212</v>
      </c>
      <c r="D1244" t="inlineStr">
        <is>
          <t>VÄSTERNORRLANDS LÄN</t>
        </is>
      </c>
      <c r="E1244" t="inlineStr">
        <is>
          <t>SUNDSVALL</t>
        </is>
      </c>
      <c r="F1244" t="inlineStr">
        <is>
          <t>Kommuner</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15270-2019</t>
        </is>
      </c>
      <c r="B1245" s="1" t="n">
        <v>43539</v>
      </c>
      <c r="C1245" s="1" t="n">
        <v>45212</v>
      </c>
      <c r="D1245" t="inlineStr">
        <is>
          <t>VÄSTERNORRLANDS LÄN</t>
        </is>
      </c>
      <c r="E1245" t="inlineStr">
        <is>
          <t>HÄRNÖSAND</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15272-2019</t>
        </is>
      </c>
      <c r="B1246" s="1" t="n">
        <v>43539</v>
      </c>
      <c r="C1246" s="1" t="n">
        <v>45212</v>
      </c>
      <c r="D1246" t="inlineStr">
        <is>
          <t>VÄSTERNORRLANDS LÄN</t>
        </is>
      </c>
      <c r="E1246" t="inlineStr">
        <is>
          <t>SOLLEFTEÅ</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15439-2019</t>
        </is>
      </c>
      <c r="B1247" s="1" t="n">
        <v>43542</v>
      </c>
      <c r="C1247" s="1" t="n">
        <v>45212</v>
      </c>
      <c r="D1247" t="inlineStr">
        <is>
          <t>VÄSTERNORRLANDS LÄN</t>
        </is>
      </c>
      <c r="E1247" t="inlineStr">
        <is>
          <t>ÅNGE</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15737-2019</t>
        </is>
      </c>
      <c r="B1248" s="1" t="n">
        <v>43542</v>
      </c>
      <c r="C1248" s="1" t="n">
        <v>45212</v>
      </c>
      <c r="D1248" t="inlineStr">
        <is>
          <t>VÄSTERNORRLANDS LÄN</t>
        </is>
      </c>
      <c r="E1248" t="inlineStr">
        <is>
          <t>SOLLEFTEÅ</t>
        </is>
      </c>
      <c r="G1248" t="n">
        <v>8.300000000000001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15305-2019</t>
        </is>
      </c>
      <c r="B1249" s="1" t="n">
        <v>43542</v>
      </c>
      <c r="C1249" s="1" t="n">
        <v>45212</v>
      </c>
      <c r="D1249" t="inlineStr">
        <is>
          <t>VÄSTERNORRLANDS LÄN</t>
        </is>
      </c>
      <c r="E1249" t="inlineStr">
        <is>
          <t>SUNDSVALL</t>
        </is>
      </c>
      <c r="F1249" t="inlineStr">
        <is>
          <t>Holmen skog AB</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15891-2019</t>
        </is>
      </c>
      <c r="B1250" s="1" t="n">
        <v>43543</v>
      </c>
      <c r="C1250" s="1" t="n">
        <v>45212</v>
      </c>
      <c r="D1250" t="inlineStr">
        <is>
          <t>VÄSTERNORRLANDS LÄN</t>
        </is>
      </c>
      <c r="E1250" t="inlineStr">
        <is>
          <t>HÄRNÖSAND</t>
        </is>
      </c>
      <c r="F1250" t="inlineStr">
        <is>
          <t>SCA</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15898-2019</t>
        </is>
      </c>
      <c r="B1251" s="1" t="n">
        <v>43543</v>
      </c>
      <c r="C1251" s="1" t="n">
        <v>45212</v>
      </c>
      <c r="D1251" t="inlineStr">
        <is>
          <t>VÄSTERNORRLANDS LÄN</t>
        </is>
      </c>
      <c r="E1251" t="inlineStr">
        <is>
          <t>HÄRNÖSAND</t>
        </is>
      </c>
      <c r="F1251" t="inlineStr">
        <is>
          <t>SCA</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15905-2019</t>
        </is>
      </c>
      <c r="B1252" s="1" t="n">
        <v>43543</v>
      </c>
      <c r="C1252" s="1" t="n">
        <v>45212</v>
      </c>
      <c r="D1252" t="inlineStr">
        <is>
          <t>VÄSTERNORRLANDS LÄN</t>
        </is>
      </c>
      <c r="E1252" t="inlineStr">
        <is>
          <t>ÅNGE</t>
        </is>
      </c>
      <c r="F1252" t="inlineStr">
        <is>
          <t>SCA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15887-2019</t>
        </is>
      </c>
      <c r="B1253" s="1" t="n">
        <v>43543</v>
      </c>
      <c r="C1253" s="1" t="n">
        <v>45212</v>
      </c>
      <c r="D1253" t="inlineStr">
        <is>
          <t>VÄSTERNORRLANDS LÄN</t>
        </is>
      </c>
      <c r="E1253" t="inlineStr">
        <is>
          <t>KRAMFORS</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15894-2019</t>
        </is>
      </c>
      <c r="B1254" s="1" t="n">
        <v>43543</v>
      </c>
      <c r="C1254" s="1" t="n">
        <v>45212</v>
      </c>
      <c r="D1254" t="inlineStr">
        <is>
          <t>VÄSTERNORRLANDS LÄN</t>
        </is>
      </c>
      <c r="E1254" t="inlineStr">
        <is>
          <t>HÄRNÖSAND</t>
        </is>
      </c>
      <c r="F1254" t="inlineStr">
        <is>
          <t>SCA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15900-2019</t>
        </is>
      </c>
      <c r="B1255" s="1" t="n">
        <v>43543</v>
      </c>
      <c r="C1255" s="1" t="n">
        <v>45212</v>
      </c>
      <c r="D1255" t="inlineStr">
        <is>
          <t>VÄSTERNORRLANDS LÄN</t>
        </is>
      </c>
      <c r="E1255" t="inlineStr">
        <is>
          <t>KRAMFORS</t>
        </is>
      </c>
      <c r="F1255" t="inlineStr">
        <is>
          <t>SCA</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15886-2019</t>
        </is>
      </c>
      <c r="B1256" s="1" t="n">
        <v>43543</v>
      </c>
      <c r="C1256" s="1" t="n">
        <v>45212</v>
      </c>
      <c r="D1256" t="inlineStr">
        <is>
          <t>VÄSTERNORRLANDS LÄN</t>
        </is>
      </c>
      <c r="E1256" t="inlineStr">
        <is>
          <t>KRAMFORS</t>
        </is>
      </c>
      <c r="F1256" t="inlineStr">
        <is>
          <t>SCA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15892-2019</t>
        </is>
      </c>
      <c r="B1257" s="1" t="n">
        <v>43543</v>
      </c>
      <c r="C1257" s="1" t="n">
        <v>45212</v>
      </c>
      <c r="D1257" t="inlineStr">
        <is>
          <t>VÄSTERNORRLANDS LÄN</t>
        </is>
      </c>
      <c r="E1257" t="inlineStr">
        <is>
          <t>HÄRNÖSAND</t>
        </is>
      </c>
      <c r="F1257" t="inlineStr">
        <is>
          <t>SCA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15899-2019</t>
        </is>
      </c>
      <c r="B1258" s="1" t="n">
        <v>43543</v>
      </c>
      <c r="C1258" s="1" t="n">
        <v>45212</v>
      </c>
      <c r="D1258" t="inlineStr">
        <is>
          <t>VÄSTERNORRLANDS LÄN</t>
        </is>
      </c>
      <c r="E1258" t="inlineStr">
        <is>
          <t>HÄRNÖSAND</t>
        </is>
      </c>
      <c r="F1258" t="inlineStr">
        <is>
          <t>SCA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15880-2019</t>
        </is>
      </c>
      <c r="B1259" s="1" t="n">
        <v>43543</v>
      </c>
      <c r="C1259" s="1" t="n">
        <v>45212</v>
      </c>
      <c r="D1259" t="inlineStr">
        <is>
          <t>VÄSTERNORRLANDS LÄN</t>
        </is>
      </c>
      <c r="E1259" t="inlineStr">
        <is>
          <t>SUNDSVALL</t>
        </is>
      </c>
      <c r="F1259" t="inlineStr">
        <is>
          <t>SCA</t>
        </is>
      </c>
      <c r="G1259" t="n">
        <v>43.8</v>
      </c>
      <c r="H1259" t="n">
        <v>0</v>
      </c>
      <c r="I1259" t="n">
        <v>0</v>
      </c>
      <c r="J1259" t="n">
        <v>0</v>
      </c>
      <c r="K1259" t="n">
        <v>0</v>
      </c>
      <c r="L1259" t="n">
        <v>0</v>
      </c>
      <c r="M1259" t="n">
        <v>0</v>
      </c>
      <c r="N1259" t="n">
        <v>0</v>
      </c>
      <c r="O1259" t="n">
        <v>0</v>
      </c>
      <c r="P1259" t="n">
        <v>0</v>
      </c>
      <c r="Q1259" t="n">
        <v>0</v>
      </c>
      <c r="R1259" s="2" t="inlineStr"/>
    </row>
    <row r="1260" ht="15" customHeight="1">
      <c r="A1260" t="inlineStr">
        <is>
          <t>A 15889-2019</t>
        </is>
      </c>
      <c r="B1260" s="1" t="n">
        <v>43543</v>
      </c>
      <c r="C1260" s="1" t="n">
        <v>45212</v>
      </c>
      <c r="D1260" t="inlineStr">
        <is>
          <t>VÄSTERNORRLANDS LÄN</t>
        </is>
      </c>
      <c r="E1260" t="inlineStr">
        <is>
          <t>KRAMFORS</t>
        </is>
      </c>
      <c r="F1260" t="inlineStr">
        <is>
          <t>SCA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15897-2019</t>
        </is>
      </c>
      <c r="B1261" s="1" t="n">
        <v>43543</v>
      </c>
      <c r="C1261" s="1" t="n">
        <v>45212</v>
      </c>
      <c r="D1261" t="inlineStr">
        <is>
          <t>VÄSTERNORRLANDS LÄN</t>
        </is>
      </c>
      <c r="E1261" t="inlineStr">
        <is>
          <t>SOLLEFTEÅ</t>
        </is>
      </c>
      <c r="F1261" t="inlineStr">
        <is>
          <t>SCA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15901-2019</t>
        </is>
      </c>
      <c r="B1262" s="1" t="n">
        <v>43543</v>
      </c>
      <c r="C1262" s="1" t="n">
        <v>45212</v>
      </c>
      <c r="D1262" t="inlineStr">
        <is>
          <t>VÄSTERNORRLANDS LÄN</t>
        </is>
      </c>
      <c r="E1262" t="inlineStr">
        <is>
          <t>KRAMFORS</t>
        </is>
      </c>
      <c r="F1262" t="inlineStr">
        <is>
          <t>SCA</t>
        </is>
      </c>
      <c r="G1262" t="n">
        <v>41.2</v>
      </c>
      <c r="H1262" t="n">
        <v>0</v>
      </c>
      <c r="I1262" t="n">
        <v>0</v>
      </c>
      <c r="J1262" t="n">
        <v>0</v>
      </c>
      <c r="K1262" t="n">
        <v>0</v>
      </c>
      <c r="L1262" t="n">
        <v>0</v>
      </c>
      <c r="M1262" t="n">
        <v>0</v>
      </c>
      <c r="N1262" t="n">
        <v>0</v>
      </c>
      <c r="O1262" t="n">
        <v>0</v>
      </c>
      <c r="P1262" t="n">
        <v>0</v>
      </c>
      <c r="Q1262" t="n">
        <v>0</v>
      </c>
      <c r="R1262" s="2" t="inlineStr"/>
    </row>
    <row r="1263" ht="15" customHeight="1">
      <c r="A1263" t="inlineStr">
        <is>
          <t>A 16033-2019</t>
        </is>
      </c>
      <c r="B1263" s="1" t="n">
        <v>43543</v>
      </c>
      <c r="C1263" s="1" t="n">
        <v>45212</v>
      </c>
      <c r="D1263" t="inlineStr">
        <is>
          <t>VÄSTERNORRLANDS LÄN</t>
        </is>
      </c>
      <c r="E1263" t="inlineStr">
        <is>
          <t>SOLLEFTEÅ</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16536-2019</t>
        </is>
      </c>
      <c r="B1264" s="1" t="n">
        <v>43546</v>
      </c>
      <c r="C1264" s="1" t="n">
        <v>45212</v>
      </c>
      <c r="D1264" t="inlineStr">
        <is>
          <t>VÄSTERNORRLANDS LÄN</t>
        </is>
      </c>
      <c r="E1264" t="inlineStr">
        <is>
          <t>ÅNGE</t>
        </is>
      </c>
      <c r="F1264" t="inlineStr">
        <is>
          <t>SCA</t>
        </is>
      </c>
      <c r="G1264" t="n">
        <v>27.8</v>
      </c>
      <c r="H1264" t="n">
        <v>0</v>
      </c>
      <c r="I1264" t="n">
        <v>0</v>
      </c>
      <c r="J1264" t="n">
        <v>0</v>
      </c>
      <c r="K1264" t="n">
        <v>0</v>
      </c>
      <c r="L1264" t="n">
        <v>0</v>
      </c>
      <c r="M1264" t="n">
        <v>0</v>
      </c>
      <c r="N1264" t="n">
        <v>0</v>
      </c>
      <c r="O1264" t="n">
        <v>0</v>
      </c>
      <c r="P1264" t="n">
        <v>0</v>
      </c>
      <c r="Q1264" t="n">
        <v>0</v>
      </c>
      <c r="R1264" s="2" t="inlineStr"/>
    </row>
    <row r="1265" ht="15" customHeight="1">
      <c r="A1265" t="inlineStr">
        <is>
          <t>A 16548-2019</t>
        </is>
      </c>
      <c r="B1265" s="1" t="n">
        <v>43546</v>
      </c>
      <c r="C1265" s="1" t="n">
        <v>45212</v>
      </c>
      <c r="D1265" t="inlineStr">
        <is>
          <t>VÄSTERNORRLANDS LÄN</t>
        </is>
      </c>
      <c r="E1265" t="inlineStr">
        <is>
          <t>HÄRNÖSAND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16565-2019</t>
        </is>
      </c>
      <c r="B1266" s="1" t="n">
        <v>43546</v>
      </c>
      <c r="C1266" s="1" t="n">
        <v>45212</v>
      </c>
      <c r="D1266" t="inlineStr">
        <is>
          <t>VÄSTERNORRLANDS LÄN</t>
        </is>
      </c>
      <c r="E1266" t="inlineStr">
        <is>
          <t>SOLLEFTEÅ</t>
        </is>
      </c>
      <c r="F1266" t="inlineStr">
        <is>
          <t>SCA</t>
        </is>
      </c>
      <c r="G1266" t="n">
        <v>13.6</v>
      </c>
      <c r="H1266" t="n">
        <v>0</v>
      </c>
      <c r="I1266" t="n">
        <v>0</v>
      </c>
      <c r="J1266" t="n">
        <v>0</v>
      </c>
      <c r="K1266" t="n">
        <v>0</v>
      </c>
      <c r="L1266" t="n">
        <v>0</v>
      </c>
      <c r="M1266" t="n">
        <v>0</v>
      </c>
      <c r="N1266" t="n">
        <v>0</v>
      </c>
      <c r="O1266" t="n">
        <v>0</v>
      </c>
      <c r="P1266" t="n">
        <v>0</v>
      </c>
      <c r="Q1266" t="n">
        <v>0</v>
      </c>
      <c r="R1266" s="2" t="inlineStr"/>
    </row>
    <row r="1267" ht="15" customHeight="1">
      <c r="A1267" t="inlineStr">
        <is>
          <t>A 16552-2019</t>
        </is>
      </c>
      <c r="B1267" s="1" t="n">
        <v>43546</v>
      </c>
      <c r="C1267" s="1" t="n">
        <v>45212</v>
      </c>
      <c r="D1267" t="inlineStr">
        <is>
          <t>VÄSTERNORRLANDS LÄN</t>
        </is>
      </c>
      <c r="E1267" t="inlineStr">
        <is>
          <t>SOLLEFTEÅ</t>
        </is>
      </c>
      <c r="F1267" t="inlineStr">
        <is>
          <t>SCA</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16435-2019</t>
        </is>
      </c>
      <c r="B1268" s="1" t="n">
        <v>43546</v>
      </c>
      <c r="C1268" s="1" t="n">
        <v>45212</v>
      </c>
      <c r="D1268" t="inlineStr">
        <is>
          <t>VÄSTERNORRLANDS LÄN</t>
        </is>
      </c>
      <c r="E1268" t="inlineStr">
        <is>
          <t>HÄRNÖSAND</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16563-2019</t>
        </is>
      </c>
      <c r="B1269" s="1" t="n">
        <v>43546</v>
      </c>
      <c r="C1269" s="1" t="n">
        <v>45212</v>
      </c>
      <c r="D1269" t="inlineStr">
        <is>
          <t>VÄSTERNORRLANDS LÄN</t>
        </is>
      </c>
      <c r="E1269" t="inlineStr">
        <is>
          <t>SUNDSVALL</t>
        </is>
      </c>
      <c r="F1269" t="inlineStr">
        <is>
          <t>Naturvårdsverket</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16416-2019</t>
        </is>
      </c>
      <c r="B1270" s="1" t="n">
        <v>43546</v>
      </c>
      <c r="C1270" s="1" t="n">
        <v>45212</v>
      </c>
      <c r="D1270" t="inlineStr">
        <is>
          <t>VÄSTERNORRLANDS LÄN</t>
        </is>
      </c>
      <c r="E1270" t="inlineStr">
        <is>
          <t>ÖRNSKÖLDSVIK</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16543-2019</t>
        </is>
      </c>
      <c r="B1271" s="1" t="n">
        <v>43546</v>
      </c>
      <c r="C1271" s="1" t="n">
        <v>45212</v>
      </c>
      <c r="D1271" t="inlineStr">
        <is>
          <t>VÄSTERNORRLANDS LÄN</t>
        </is>
      </c>
      <c r="E1271" t="inlineStr">
        <is>
          <t>SUNDSVALL</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16727-2019</t>
        </is>
      </c>
      <c r="B1272" s="1" t="n">
        <v>43549</v>
      </c>
      <c r="C1272" s="1" t="n">
        <v>45212</v>
      </c>
      <c r="D1272" t="inlineStr">
        <is>
          <t>VÄSTERNORRLANDS LÄN</t>
        </is>
      </c>
      <c r="E1272" t="inlineStr">
        <is>
          <t>ÖRNSKÖLDSVIK</t>
        </is>
      </c>
      <c r="G1272" t="n">
        <v>19.9</v>
      </c>
      <c r="H1272" t="n">
        <v>0</v>
      </c>
      <c r="I1272" t="n">
        <v>0</v>
      </c>
      <c r="J1272" t="n">
        <v>0</v>
      </c>
      <c r="K1272" t="n">
        <v>0</v>
      </c>
      <c r="L1272" t="n">
        <v>0</v>
      </c>
      <c r="M1272" t="n">
        <v>0</v>
      </c>
      <c r="N1272" t="n">
        <v>0</v>
      </c>
      <c r="O1272" t="n">
        <v>0</v>
      </c>
      <c r="P1272" t="n">
        <v>0</v>
      </c>
      <c r="Q1272" t="n">
        <v>0</v>
      </c>
      <c r="R1272" s="2" t="inlineStr"/>
    </row>
    <row r="1273" ht="15" customHeight="1">
      <c r="A1273" t="inlineStr">
        <is>
          <t>A 16732-2019</t>
        </is>
      </c>
      <c r="B1273" s="1" t="n">
        <v>43549</v>
      </c>
      <c r="C1273" s="1" t="n">
        <v>45212</v>
      </c>
      <c r="D1273" t="inlineStr">
        <is>
          <t>VÄSTERNORRLANDS LÄN</t>
        </is>
      </c>
      <c r="E1273" t="inlineStr">
        <is>
          <t>ÖRNSKÖLDSVIK</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16848-2019</t>
        </is>
      </c>
      <c r="B1274" s="1" t="n">
        <v>43549</v>
      </c>
      <c r="C1274" s="1" t="n">
        <v>45212</v>
      </c>
      <c r="D1274" t="inlineStr">
        <is>
          <t>VÄSTERNORRLANDS LÄN</t>
        </is>
      </c>
      <c r="E1274" t="inlineStr">
        <is>
          <t>TIMRÅ</t>
        </is>
      </c>
      <c r="G1274" t="n">
        <v>6.3</v>
      </c>
      <c r="H1274" t="n">
        <v>0</v>
      </c>
      <c r="I1274" t="n">
        <v>0</v>
      </c>
      <c r="J1274" t="n">
        <v>0</v>
      </c>
      <c r="K1274" t="n">
        <v>0</v>
      </c>
      <c r="L1274" t="n">
        <v>0</v>
      </c>
      <c r="M1274" t="n">
        <v>0</v>
      </c>
      <c r="N1274" t="n">
        <v>0</v>
      </c>
      <c r="O1274" t="n">
        <v>0</v>
      </c>
      <c r="P1274" t="n">
        <v>0</v>
      </c>
      <c r="Q1274" t="n">
        <v>0</v>
      </c>
      <c r="R1274" s="2" t="inlineStr"/>
    </row>
    <row r="1275" ht="15" customHeight="1">
      <c r="A1275" t="inlineStr">
        <is>
          <t>A 16857-2019</t>
        </is>
      </c>
      <c r="B1275" s="1" t="n">
        <v>43549</v>
      </c>
      <c r="C1275" s="1" t="n">
        <v>45212</v>
      </c>
      <c r="D1275" t="inlineStr">
        <is>
          <t>VÄSTERNORRLANDS LÄN</t>
        </is>
      </c>
      <c r="E1275" t="inlineStr">
        <is>
          <t>TIMRÅ</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16896-2019</t>
        </is>
      </c>
      <c r="B1276" s="1" t="n">
        <v>43549</v>
      </c>
      <c r="C1276" s="1" t="n">
        <v>45212</v>
      </c>
      <c r="D1276" t="inlineStr">
        <is>
          <t>VÄSTERNORRLANDS LÄN</t>
        </is>
      </c>
      <c r="E1276" t="inlineStr">
        <is>
          <t>ÖRNSKÖLDSVIK</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16735-2019</t>
        </is>
      </c>
      <c r="B1277" s="1" t="n">
        <v>43549</v>
      </c>
      <c r="C1277" s="1" t="n">
        <v>45212</v>
      </c>
      <c r="D1277" t="inlineStr">
        <is>
          <t>VÄSTERNORRLANDS LÄN</t>
        </is>
      </c>
      <c r="E1277" t="inlineStr">
        <is>
          <t>ÖRNSKÖLDSVIK</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16830-2019</t>
        </is>
      </c>
      <c r="B1278" s="1" t="n">
        <v>43549</v>
      </c>
      <c r="C1278" s="1" t="n">
        <v>45212</v>
      </c>
      <c r="D1278" t="inlineStr">
        <is>
          <t>VÄSTERNORRLANDS LÄN</t>
        </is>
      </c>
      <c r="E1278" t="inlineStr">
        <is>
          <t>HÄRNÖSAND</t>
        </is>
      </c>
      <c r="F1278" t="inlineStr">
        <is>
          <t>SCA</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16840-2019</t>
        </is>
      </c>
      <c r="B1279" s="1" t="n">
        <v>43549</v>
      </c>
      <c r="C1279" s="1" t="n">
        <v>45212</v>
      </c>
      <c r="D1279" t="inlineStr">
        <is>
          <t>VÄSTERNORRLANDS LÄN</t>
        </is>
      </c>
      <c r="E1279" t="inlineStr">
        <is>
          <t>SOLLEFTEÅ</t>
        </is>
      </c>
      <c r="F1279" t="inlineStr">
        <is>
          <t>SCA</t>
        </is>
      </c>
      <c r="G1279" t="n">
        <v>31.7</v>
      </c>
      <c r="H1279" t="n">
        <v>0</v>
      </c>
      <c r="I1279" t="n">
        <v>0</v>
      </c>
      <c r="J1279" t="n">
        <v>0</v>
      </c>
      <c r="K1279" t="n">
        <v>0</v>
      </c>
      <c r="L1279" t="n">
        <v>0</v>
      </c>
      <c r="M1279" t="n">
        <v>0</v>
      </c>
      <c r="N1279" t="n">
        <v>0</v>
      </c>
      <c r="O1279" t="n">
        <v>0</v>
      </c>
      <c r="P1279" t="n">
        <v>0</v>
      </c>
      <c r="Q1279" t="n">
        <v>0</v>
      </c>
      <c r="R1279" s="2" t="inlineStr"/>
    </row>
    <row r="1280" ht="15" customHeight="1">
      <c r="A1280" t="inlineStr">
        <is>
          <t>A 16891-2019</t>
        </is>
      </c>
      <c r="B1280" s="1" t="n">
        <v>43549</v>
      </c>
      <c r="C1280" s="1" t="n">
        <v>45212</v>
      </c>
      <c r="D1280" t="inlineStr">
        <is>
          <t>VÄSTERNORRLANDS LÄN</t>
        </is>
      </c>
      <c r="E1280" t="inlineStr">
        <is>
          <t>ÖRNSKÖLDSVIK</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16833-2019</t>
        </is>
      </c>
      <c r="B1281" s="1" t="n">
        <v>43549</v>
      </c>
      <c r="C1281" s="1" t="n">
        <v>45212</v>
      </c>
      <c r="D1281" t="inlineStr">
        <is>
          <t>VÄSTERNORRLANDS LÄN</t>
        </is>
      </c>
      <c r="E1281" t="inlineStr">
        <is>
          <t>SOLLEFTEÅ</t>
        </is>
      </c>
      <c r="F1281" t="inlineStr">
        <is>
          <t>SCA</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16847-2019</t>
        </is>
      </c>
      <c r="B1282" s="1" t="n">
        <v>43549</v>
      </c>
      <c r="C1282" s="1" t="n">
        <v>45212</v>
      </c>
      <c r="D1282" t="inlineStr">
        <is>
          <t>VÄSTERNORRLANDS LÄN</t>
        </is>
      </c>
      <c r="E1282" t="inlineStr">
        <is>
          <t>TIMRÅ</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16855-2019</t>
        </is>
      </c>
      <c r="B1283" s="1" t="n">
        <v>43549</v>
      </c>
      <c r="C1283" s="1" t="n">
        <v>45212</v>
      </c>
      <c r="D1283" t="inlineStr">
        <is>
          <t>VÄSTERNORRLANDS LÄN</t>
        </is>
      </c>
      <c r="E1283" t="inlineStr">
        <is>
          <t>TIMRÅ</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16895-2019</t>
        </is>
      </c>
      <c r="B1284" s="1" t="n">
        <v>43549</v>
      </c>
      <c r="C1284" s="1" t="n">
        <v>45212</v>
      </c>
      <c r="D1284" t="inlineStr">
        <is>
          <t>VÄSTERNORRLANDS LÄN</t>
        </is>
      </c>
      <c r="E1284" t="inlineStr">
        <is>
          <t>ÖRNSKÖLDSVIK</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16771-2019</t>
        </is>
      </c>
      <c r="B1285" s="1" t="n">
        <v>43549</v>
      </c>
      <c r="C1285" s="1" t="n">
        <v>45212</v>
      </c>
      <c r="D1285" t="inlineStr">
        <is>
          <t>VÄSTERNORRLANDS LÄN</t>
        </is>
      </c>
      <c r="E1285" t="inlineStr">
        <is>
          <t>ÖRNSKÖLDSVIK</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16825-2019</t>
        </is>
      </c>
      <c r="B1286" s="1" t="n">
        <v>43549</v>
      </c>
      <c r="C1286" s="1" t="n">
        <v>45212</v>
      </c>
      <c r="D1286" t="inlineStr">
        <is>
          <t>VÄSTERNORRLANDS LÄN</t>
        </is>
      </c>
      <c r="E1286" t="inlineStr">
        <is>
          <t>ÖRNSKÖLDSVIK</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16832-2019</t>
        </is>
      </c>
      <c r="B1287" s="1" t="n">
        <v>43549</v>
      </c>
      <c r="C1287" s="1" t="n">
        <v>45212</v>
      </c>
      <c r="D1287" t="inlineStr">
        <is>
          <t>VÄSTERNORRLANDS LÄN</t>
        </is>
      </c>
      <c r="E1287" t="inlineStr">
        <is>
          <t>SOLLEFTEÅ</t>
        </is>
      </c>
      <c r="F1287" t="inlineStr">
        <is>
          <t>SCA</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16845-2019</t>
        </is>
      </c>
      <c r="B1288" s="1" t="n">
        <v>43549</v>
      </c>
      <c r="C1288" s="1" t="n">
        <v>45212</v>
      </c>
      <c r="D1288" t="inlineStr">
        <is>
          <t>VÄSTERNORRLANDS LÄN</t>
        </is>
      </c>
      <c r="E1288" t="inlineStr">
        <is>
          <t>SUNDSVALL</t>
        </is>
      </c>
      <c r="F1288" t="inlineStr">
        <is>
          <t>SCA</t>
        </is>
      </c>
      <c r="G1288" t="n">
        <v>4.9</v>
      </c>
      <c r="H1288" t="n">
        <v>0</v>
      </c>
      <c r="I1288" t="n">
        <v>0</v>
      </c>
      <c r="J1288" t="n">
        <v>0</v>
      </c>
      <c r="K1288" t="n">
        <v>0</v>
      </c>
      <c r="L1288" t="n">
        <v>0</v>
      </c>
      <c r="M1288" t="n">
        <v>0</v>
      </c>
      <c r="N1288" t="n">
        <v>0</v>
      </c>
      <c r="O1288" t="n">
        <v>0</v>
      </c>
      <c r="P1288" t="n">
        <v>0</v>
      </c>
      <c r="Q1288" t="n">
        <v>0</v>
      </c>
      <c r="R1288" s="2" t="inlineStr"/>
    </row>
    <row r="1289" ht="15" customHeight="1">
      <c r="A1289" t="inlineStr">
        <is>
          <t>A 16889-2019</t>
        </is>
      </c>
      <c r="B1289" s="1" t="n">
        <v>43550</v>
      </c>
      <c r="C1289" s="1" t="n">
        <v>45212</v>
      </c>
      <c r="D1289" t="inlineStr">
        <is>
          <t>VÄSTERNORRLANDS LÄN</t>
        </is>
      </c>
      <c r="E1289" t="inlineStr">
        <is>
          <t>KRAMFORS</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16909-2019</t>
        </is>
      </c>
      <c r="B1290" s="1" t="n">
        <v>43550</v>
      </c>
      <c r="C1290" s="1" t="n">
        <v>45212</v>
      </c>
      <c r="D1290" t="inlineStr">
        <is>
          <t>VÄSTERNORRLANDS LÄN</t>
        </is>
      </c>
      <c r="E1290" t="inlineStr">
        <is>
          <t>KRAMFORS</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17268-2019</t>
        </is>
      </c>
      <c r="B1291" s="1" t="n">
        <v>43550</v>
      </c>
      <c r="C1291" s="1" t="n">
        <v>45212</v>
      </c>
      <c r="D1291" t="inlineStr">
        <is>
          <t>VÄSTERNORRLANDS LÄN</t>
        </is>
      </c>
      <c r="E1291" t="inlineStr">
        <is>
          <t>HÄRNÖSAND</t>
        </is>
      </c>
      <c r="G1291" t="n">
        <v>7</v>
      </c>
      <c r="H1291" t="n">
        <v>0</v>
      </c>
      <c r="I1291" t="n">
        <v>0</v>
      </c>
      <c r="J1291" t="n">
        <v>0</v>
      </c>
      <c r="K1291" t="n">
        <v>0</v>
      </c>
      <c r="L1291" t="n">
        <v>0</v>
      </c>
      <c r="M1291" t="n">
        <v>0</v>
      </c>
      <c r="N1291" t="n">
        <v>0</v>
      </c>
      <c r="O1291" t="n">
        <v>0</v>
      </c>
      <c r="P1291" t="n">
        <v>0</v>
      </c>
      <c r="Q1291" t="n">
        <v>0</v>
      </c>
      <c r="R1291" s="2" t="inlineStr"/>
    </row>
    <row r="1292" ht="15" customHeight="1">
      <c r="A1292" t="inlineStr">
        <is>
          <t>A 17098-2019</t>
        </is>
      </c>
      <c r="B1292" s="1" t="n">
        <v>43551</v>
      </c>
      <c r="C1292" s="1" t="n">
        <v>45212</v>
      </c>
      <c r="D1292" t="inlineStr">
        <is>
          <t>VÄSTERNORRLANDS LÄN</t>
        </is>
      </c>
      <c r="E1292" t="inlineStr">
        <is>
          <t>KRAMFORS</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17099-2019</t>
        </is>
      </c>
      <c r="B1293" s="1" t="n">
        <v>43551</v>
      </c>
      <c r="C1293" s="1" t="n">
        <v>45212</v>
      </c>
      <c r="D1293" t="inlineStr">
        <is>
          <t>VÄSTERNORRLANDS LÄN</t>
        </is>
      </c>
      <c r="E1293" t="inlineStr">
        <is>
          <t>KRAMFORS</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17188-2019</t>
        </is>
      </c>
      <c r="B1294" s="1" t="n">
        <v>43551</v>
      </c>
      <c r="C1294" s="1" t="n">
        <v>45212</v>
      </c>
      <c r="D1294" t="inlineStr">
        <is>
          <t>VÄSTERNORRLANDS LÄN</t>
        </is>
      </c>
      <c r="E1294" t="inlineStr">
        <is>
          <t>ÅNGE</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17195-2019</t>
        </is>
      </c>
      <c r="B1295" s="1" t="n">
        <v>43552</v>
      </c>
      <c r="C1295" s="1" t="n">
        <v>45212</v>
      </c>
      <c r="D1295" t="inlineStr">
        <is>
          <t>VÄSTERNORRLANDS LÄN</t>
        </is>
      </c>
      <c r="E1295" t="inlineStr">
        <is>
          <t>SUNDSVALL</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17405-2019</t>
        </is>
      </c>
      <c r="B1296" s="1" t="n">
        <v>43552</v>
      </c>
      <c r="C1296" s="1" t="n">
        <v>45212</v>
      </c>
      <c r="D1296" t="inlineStr">
        <is>
          <t>VÄSTERNORRLANDS LÄN</t>
        </is>
      </c>
      <c r="E1296" t="inlineStr">
        <is>
          <t>TIMRÅ</t>
        </is>
      </c>
      <c r="F1296" t="inlineStr">
        <is>
          <t>SCA</t>
        </is>
      </c>
      <c r="G1296" t="n">
        <v>41.9</v>
      </c>
      <c r="H1296" t="n">
        <v>0</v>
      </c>
      <c r="I1296" t="n">
        <v>0</v>
      </c>
      <c r="J1296" t="n">
        <v>0</v>
      </c>
      <c r="K1296" t="n">
        <v>0</v>
      </c>
      <c r="L1296" t="n">
        <v>0</v>
      </c>
      <c r="M1296" t="n">
        <v>0</v>
      </c>
      <c r="N1296" t="n">
        <v>0</v>
      </c>
      <c r="O1296" t="n">
        <v>0</v>
      </c>
      <c r="P1296" t="n">
        <v>0</v>
      </c>
      <c r="Q1296" t="n">
        <v>0</v>
      </c>
      <c r="R1296" s="2" t="inlineStr"/>
    </row>
    <row r="1297" ht="15" customHeight="1">
      <c r="A1297" t="inlineStr">
        <is>
          <t>A 17679-2019</t>
        </is>
      </c>
      <c r="B1297" s="1" t="n">
        <v>43552</v>
      </c>
      <c r="C1297" s="1" t="n">
        <v>45212</v>
      </c>
      <c r="D1297" t="inlineStr">
        <is>
          <t>VÄSTERNORRLANDS LÄN</t>
        </is>
      </c>
      <c r="E1297" t="inlineStr">
        <is>
          <t>ÖRNSKÖLDSVIK</t>
        </is>
      </c>
      <c r="G1297" t="n">
        <v>4.4</v>
      </c>
      <c r="H1297" t="n">
        <v>0</v>
      </c>
      <c r="I1297" t="n">
        <v>0</v>
      </c>
      <c r="J1297" t="n">
        <v>0</v>
      </c>
      <c r="K1297" t="n">
        <v>0</v>
      </c>
      <c r="L1297" t="n">
        <v>0</v>
      </c>
      <c r="M1297" t="n">
        <v>0</v>
      </c>
      <c r="N1297" t="n">
        <v>0</v>
      </c>
      <c r="O1297" t="n">
        <v>0</v>
      </c>
      <c r="P1297" t="n">
        <v>0</v>
      </c>
      <c r="Q1297" t="n">
        <v>0</v>
      </c>
      <c r="R1297" s="2" t="inlineStr"/>
    </row>
    <row r="1298" ht="15" customHeight="1">
      <c r="A1298" t="inlineStr">
        <is>
          <t>A 17803-2019</t>
        </is>
      </c>
      <c r="B1298" s="1" t="n">
        <v>43552</v>
      </c>
      <c r="C1298" s="1" t="n">
        <v>45212</v>
      </c>
      <c r="D1298" t="inlineStr">
        <is>
          <t>VÄSTERNORRLANDS LÄN</t>
        </is>
      </c>
      <c r="E1298" t="inlineStr">
        <is>
          <t>ÖRNSKÖLDSVIK</t>
        </is>
      </c>
      <c r="G1298" t="n">
        <v>6.8</v>
      </c>
      <c r="H1298" t="n">
        <v>0</v>
      </c>
      <c r="I1298" t="n">
        <v>0</v>
      </c>
      <c r="J1298" t="n">
        <v>0</v>
      </c>
      <c r="K1298" t="n">
        <v>0</v>
      </c>
      <c r="L1298" t="n">
        <v>0</v>
      </c>
      <c r="M1298" t="n">
        <v>0</v>
      </c>
      <c r="N1298" t="n">
        <v>0</v>
      </c>
      <c r="O1298" t="n">
        <v>0</v>
      </c>
      <c r="P1298" t="n">
        <v>0</v>
      </c>
      <c r="Q1298" t="n">
        <v>0</v>
      </c>
      <c r="R1298" s="2" t="inlineStr"/>
    </row>
    <row r="1299" ht="15" customHeight="1">
      <c r="A1299" t="inlineStr">
        <is>
          <t>A 17192-2019</t>
        </is>
      </c>
      <c r="B1299" s="1" t="n">
        <v>43552</v>
      </c>
      <c r="C1299" s="1" t="n">
        <v>45212</v>
      </c>
      <c r="D1299" t="inlineStr">
        <is>
          <t>VÄSTERNORRLANDS LÄN</t>
        </is>
      </c>
      <c r="E1299" t="inlineStr">
        <is>
          <t>SUNDSVALL</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17357-2019</t>
        </is>
      </c>
      <c r="B1300" s="1" t="n">
        <v>43552</v>
      </c>
      <c r="C1300" s="1" t="n">
        <v>45212</v>
      </c>
      <c r="D1300" t="inlineStr">
        <is>
          <t>VÄSTERNORRLANDS LÄN</t>
        </is>
      </c>
      <c r="E1300" t="inlineStr">
        <is>
          <t>ÅNGE</t>
        </is>
      </c>
      <c r="G1300" t="n">
        <v>6.5</v>
      </c>
      <c r="H1300" t="n">
        <v>0</v>
      </c>
      <c r="I1300" t="n">
        <v>0</v>
      </c>
      <c r="J1300" t="n">
        <v>0</v>
      </c>
      <c r="K1300" t="n">
        <v>0</v>
      </c>
      <c r="L1300" t="n">
        <v>0</v>
      </c>
      <c r="M1300" t="n">
        <v>0</v>
      </c>
      <c r="N1300" t="n">
        <v>0</v>
      </c>
      <c r="O1300" t="n">
        <v>0</v>
      </c>
      <c r="P1300" t="n">
        <v>0</v>
      </c>
      <c r="Q1300" t="n">
        <v>0</v>
      </c>
      <c r="R1300" s="2" t="inlineStr"/>
    </row>
    <row r="1301" ht="15" customHeight="1">
      <c r="A1301" t="inlineStr">
        <is>
          <t>A 17722-2019</t>
        </is>
      </c>
      <c r="B1301" s="1" t="n">
        <v>43552</v>
      </c>
      <c r="C1301" s="1" t="n">
        <v>45212</v>
      </c>
      <c r="D1301" t="inlineStr">
        <is>
          <t>VÄSTERNORRLANDS LÄN</t>
        </is>
      </c>
      <c r="E1301" t="inlineStr">
        <is>
          <t>ÖRNSKÖLDSVIK</t>
        </is>
      </c>
      <c r="G1301" t="n">
        <v>9.199999999999999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17278-2019</t>
        </is>
      </c>
      <c r="B1302" s="1" t="n">
        <v>43552</v>
      </c>
      <c r="C1302" s="1" t="n">
        <v>45212</v>
      </c>
      <c r="D1302" t="inlineStr">
        <is>
          <t>VÄSTERNORRLANDS LÄN</t>
        </is>
      </c>
      <c r="E1302" t="inlineStr">
        <is>
          <t>ÅNGE</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17774-2019</t>
        </is>
      </c>
      <c r="B1303" s="1" t="n">
        <v>43552</v>
      </c>
      <c r="C1303" s="1" t="n">
        <v>45212</v>
      </c>
      <c r="D1303" t="inlineStr">
        <is>
          <t>VÄSTERNORRLANDS LÄN</t>
        </is>
      </c>
      <c r="E1303" t="inlineStr">
        <is>
          <t>ÖRNSKÖLDSVIK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17281-2019</t>
        </is>
      </c>
      <c r="B1304" s="1" t="n">
        <v>43552</v>
      </c>
      <c r="C1304" s="1" t="n">
        <v>45212</v>
      </c>
      <c r="D1304" t="inlineStr">
        <is>
          <t>VÄSTERNORRLANDS LÄN</t>
        </is>
      </c>
      <c r="E1304" t="inlineStr">
        <is>
          <t>ÅNGE</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17670-2019</t>
        </is>
      </c>
      <c r="B1305" s="1" t="n">
        <v>43552</v>
      </c>
      <c r="C1305" s="1" t="n">
        <v>45212</v>
      </c>
      <c r="D1305" t="inlineStr">
        <is>
          <t>VÄSTERNORRLANDS LÄN</t>
        </is>
      </c>
      <c r="E1305" t="inlineStr">
        <is>
          <t>SOLLEFTEÅ</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17543-2019</t>
        </is>
      </c>
      <c r="B1306" s="1" t="n">
        <v>43553</v>
      </c>
      <c r="C1306" s="1" t="n">
        <v>45212</v>
      </c>
      <c r="D1306" t="inlineStr">
        <is>
          <t>VÄSTERNORRLANDS LÄN</t>
        </is>
      </c>
      <c r="E1306" t="inlineStr">
        <is>
          <t>ÖRNSKÖLDSVIK</t>
        </is>
      </c>
      <c r="G1306" t="n">
        <v>8.800000000000001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17592-2019</t>
        </is>
      </c>
      <c r="B1307" s="1" t="n">
        <v>43553</v>
      </c>
      <c r="C1307" s="1" t="n">
        <v>45212</v>
      </c>
      <c r="D1307" t="inlineStr">
        <is>
          <t>VÄSTERNORRLANDS LÄN</t>
        </is>
      </c>
      <c r="E1307" t="inlineStr">
        <is>
          <t>TIMRÅ</t>
        </is>
      </c>
      <c r="G1307" t="n">
        <v>7.2</v>
      </c>
      <c r="H1307" t="n">
        <v>0</v>
      </c>
      <c r="I1307" t="n">
        <v>0</v>
      </c>
      <c r="J1307" t="n">
        <v>0</v>
      </c>
      <c r="K1307" t="n">
        <v>0</v>
      </c>
      <c r="L1307" t="n">
        <v>0</v>
      </c>
      <c r="M1307" t="n">
        <v>0</v>
      </c>
      <c r="N1307" t="n">
        <v>0</v>
      </c>
      <c r="O1307" t="n">
        <v>0</v>
      </c>
      <c r="P1307" t="n">
        <v>0</v>
      </c>
      <c r="Q1307" t="n">
        <v>0</v>
      </c>
      <c r="R1307" s="2" t="inlineStr"/>
    </row>
    <row r="1308" ht="15" customHeight="1">
      <c r="A1308" t="inlineStr">
        <is>
          <t>A 17537-2019</t>
        </is>
      </c>
      <c r="B1308" s="1" t="n">
        <v>43553</v>
      </c>
      <c r="C1308" s="1" t="n">
        <v>45212</v>
      </c>
      <c r="D1308" t="inlineStr">
        <is>
          <t>VÄSTERNORRLANDS LÄN</t>
        </is>
      </c>
      <c r="E1308" t="inlineStr">
        <is>
          <t>SUNDSVALL</t>
        </is>
      </c>
      <c r="F1308" t="inlineStr">
        <is>
          <t>Kommuner</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17587-2019</t>
        </is>
      </c>
      <c r="B1309" s="1" t="n">
        <v>43553</v>
      </c>
      <c r="C1309" s="1" t="n">
        <v>45212</v>
      </c>
      <c r="D1309" t="inlineStr">
        <is>
          <t>VÄSTERNORRLANDS LÄN</t>
        </is>
      </c>
      <c r="E1309" t="inlineStr">
        <is>
          <t>ÅNGE</t>
        </is>
      </c>
      <c r="F1309" t="inlineStr">
        <is>
          <t>SCA</t>
        </is>
      </c>
      <c r="G1309" t="n">
        <v>3.1</v>
      </c>
      <c r="H1309" t="n">
        <v>0</v>
      </c>
      <c r="I1309" t="n">
        <v>0</v>
      </c>
      <c r="J1309" t="n">
        <v>0</v>
      </c>
      <c r="K1309" t="n">
        <v>0</v>
      </c>
      <c r="L1309" t="n">
        <v>0</v>
      </c>
      <c r="M1309" t="n">
        <v>0</v>
      </c>
      <c r="N1309" t="n">
        <v>0</v>
      </c>
      <c r="O1309" t="n">
        <v>0</v>
      </c>
      <c r="P1309" t="n">
        <v>0</v>
      </c>
      <c r="Q1309" t="n">
        <v>0</v>
      </c>
      <c r="R1309" s="2" t="inlineStr"/>
    </row>
    <row r="1310" ht="15" customHeight="1">
      <c r="A1310" t="inlineStr">
        <is>
          <t>A 17588-2019</t>
        </is>
      </c>
      <c r="B1310" s="1" t="n">
        <v>43553</v>
      </c>
      <c r="C1310" s="1" t="n">
        <v>45212</v>
      </c>
      <c r="D1310" t="inlineStr">
        <is>
          <t>VÄSTERNORRLANDS LÄN</t>
        </is>
      </c>
      <c r="E1310" t="inlineStr">
        <is>
          <t>ÅNGE</t>
        </is>
      </c>
      <c r="F1310" t="inlineStr">
        <is>
          <t>SCA</t>
        </is>
      </c>
      <c r="G1310" t="n">
        <v>11.6</v>
      </c>
      <c r="H1310" t="n">
        <v>0</v>
      </c>
      <c r="I1310" t="n">
        <v>0</v>
      </c>
      <c r="J1310" t="n">
        <v>0</v>
      </c>
      <c r="K1310" t="n">
        <v>0</v>
      </c>
      <c r="L1310" t="n">
        <v>0</v>
      </c>
      <c r="M1310" t="n">
        <v>0</v>
      </c>
      <c r="N1310" t="n">
        <v>0</v>
      </c>
      <c r="O1310" t="n">
        <v>0</v>
      </c>
      <c r="P1310" t="n">
        <v>0</v>
      </c>
      <c r="Q1310" t="n">
        <v>0</v>
      </c>
      <c r="R1310" s="2" t="inlineStr"/>
    </row>
    <row r="1311" ht="15" customHeight="1">
      <c r="A1311" t="inlineStr">
        <is>
          <t>A 17513-2019</t>
        </is>
      </c>
      <c r="B1311" s="1" t="n">
        <v>43553</v>
      </c>
      <c r="C1311" s="1" t="n">
        <v>45212</v>
      </c>
      <c r="D1311" t="inlineStr">
        <is>
          <t>VÄSTERNORRLANDS LÄN</t>
        </is>
      </c>
      <c r="E1311" t="inlineStr">
        <is>
          <t>ÅNGE</t>
        </is>
      </c>
      <c r="G1311" t="n">
        <v>9.199999999999999</v>
      </c>
      <c r="H1311" t="n">
        <v>0</v>
      </c>
      <c r="I1311" t="n">
        <v>0</v>
      </c>
      <c r="J1311" t="n">
        <v>0</v>
      </c>
      <c r="K1311" t="n">
        <v>0</v>
      </c>
      <c r="L1311" t="n">
        <v>0</v>
      </c>
      <c r="M1311" t="n">
        <v>0</v>
      </c>
      <c r="N1311" t="n">
        <v>0</v>
      </c>
      <c r="O1311" t="n">
        <v>0</v>
      </c>
      <c r="P1311" t="n">
        <v>0</v>
      </c>
      <c r="Q1311" t="n">
        <v>0</v>
      </c>
      <c r="R1311" s="2" t="inlineStr"/>
    </row>
    <row r="1312" ht="15" customHeight="1">
      <c r="A1312" t="inlineStr">
        <is>
          <t>A 17742-2019</t>
        </is>
      </c>
      <c r="B1312" s="1" t="n">
        <v>43556</v>
      </c>
      <c r="C1312" s="1" t="n">
        <v>45212</v>
      </c>
      <c r="D1312" t="inlineStr">
        <is>
          <t>VÄSTERNORRLANDS LÄN</t>
        </is>
      </c>
      <c r="E1312" t="inlineStr">
        <is>
          <t>ÖRNSKÖLDSVIK</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17858-2019</t>
        </is>
      </c>
      <c r="B1313" s="1" t="n">
        <v>43556</v>
      </c>
      <c r="C1313" s="1" t="n">
        <v>45212</v>
      </c>
      <c r="D1313" t="inlineStr">
        <is>
          <t>VÄSTERNORRLANDS LÄN</t>
        </is>
      </c>
      <c r="E1313" t="inlineStr">
        <is>
          <t>TIMRÅ</t>
        </is>
      </c>
      <c r="F1313" t="inlineStr">
        <is>
          <t>SCA</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18171-2019</t>
        </is>
      </c>
      <c r="B1314" s="1" t="n">
        <v>43556</v>
      </c>
      <c r="C1314" s="1" t="n">
        <v>45212</v>
      </c>
      <c r="D1314" t="inlineStr">
        <is>
          <t>VÄSTERNORRLANDS LÄN</t>
        </is>
      </c>
      <c r="E1314" t="inlineStr">
        <is>
          <t>ÖRNSKÖLDSVIK</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17764-2019</t>
        </is>
      </c>
      <c r="B1315" s="1" t="n">
        <v>43556</v>
      </c>
      <c r="C1315" s="1" t="n">
        <v>45212</v>
      </c>
      <c r="D1315" t="inlineStr">
        <is>
          <t>VÄSTERNORRLANDS LÄN</t>
        </is>
      </c>
      <c r="E1315" t="inlineStr">
        <is>
          <t>ÅNGE</t>
        </is>
      </c>
      <c r="F1315" t="inlineStr">
        <is>
          <t>Kyrkan</t>
        </is>
      </c>
      <c r="G1315" t="n">
        <v>20.7</v>
      </c>
      <c r="H1315" t="n">
        <v>0</v>
      </c>
      <c r="I1315" t="n">
        <v>0</v>
      </c>
      <c r="J1315" t="n">
        <v>0</v>
      </c>
      <c r="K1315" t="n">
        <v>0</v>
      </c>
      <c r="L1315" t="n">
        <v>0</v>
      </c>
      <c r="M1315" t="n">
        <v>0</v>
      </c>
      <c r="N1315" t="n">
        <v>0</v>
      </c>
      <c r="O1315" t="n">
        <v>0</v>
      </c>
      <c r="P1315" t="n">
        <v>0</v>
      </c>
      <c r="Q1315" t="n">
        <v>0</v>
      </c>
      <c r="R1315" s="2" t="inlineStr"/>
    </row>
    <row r="1316" ht="15" customHeight="1">
      <c r="A1316" t="inlineStr">
        <is>
          <t>A 17854-2019</t>
        </is>
      </c>
      <c r="B1316" s="1" t="n">
        <v>43556</v>
      </c>
      <c r="C1316" s="1" t="n">
        <v>45212</v>
      </c>
      <c r="D1316" t="inlineStr">
        <is>
          <t>VÄSTERNORRLANDS LÄN</t>
        </is>
      </c>
      <c r="E1316" t="inlineStr">
        <is>
          <t>ÅNGE</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17857-2019</t>
        </is>
      </c>
      <c r="B1317" s="1" t="n">
        <v>43556</v>
      </c>
      <c r="C1317" s="1" t="n">
        <v>45212</v>
      </c>
      <c r="D1317" t="inlineStr">
        <is>
          <t>VÄSTERNORRLANDS LÄN</t>
        </is>
      </c>
      <c r="E1317" t="inlineStr">
        <is>
          <t>ÅNGE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18019-2019</t>
        </is>
      </c>
      <c r="B1318" s="1" t="n">
        <v>43556</v>
      </c>
      <c r="C1318" s="1" t="n">
        <v>45212</v>
      </c>
      <c r="D1318" t="inlineStr">
        <is>
          <t>VÄSTERNORRLANDS LÄN</t>
        </is>
      </c>
      <c r="E1318" t="inlineStr">
        <is>
          <t>ÖRNSKÖLDSVIK</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18069-2019</t>
        </is>
      </c>
      <c r="B1319" s="1" t="n">
        <v>43557</v>
      </c>
      <c r="C1319" s="1" t="n">
        <v>45212</v>
      </c>
      <c r="D1319" t="inlineStr">
        <is>
          <t>VÄSTERNORRLANDS LÄN</t>
        </is>
      </c>
      <c r="E1319" t="inlineStr">
        <is>
          <t>ÅNGE</t>
        </is>
      </c>
      <c r="F1319" t="inlineStr">
        <is>
          <t>SCA</t>
        </is>
      </c>
      <c r="G1319" t="n">
        <v>21.2</v>
      </c>
      <c r="H1319" t="n">
        <v>0</v>
      </c>
      <c r="I1319" t="n">
        <v>0</v>
      </c>
      <c r="J1319" t="n">
        <v>0</v>
      </c>
      <c r="K1319" t="n">
        <v>0</v>
      </c>
      <c r="L1319" t="n">
        <v>0</v>
      </c>
      <c r="M1319" t="n">
        <v>0</v>
      </c>
      <c r="N1319" t="n">
        <v>0</v>
      </c>
      <c r="O1319" t="n">
        <v>0</v>
      </c>
      <c r="P1319" t="n">
        <v>0</v>
      </c>
      <c r="Q1319" t="n">
        <v>0</v>
      </c>
      <c r="R1319" s="2" t="inlineStr"/>
    </row>
    <row r="1320" ht="15" customHeight="1">
      <c r="A1320" t="inlineStr">
        <is>
          <t>A 18026-2019</t>
        </is>
      </c>
      <c r="B1320" s="1" t="n">
        <v>43557</v>
      </c>
      <c r="C1320" s="1" t="n">
        <v>45212</v>
      </c>
      <c r="D1320" t="inlineStr">
        <is>
          <t>VÄSTERNORRLANDS LÄN</t>
        </is>
      </c>
      <c r="E1320" t="inlineStr">
        <is>
          <t>ÖRNSKÖLDSVIK</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18277-2019</t>
        </is>
      </c>
      <c r="B1321" s="1" t="n">
        <v>43557</v>
      </c>
      <c r="C1321" s="1" t="n">
        <v>45212</v>
      </c>
      <c r="D1321" t="inlineStr">
        <is>
          <t>VÄSTERNORRLANDS LÄN</t>
        </is>
      </c>
      <c r="E1321" t="inlineStr">
        <is>
          <t>SOLLEFTEÅ</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18070-2019</t>
        </is>
      </c>
      <c r="B1322" s="1" t="n">
        <v>43557</v>
      </c>
      <c r="C1322" s="1" t="n">
        <v>45212</v>
      </c>
      <c r="D1322" t="inlineStr">
        <is>
          <t>VÄSTERNORRLANDS LÄN</t>
        </is>
      </c>
      <c r="E1322" t="inlineStr">
        <is>
          <t>SUNDSVALL</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18198-2019</t>
        </is>
      </c>
      <c r="B1323" s="1" t="n">
        <v>43558</v>
      </c>
      <c r="C1323" s="1" t="n">
        <v>45212</v>
      </c>
      <c r="D1323" t="inlineStr">
        <is>
          <t>VÄSTERNORRLANDS LÄN</t>
        </is>
      </c>
      <c r="E1323" t="inlineStr">
        <is>
          <t>SUNDSVALL</t>
        </is>
      </c>
      <c r="F1323" t="inlineStr">
        <is>
          <t>Holmen skog AB</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18304-2019</t>
        </is>
      </c>
      <c r="B1324" s="1" t="n">
        <v>43558</v>
      </c>
      <c r="C1324" s="1" t="n">
        <v>45212</v>
      </c>
      <c r="D1324" t="inlineStr">
        <is>
          <t>VÄSTERNORRLANDS LÄN</t>
        </is>
      </c>
      <c r="E1324" t="inlineStr">
        <is>
          <t>ÅNGE</t>
        </is>
      </c>
      <c r="F1324" t="inlineStr">
        <is>
          <t>SCA</t>
        </is>
      </c>
      <c r="G1324" t="n">
        <v>7.9</v>
      </c>
      <c r="H1324" t="n">
        <v>0</v>
      </c>
      <c r="I1324" t="n">
        <v>0</v>
      </c>
      <c r="J1324" t="n">
        <v>0</v>
      </c>
      <c r="K1324" t="n">
        <v>0</v>
      </c>
      <c r="L1324" t="n">
        <v>0</v>
      </c>
      <c r="M1324" t="n">
        <v>0</v>
      </c>
      <c r="N1324" t="n">
        <v>0</v>
      </c>
      <c r="O1324" t="n">
        <v>0</v>
      </c>
      <c r="P1324" t="n">
        <v>0</v>
      </c>
      <c r="Q1324" t="n">
        <v>0</v>
      </c>
      <c r="R1324" s="2" t="inlineStr"/>
    </row>
    <row r="1325" ht="15" customHeight="1">
      <c r="A1325" t="inlineStr">
        <is>
          <t>A 18578-2019</t>
        </is>
      </c>
      <c r="B1325" s="1" t="n">
        <v>43558</v>
      </c>
      <c r="C1325" s="1" t="n">
        <v>45212</v>
      </c>
      <c r="D1325" t="inlineStr">
        <is>
          <t>VÄSTERNORRLANDS LÄN</t>
        </is>
      </c>
      <c r="E1325" t="inlineStr">
        <is>
          <t>SOLLEFTEÅ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18452-2019</t>
        </is>
      </c>
      <c r="B1326" s="1" t="n">
        <v>43559</v>
      </c>
      <c r="C1326" s="1" t="n">
        <v>45212</v>
      </c>
      <c r="D1326" t="inlineStr">
        <is>
          <t>VÄSTERNORRLANDS LÄN</t>
        </is>
      </c>
      <c r="E1326" t="inlineStr">
        <is>
          <t>SOLLEFTEÅ</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18703-2019</t>
        </is>
      </c>
      <c r="B1327" s="1" t="n">
        <v>43559</v>
      </c>
      <c r="C1327" s="1" t="n">
        <v>45212</v>
      </c>
      <c r="D1327" t="inlineStr">
        <is>
          <t>VÄSTERNORRLANDS LÄN</t>
        </is>
      </c>
      <c r="E1327" t="inlineStr">
        <is>
          <t>TIMRÅ</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18687-2019</t>
        </is>
      </c>
      <c r="B1328" s="1" t="n">
        <v>43559</v>
      </c>
      <c r="C1328" s="1" t="n">
        <v>45212</v>
      </c>
      <c r="D1328" t="inlineStr">
        <is>
          <t>VÄSTERNORRLANDS LÄN</t>
        </is>
      </c>
      <c r="E1328" t="inlineStr">
        <is>
          <t>ÖRNSKÖLDSVIK</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18683-2019</t>
        </is>
      </c>
      <c r="B1329" s="1" t="n">
        <v>43559</v>
      </c>
      <c r="C1329" s="1" t="n">
        <v>45212</v>
      </c>
      <c r="D1329" t="inlineStr">
        <is>
          <t>VÄSTERNORRLANDS LÄN</t>
        </is>
      </c>
      <c r="E1329" t="inlineStr">
        <is>
          <t>ÖRNSKÖLDSVIK</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18643-2019</t>
        </is>
      </c>
      <c r="B1330" s="1" t="n">
        <v>43560</v>
      </c>
      <c r="C1330" s="1" t="n">
        <v>45212</v>
      </c>
      <c r="D1330" t="inlineStr">
        <is>
          <t>VÄSTERNORRLANDS LÄN</t>
        </is>
      </c>
      <c r="E1330" t="inlineStr">
        <is>
          <t>ÖRNSKÖLDSVIK</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18720-2019</t>
        </is>
      </c>
      <c r="B1331" s="1" t="n">
        <v>43560</v>
      </c>
      <c r="C1331" s="1" t="n">
        <v>45212</v>
      </c>
      <c r="D1331" t="inlineStr">
        <is>
          <t>VÄSTERNORRLANDS LÄN</t>
        </is>
      </c>
      <c r="E1331" t="inlineStr">
        <is>
          <t>HÄRNÖSAND</t>
        </is>
      </c>
      <c r="G1331" t="n">
        <v>9.5</v>
      </c>
      <c r="H1331" t="n">
        <v>0</v>
      </c>
      <c r="I1331" t="n">
        <v>0</v>
      </c>
      <c r="J1331" t="n">
        <v>0</v>
      </c>
      <c r="K1331" t="n">
        <v>0</v>
      </c>
      <c r="L1331" t="n">
        <v>0</v>
      </c>
      <c r="M1331" t="n">
        <v>0</v>
      </c>
      <c r="N1331" t="n">
        <v>0</v>
      </c>
      <c r="O1331" t="n">
        <v>0</v>
      </c>
      <c r="P1331" t="n">
        <v>0</v>
      </c>
      <c r="Q1331" t="n">
        <v>0</v>
      </c>
      <c r="R1331" s="2" t="inlineStr"/>
    </row>
    <row r="1332" ht="15" customHeight="1">
      <c r="A1332" t="inlineStr">
        <is>
          <t>A 18745-2019</t>
        </is>
      </c>
      <c r="B1332" s="1" t="n">
        <v>43560</v>
      </c>
      <c r="C1332" s="1" t="n">
        <v>45212</v>
      </c>
      <c r="D1332" t="inlineStr">
        <is>
          <t>VÄSTERNORRLANDS LÄN</t>
        </is>
      </c>
      <c r="E1332" t="inlineStr">
        <is>
          <t>SUNDSVALL</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18789-2019</t>
        </is>
      </c>
      <c r="B1333" s="1" t="n">
        <v>43562</v>
      </c>
      <c r="C1333" s="1" t="n">
        <v>45212</v>
      </c>
      <c r="D1333" t="inlineStr">
        <is>
          <t>VÄSTERNORRLANDS LÄN</t>
        </is>
      </c>
      <c r="E1333" t="inlineStr">
        <is>
          <t>ÖRNSKÖLDSVIK</t>
        </is>
      </c>
      <c r="G1333" t="n">
        <v>7.8</v>
      </c>
      <c r="H1333" t="n">
        <v>0</v>
      </c>
      <c r="I1333" t="n">
        <v>0</v>
      </c>
      <c r="J1333" t="n">
        <v>0</v>
      </c>
      <c r="K1333" t="n">
        <v>0</v>
      </c>
      <c r="L1333" t="n">
        <v>0</v>
      </c>
      <c r="M1333" t="n">
        <v>0</v>
      </c>
      <c r="N1333" t="n">
        <v>0</v>
      </c>
      <c r="O1333" t="n">
        <v>0</v>
      </c>
      <c r="P1333" t="n">
        <v>0</v>
      </c>
      <c r="Q1333" t="n">
        <v>0</v>
      </c>
      <c r="R1333" s="2" t="inlineStr"/>
    </row>
    <row r="1334" ht="15" customHeight="1">
      <c r="A1334" t="inlineStr">
        <is>
          <t>A 18925-2019</t>
        </is>
      </c>
      <c r="B1334" s="1" t="n">
        <v>43563</v>
      </c>
      <c r="C1334" s="1" t="n">
        <v>45212</v>
      </c>
      <c r="D1334" t="inlineStr">
        <is>
          <t>VÄSTERNORRLANDS LÄN</t>
        </is>
      </c>
      <c r="E1334" t="inlineStr">
        <is>
          <t>SOLLEFTEÅ</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19008-2019</t>
        </is>
      </c>
      <c r="B1335" s="1" t="n">
        <v>43563</v>
      </c>
      <c r="C1335" s="1" t="n">
        <v>45212</v>
      </c>
      <c r="D1335" t="inlineStr">
        <is>
          <t>VÄSTERNORRLANDS LÄN</t>
        </is>
      </c>
      <c r="E1335" t="inlineStr">
        <is>
          <t>ÅNGE</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18842-2019</t>
        </is>
      </c>
      <c r="B1336" s="1" t="n">
        <v>43563</v>
      </c>
      <c r="C1336" s="1" t="n">
        <v>45212</v>
      </c>
      <c r="D1336" t="inlineStr">
        <is>
          <t>VÄSTERNORRLANDS LÄN</t>
        </is>
      </c>
      <c r="E1336" t="inlineStr">
        <is>
          <t>KRAMFORS</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19270-2019</t>
        </is>
      </c>
      <c r="B1337" s="1" t="n">
        <v>43564</v>
      </c>
      <c r="C1337" s="1" t="n">
        <v>45212</v>
      </c>
      <c r="D1337" t="inlineStr">
        <is>
          <t>VÄSTERNORRLANDS LÄN</t>
        </is>
      </c>
      <c r="E1337" t="inlineStr">
        <is>
          <t>ÅNGE</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19274-2019</t>
        </is>
      </c>
      <c r="B1338" s="1" t="n">
        <v>43564</v>
      </c>
      <c r="C1338" s="1" t="n">
        <v>45212</v>
      </c>
      <c r="D1338" t="inlineStr">
        <is>
          <t>VÄSTERNORRLANDS LÄN</t>
        </is>
      </c>
      <c r="E1338" t="inlineStr">
        <is>
          <t>ÅNGE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19123-2019</t>
        </is>
      </c>
      <c r="B1339" s="1" t="n">
        <v>43564</v>
      </c>
      <c r="C1339" s="1" t="n">
        <v>45212</v>
      </c>
      <c r="D1339" t="inlineStr">
        <is>
          <t>VÄSTERNORRLANDS LÄN</t>
        </is>
      </c>
      <c r="E1339" t="inlineStr">
        <is>
          <t>SOLLEFTEÅ</t>
        </is>
      </c>
      <c r="G1339" t="n">
        <v>9.4</v>
      </c>
      <c r="H1339" t="n">
        <v>0</v>
      </c>
      <c r="I1339" t="n">
        <v>0</v>
      </c>
      <c r="J1339" t="n">
        <v>0</v>
      </c>
      <c r="K1339" t="n">
        <v>0</v>
      </c>
      <c r="L1339" t="n">
        <v>0</v>
      </c>
      <c r="M1339" t="n">
        <v>0</v>
      </c>
      <c r="N1339" t="n">
        <v>0</v>
      </c>
      <c r="O1339" t="n">
        <v>0</v>
      </c>
      <c r="P1339" t="n">
        <v>0</v>
      </c>
      <c r="Q1339" t="n">
        <v>0</v>
      </c>
      <c r="R1339" s="2" t="inlineStr"/>
    </row>
    <row r="1340" ht="15" customHeight="1">
      <c r="A1340" t="inlineStr">
        <is>
          <t>A 19254-2019</t>
        </is>
      </c>
      <c r="B1340" s="1" t="n">
        <v>43564</v>
      </c>
      <c r="C1340" s="1" t="n">
        <v>45212</v>
      </c>
      <c r="D1340" t="inlineStr">
        <is>
          <t>VÄSTERNORRLANDS LÄN</t>
        </is>
      </c>
      <c r="E1340" t="inlineStr">
        <is>
          <t>KRAMFORS</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19266-2019</t>
        </is>
      </c>
      <c r="B1341" s="1" t="n">
        <v>43564</v>
      </c>
      <c r="C1341" s="1" t="n">
        <v>45212</v>
      </c>
      <c r="D1341" t="inlineStr">
        <is>
          <t>VÄSTERNORRLANDS LÄN</t>
        </is>
      </c>
      <c r="E1341" t="inlineStr">
        <is>
          <t>ÅNGE</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19219-2019</t>
        </is>
      </c>
      <c r="B1342" s="1" t="n">
        <v>43564</v>
      </c>
      <c r="C1342" s="1" t="n">
        <v>45212</v>
      </c>
      <c r="D1342" t="inlineStr">
        <is>
          <t>VÄSTERNORRLANDS LÄN</t>
        </is>
      </c>
      <c r="E1342" t="inlineStr">
        <is>
          <t>SOLLEFTEÅ</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19273-2019</t>
        </is>
      </c>
      <c r="B1343" s="1" t="n">
        <v>43564</v>
      </c>
      <c r="C1343" s="1" t="n">
        <v>45212</v>
      </c>
      <c r="D1343" t="inlineStr">
        <is>
          <t>VÄSTERNORRLANDS LÄN</t>
        </is>
      </c>
      <c r="E1343" t="inlineStr">
        <is>
          <t>ÅNGE</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19341-2019</t>
        </is>
      </c>
      <c r="B1344" s="1" t="n">
        <v>43564</v>
      </c>
      <c r="C1344" s="1" t="n">
        <v>45212</v>
      </c>
      <c r="D1344" t="inlineStr">
        <is>
          <t>VÄSTERNORRLANDS LÄN</t>
        </is>
      </c>
      <c r="E1344" t="inlineStr">
        <is>
          <t>KRAMFORS</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19544-2019</t>
        </is>
      </c>
      <c r="B1345" s="1" t="n">
        <v>43565</v>
      </c>
      <c r="C1345" s="1" t="n">
        <v>45212</v>
      </c>
      <c r="D1345" t="inlineStr">
        <is>
          <t>VÄSTERNORRLANDS LÄN</t>
        </is>
      </c>
      <c r="E1345" t="inlineStr">
        <is>
          <t>SUNDSVALL</t>
        </is>
      </c>
      <c r="F1345" t="inlineStr">
        <is>
          <t>SCA</t>
        </is>
      </c>
      <c r="G1345" t="n">
        <v>21.4</v>
      </c>
      <c r="H1345" t="n">
        <v>0</v>
      </c>
      <c r="I1345" t="n">
        <v>0</v>
      </c>
      <c r="J1345" t="n">
        <v>0</v>
      </c>
      <c r="K1345" t="n">
        <v>0</v>
      </c>
      <c r="L1345" t="n">
        <v>0</v>
      </c>
      <c r="M1345" t="n">
        <v>0</v>
      </c>
      <c r="N1345" t="n">
        <v>0</v>
      </c>
      <c r="O1345" t="n">
        <v>0</v>
      </c>
      <c r="P1345" t="n">
        <v>0</v>
      </c>
      <c r="Q1345" t="n">
        <v>0</v>
      </c>
      <c r="R1345" s="2" t="inlineStr"/>
    </row>
    <row r="1346" ht="15" customHeight="1">
      <c r="A1346" t="inlineStr">
        <is>
          <t>A 19551-2019</t>
        </is>
      </c>
      <c r="B1346" s="1" t="n">
        <v>43565</v>
      </c>
      <c r="C1346" s="1" t="n">
        <v>45212</v>
      </c>
      <c r="D1346" t="inlineStr">
        <is>
          <t>VÄSTERNORRLANDS LÄN</t>
        </is>
      </c>
      <c r="E1346" t="inlineStr">
        <is>
          <t>SUNDSVALL</t>
        </is>
      </c>
      <c r="G1346" t="n">
        <v>4.4</v>
      </c>
      <c r="H1346" t="n">
        <v>0</v>
      </c>
      <c r="I1346" t="n">
        <v>0</v>
      </c>
      <c r="J1346" t="n">
        <v>0</v>
      </c>
      <c r="K1346" t="n">
        <v>0</v>
      </c>
      <c r="L1346" t="n">
        <v>0</v>
      </c>
      <c r="M1346" t="n">
        <v>0</v>
      </c>
      <c r="N1346" t="n">
        <v>0</v>
      </c>
      <c r="O1346" t="n">
        <v>0</v>
      </c>
      <c r="P1346" t="n">
        <v>0</v>
      </c>
      <c r="Q1346" t="n">
        <v>0</v>
      </c>
      <c r="R1346" s="2" t="inlineStr"/>
    </row>
    <row r="1347" ht="15" customHeight="1">
      <c r="A1347" t="inlineStr">
        <is>
          <t>A 19580-2019</t>
        </is>
      </c>
      <c r="B1347" s="1" t="n">
        <v>43565</v>
      </c>
      <c r="C1347" s="1" t="n">
        <v>45212</v>
      </c>
      <c r="D1347" t="inlineStr">
        <is>
          <t>VÄSTERNORRLANDS LÄN</t>
        </is>
      </c>
      <c r="E1347" t="inlineStr">
        <is>
          <t>ÖRNSKÖLDSVIK</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19545-2019</t>
        </is>
      </c>
      <c r="B1348" s="1" t="n">
        <v>43565</v>
      </c>
      <c r="C1348" s="1" t="n">
        <v>45212</v>
      </c>
      <c r="D1348" t="inlineStr">
        <is>
          <t>VÄSTERNORRLANDS LÄN</t>
        </is>
      </c>
      <c r="E1348" t="inlineStr">
        <is>
          <t>SUNDSVALL</t>
        </is>
      </c>
      <c r="F1348" t="inlineStr">
        <is>
          <t>SCA</t>
        </is>
      </c>
      <c r="G1348" t="n">
        <v>28.6</v>
      </c>
      <c r="H1348" t="n">
        <v>0</v>
      </c>
      <c r="I1348" t="n">
        <v>0</v>
      </c>
      <c r="J1348" t="n">
        <v>0</v>
      </c>
      <c r="K1348" t="n">
        <v>0</v>
      </c>
      <c r="L1348" t="n">
        <v>0</v>
      </c>
      <c r="M1348" t="n">
        <v>0</v>
      </c>
      <c r="N1348" t="n">
        <v>0</v>
      </c>
      <c r="O1348" t="n">
        <v>0</v>
      </c>
      <c r="P1348" t="n">
        <v>0</v>
      </c>
      <c r="Q1348" t="n">
        <v>0</v>
      </c>
      <c r="R1348" s="2" t="inlineStr"/>
    </row>
    <row r="1349" ht="15" customHeight="1">
      <c r="A1349" t="inlineStr">
        <is>
          <t>A 19553-2019</t>
        </is>
      </c>
      <c r="B1349" s="1" t="n">
        <v>43565</v>
      </c>
      <c r="C1349" s="1" t="n">
        <v>45212</v>
      </c>
      <c r="D1349" t="inlineStr">
        <is>
          <t>VÄSTERNORRLANDS LÄN</t>
        </is>
      </c>
      <c r="E1349" t="inlineStr">
        <is>
          <t>SOLLEFTEÅ</t>
        </is>
      </c>
      <c r="G1349" t="n">
        <v>28.1</v>
      </c>
      <c r="H1349" t="n">
        <v>0</v>
      </c>
      <c r="I1349" t="n">
        <v>0</v>
      </c>
      <c r="J1349" t="n">
        <v>0</v>
      </c>
      <c r="K1349" t="n">
        <v>0</v>
      </c>
      <c r="L1349" t="n">
        <v>0</v>
      </c>
      <c r="M1349" t="n">
        <v>0</v>
      </c>
      <c r="N1349" t="n">
        <v>0</v>
      </c>
      <c r="O1349" t="n">
        <v>0</v>
      </c>
      <c r="P1349" t="n">
        <v>0</v>
      </c>
      <c r="Q1349" t="n">
        <v>0</v>
      </c>
      <c r="R1349" s="2" t="inlineStr"/>
    </row>
    <row r="1350" ht="15" customHeight="1">
      <c r="A1350" t="inlineStr">
        <is>
          <t>A 19310-2019</t>
        </is>
      </c>
      <c r="B1350" s="1" t="n">
        <v>43565</v>
      </c>
      <c r="C1350" s="1" t="n">
        <v>45212</v>
      </c>
      <c r="D1350" t="inlineStr">
        <is>
          <t>VÄSTERNORRLANDS LÄN</t>
        </is>
      </c>
      <c r="E1350" t="inlineStr">
        <is>
          <t>ÅNGE</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19547-2019</t>
        </is>
      </c>
      <c r="B1351" s="1" t="n">
        <v>43565</v>
      </c>
      <c r="C1351" s="1" t="n">
        <v>45212</v>
      </c>
      <c r="D1351" t="inlineStr">
        <is>
          <t>VÄSTERNORRLANDS LÄN</t>
        </is>
      </c>
      <c r="E1351" t="inlineStr">
        <is>
          <t>SUNDSVALL</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19548-2019</t>
        </is>
      </c>
      <c r="B1352" s="1" t="n">
        <v>43565</v>
      </c>
      <c r="C1352" s="1" t="n">
        <v>45212</v>
      </c>
      <c r="D1352" t="inlineStr">
        <is>
          <t>VÄSTERNORRLANDS LÄN</t>
        </is>
      </c>
      <c r="E1352" t="inlineStr">
        <is>
          <t>SUNDSVALL</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19667-2019</t>
        </is>
      </c>
      <c r="B1353" s="1" t="n">
        <v>43565</v>
      </c>
      <c r="C1353" s="1" t="n">
        <v>45212</v>
      </c>
      <c r="D1353" t="inlineStr">
        <is>
          <t>VÄSTERNORRLANDS LÄN</t>
        </is>
      </c>
      <c r="E1353" t="inlineStr">
        <is>
          <t>ÖRNSKÖLDSVIK</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19732-2019</t>
        </is>
      </c>
      <c r="B1354" s="1" t="n">
        <v>43566</v>
      </c>
      <c r="C1354" s="1" t="n">
        <v>45212</v>
      </c>
      <c r="D1354" t="inlineStr">
        <is>
          <t>VÄSTERNORRLANDS LÄN</t>
        </is>
      </c>
      <c r="E1354" t="inlineStr">
        <is>
          <t>SOLLEFTEÅ</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19731-2019</t>
        </is>
      </c>
      <c r="B1355" s="1" t="n">
        <v>43566</v>
      </c>
      <c r="C1355" s="1" t="n">
        <v>45212</v>
      </c>
      <c r="D1355" t="inlineStr">
        <is>
          <t>VÄSTERNORRLANDS LÄN</t>
        </is>
      </c>
      <c r="E1355" t="inlineStr">
        <is>
          <t>SOLLEFTEÅ</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19595-2019</t>
        </is>
      </c>
      <c r="B1356" s="1" t="n">
        <v>43566</v>
      </c>
      <c r="C1356" s="1" t="n">
        <v>45212</v>
      </c>
      <c r="D1356" t="inlineStr">
        <is>
          <t>VÄSTERNORRLANDS LÄN</t>
        </is>
      </c>
      <c r="E1356" t="inlineStr">
        <is>
          <t>SOLLEFTEÅ</t>
        </is>
      </c>
      <c r="F1356" t="inlineStr">
        <is>
          <t>Kyrkan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19730-2019</t>
        </is>
      </c>
      <c r="B1357" s="1" t="n">
        <v>43566</v>
      </c>
      <c r="C1357" s="1" t="n">
        <v>45212</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19813-2019</t>
        </is>
      </c>
      <c r="B1358" s="1" t="n">
        <v>43567</v>
      </c>
      <c r="C1358" s="1" t="n">
        <v>45212</v>
      </c>
      <c r="D1358" t="inlineStr">
        <is>
          <t>VÄSTERNORRLANDS LÄN</t>
        </is>
      </c>
      <c r="E1358" t="inlineStr">
        <is>
          <t>KRAMFORS</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20062-2019</t>
        </is>
      </c>
      <c r="B1359" s="1" t="n">
        <v>43570</v>
      </c>
      <c r="C1359" s="1" t="n">
        <v>45212</v>
      </c>
      <c r="D1359" t="inlineStr">
        <is>
          <t>VÄSTERNORRLANDS LÄN</t>
        </is>
      </c>
      <c r="E1359" t="inlineStr">
        <is>
          <t>ÅNGE</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20205-2019</t>
        </is>
      </c>
      <c r="B1360" s="1" t="n">
        <v>43570</v>
      </c>
      <c r="C1360" s="1" t="n">
        <v>45212</v>
      </c>
      <c r="D1360" t="inlineStr">
        <is>
          <t>VÄSTERNORRLANDS LÄN</t>
        </is>
      </c>
      <c r="E1360" t="inlineStr">
        <is>
          <t>TIMRÅ</t>
        </is>
      </c>
      <c r="F1360" t="inlineStr">
        <is>
          <t>SCA</t>
        </is>
      </c>
      <c r="G1360" t="n">
        <v>29.1</v>
      </c>
      <c r="H1360" t="n">
        <v>0</v>
      </c>
      <c r="I1360" t="n">
        <v>0</v>
      </c>
      <c r="J1360" t="n">
        <v>0</v>
      </c>
      <c r="K1360" t="n">
        <v>0</v>
      </c>
      <c r="L1360" t="n">
        <v>0</v>
      </c>
      <c r="M1360" t="n">
        <v>0</v>
      </c>
      <c r="N1360" t="n">
        <v>0</v>
      </c>
      <c r="O1360" t="n">
        <v>0</v>
      </c>
      <c r="P1360" t="n">
        <v>0</v>
      </c>
      <c r="Q1360" t="n">
        <v>0</v>
      </c>
      <c r="R1360" s="2" t="inlineStr"/>
    </row>
    <row r="1361" ht="15" customHeight="1">
      <c r="A1361" t="inlineStr">
        <is>
          <t>A 20200-2019</t>
        </is>
      </c>
      <c r="B1361" s="1" t="n">
        <v>43570</v>
      </c>
      <c r="C1361" s="1" t="n">
        <v>45212</v>
      </c>
      <c r="D1361" t="inlineStr">
        <is>
          <t>VÄSTERNORRLANDS LÄN</t>
        </is>
      </c>
      <c r="E1361" t="inlineStr">
        <is>
          <t>SOLLEFTEÅ</t>
        </is>
      </c>
      <c r="F1361" t="inlineStr">
        <is>
          <t>SCA</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20102-2019</t>
        </is>
      </c>
      <c r="B1362" s="1" t="n">
        <v>43570</v>
      </c>
      <c r="C1362" s="1" t="n">
        <v>45212</v>
      </c>
      <c r="D1362" t="inlineStr">
        <is>
          <t>VÄSTERNORRLANDS LÄN</t>
        </is>
      </c>
      <c r="E1362" t="inlineStr">
        <is>
          <t>ÅNGE</t>
        </is>
      </c>
      <c r="F1362" t="inlineStr">
        <is>
          <t>Övriga Aktiebolag</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20198-2019</t>
        </is>
      </c>
      <c r="B1363" s="1" t="n">
        <v>43570</v>
      </c>
      <c r="C1363" s="1" t="n">
        <v>45212</v>
      </c>
      <c r="D1363" t="inlineStr">
        <is>
          <t>VÄSTERNORRLANDS LÄN</t>
        </is>
      </c>
      <c r="E1363" t="inlineStr">
        <is>
          <t>SOLLEFTEÅ</t>
        </is>
      </c>
      <c r="G1363" t="n">
        <v>8.800000000000001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20201-2019</t>
        </is>
      </c>
      <c r="B1364" s="1" t="n">
        <v>43570</v>
      </c>
      <c r="C1364" s="1" t="n">
        <v>45212</v>
      </c>
      <c r="D1364" t="inlineStr">
        <is>
          <t>VÄSTERNORRLANDS LÄN</t>
        </is>
      </c>
      <c r="E1364" t="inlineStr">
        <is>
          <t>SOLLEFTEÅ</t>
        </is>
      </c>
      <c r="F1364" t="inlineStr">
        <is>
          <t>SCA</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21257-2019</t>
        </is>
      </c>
      <c r="B1365" s="1" t="n">
        <v>43571</v>
      </c>
      <c r="C1365" s="1" t="n">
        <v>45212</v>
      </c>
      <c r="D1365" t="inlineStr">
        <is>
          <t>VÄSTERNORRLANDS LÄN</t>
        </is>
      </c>
      <c r="E1365" t="inlineStr">
        <is>
          <t>HÄRNÖSAND</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20397-2019</t>
        </is>
      </c>
      <c r="B1366" s="1" t="n">
        <v>43571</v>
      </c>
      <c r="C1366" s="1" t="n">
        <v>45212</v>
      </c>
      <c r="D1366" t="inlineStr">
        <is>
          <t>VÄSTERNORRLANDS LÄN</t>
        </is>
      </c>
      <c r="E1366" t="inlineStr">
        <is>
          <t>ÅNGE</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21256-2019</t>
        </is>
      </c>
      <c r="B1367" s="1" t="n">
        <v>43571</v>
      </c>
      <c r="C1367" s="1" t="n">
        <v>45212</v>
      </c>
      <c r="D1367" t="inlineStr">
        <is>
          <t>VÄSTERNORRLANDS LÄN</t>
        </is>
      </c>
      <c r="E1367" t="inlineStr">
        <is>
          <t>HÄRNÖSAND</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20439-2019</t>
        </is>
      </c>
      <c r="B1368" s="1" t="n">
        <v>43571</v>
      </c>
      <c r="C1368" s="1" t="n">
        <v>45212</v>
      </c>
      <c r="D1368" t="inlineStr">
        <is>
          <t>VÄSTERNORRLANDS LÄN</t>
        </is>
      </c>
      <c r="E1368" t="inlineStr">
        <is>
          <t>ÖRNSKÖLDSVIK</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21261-2019</t>
        </is>
      </c>
      <c r="B1369" s="1" t="n">
        <v>43571</v>
      </c>
      <c r="C1369" s="1" t="n">
        <v>45212</v>
      </c>
      <c r="D1369" t="inlineStr">
        <is>
          <t>VÄSTERNORRLANDS LÄN</t>
        </is>
      </c>
      <c r="E1369" t="inlineStr">
        <is>
          <t>HÄRNÖSAND</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20400-2019</t>
        </is>
      </c>
      <c r="B1370" s="1" t="n">
        <v>43571</v>
      </c>
      <c r="C1370" s="1" t="n">
        <v>45212</v>
      </c>
      <c r="D1370" t="inlineStr">
        <is>
          <t>VÄSTERNORRLANDS LÄN</t>
        </is>
      </c>
      <c r="E1370" t="inlineStr">
        <is>
          <t>ÅNGE</t>
        </is>
      </c>
      <c r="G1370" t="n">
        <v>0.2</v>
      </c>
      <c r="H1370" t="n">
        <v>0</v>
      </c>
      <c r="I1370" t="n">
        <v>0</v>
      </c>
      <c r="J1370" t="n">
        <v>0</v>
      </c>
      <c r="K1370" t="n">
        <v>0</v>
      </c>
      <c r="L1370" t="n">
        <v>0</v>
      </c>
      <c r="M1370" t="n">
        <v>0</v>
      </c>
      <c r="N1370" t="n">
        <v>0</v>
      </c>
      <c r="O1370" t="n">
        <v>0</v>
      </c>
      <c r="P1370" t="n">
        <v>0</v>
      </c>
      <c r="Q1370" t="n">
        <v>0</v>
      </c>
      <c r="R1370" s="2" t="inlineStr"/>
    </row>
    <row r="1371" ht="15" customHeight="1">
      <c r="A1371" t="inlineStr">
        <is>
          <t>A 20444-2019</t>
        </is>
      </c>
      <c r="B1371" s="1" t="n">
        <v>43571</v>
      </c>
      <c r="C1371" s="1" t="n">
        <v>45212</v>
      </c>
      <c r="D1371" t="inlineStr">
        <is>
          <t>VÄSTERNORRLANDS LÄN</t>
        </is>
      </c>
      <c r="E1371" t="inlineStr">
        <is>
          <t>SOLLEFTEÅ</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21255-2019</t>
        </is>
      </c>
      <c r="B1372" s="1" t="n">
        <v>43571</v>
      </c>
      <c r="C1372" s="1" t="n">
        <v>45212</v>
      </c>
      <c r="D1372" t="inlineStr">
        <is>
          <t>VÄSTERNORRLANDS LÄN</t>
        </is>
      </c>
      <c r="E1372" t="inlineStr">
        <is>
          <t>HÄRNÖSAND</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21268-2019</t>
        </is>
      </c>
      <c r="B1373" s="1" t="n">
        <v>43571</v>
      </c>
      <c r="C1373" s="1" t="n">
        <v>45212</v>
      </c>
      <c r="D1373" t="inlineStr">
        <is>
          <t>VÄSTERNORRLANDS LÄN</t>
        </is>
      </c>
      <c r="E1373" t="inlineStr">
        <is>
          <t>HÄRNÖSAND</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20649-2019</t>
        </is>
      </c>
      <c r="B1374" s="1" t="n">
        <v>43572</v>
      </c>
      <c r="C1374" s="1" t="n">
        <v>45212</v>
      </c>
      <c r="D1374" t="inlineStr">
        <is>
          <t>VÄSTERNORRLANDS LÄN</t>
        </is>
      </c>
      <c r="E1374" t="inlineStr">
        <is>
          <t>SOLLEFTEÅ</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20563-2019</t>
        </is>
      </c>
      <c r="B1375" s="1" t="n">
        <v>43572</v>
      </c>
      <c r="C1375" s="1" t="n">
        <v>45212</v>
      </c>
      <c r="D1375" t="inlineStr">
        <is>
          <t>VÄSTERNORRLANDS LÄN</t>
        </is>
      </c>
      <c r="E1375" t="inlineStr">
        <is>
          <t>SUNDSVALL</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20600-2019</t>
        </is>
      </c>
      <c r="B1376" s="1" t="n">
        <v>43572</v>
      </c>
      <c r="C1376" s="1" t="n">
        <v>45212</v>
      </c>
      <c r="D1376" t="inlineStr">
        <is>
          <t>VÄSTERNORRLANDS LÄN</t>
        </is>
      </c>
      <c r="E1376" t="inlineStr">
        <is>
          <t>ÅNGE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20648-2019</t>
        </is>
      </c>
      <c r="B1377" s="1" t="n">
        <v>43572</v>
      </c>
      <c r="C1377" s="1" t="n">
        <v>45212</v>
      </c>
      <c r="D1377" t="inlineStr">
        <is>
          <t>VÄSTERNORRLANDS LÄN</t>
        </is>
      </c>
      <c r="E1377" t="inlineStr">
        <is>
          <t>SOLLEFTEÅ</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20591-2019</t>
        </is>
      </c>
      <c r="B1378" s="1" t="n">
        <v>43572</v>
      </c>
      <c r="C1378" s="1" t="n">
        <v>45212</v>
      </c>
      <c r="D1378" t="inlineStr">
        <is>
          <t>VÄSTERNORRLANDS LÄN</t>
        </is>
      </c>
      <c r="E1378" t="inlineStr">
        <is>
          <t>TIMRÅ</t>
        </is>
      </c>
      <c r="F1378" t="inlineStr">
        <is>
          <t>SCA</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20640-2019</t>
        </is>
      </c>
      <c r="B1379" s="1" t="n">
        <v>43572</v>
      </c>
      <c r="C1379" s="1" t="n">
        <v>45212</v>
      </c>
      <c r="D1379" t="inlineStr">
        <is>
          <t>VÄSTERNORRLANDS LÄN</t>
        </is>
      </c>
      <c r="E1379" t="inlineStr">
        <is>
          <t>HÄRNÖSAND</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20651-2019</t>
        </is>
      </c>
      <c r="B1380" s="1" t="n">
        <v>43572</v>
      </c>
      <c r="C1380" s="1" t="n">
        <v>45212</v>
      </c>
      <c r="D1380" t="inlineStr">
        <is>
          <t>VÄSTERNORRLANDS LÄN</t>
        </is>
      </c>
      <c r="E1380" t="inlineStr">
        <is>
          <t>SUNDSVALL</t>
        </is>
      </c>
      <c r="G1380" t="n">
        <v>4.5</v>
      </c>
      <c r="H1380" t="n">
        <v>0</v>
      </c>
      <c r="I1380" t="n">
        <v>0</v>
      </c>
      <c r="J1380" t="n">
        <v>0</v>
      </c>
      <c r="K1380" t="n">
        <v>0</v>
      </c>
      <c r="L1380" t="n">
        <v>0</v>
      </c>
      <c r="M1380" t="n">
        <v>0</v>
      </c>
      <c r="N1380" t="n">
        <v>0</v>
      </c>
      <c r="O1380" t="n">
        <v>0</v>
      </c>
      <c r="P1380" t="n">
        <v>0</v>
      </c>
      <c r="Q1380" t="n">
        <v>0</v>
      </c>
      <c r="R1380" s="2" t="inlineStr"/>
    </row>
    <row r="1381" ht="15" customHeight="1">
      <c r="A1381" t="inlineStr">
        <is>
          <t>A 20641-2019</t>
        </is>
      </c>
      <c r="B1381" s="1" t="n">
        <v>43572</v>
      </c>
      <c r="C1381" s="1" t="n">
        <v>45212</v>
      </c>
      <c r="D1381" t="inlineStr">
        <is>
          <t>VÄSTERNORRLANDS LÄN</t>
        </is>
      </c>
      <c r="E1381" t="inlineStr">
        <is>
          <t>HÄRNÖSAND</t>
        </is>
      </c>
      <c r="G1381" t="n">
        <v>10.1</v>
      </c>
      <c r="H1381" t="n">
        <v>0</v>
      </c>
      <c r="I1381" t="n">
        <v>0</v>
      </c>
      <c r="J1381" t="n">
        <v>0</v>
      </c>
      <c r="K1381" t="n">
        <v>0</v>
      </c>
      <c r="L1381" t="n">
        <v>0</v>
      </c>
      <c r="M1381" t="n">
        <v>0</v>
      </c>
      <c r="N1381" t="n">
        <v>0</v>
      </c>
      <c r="O1381" t="n">
        <v>0</v>
      </c>
      <c r="P1381" t="n">
        <v>0</v>
      </c>
      <c r="Q1381" t="n">
        <v>0</v>
      </c>
      <c r="R1381" s="2" t="inlineStr"/>
    </row>
    <row r="1382" ht="15" customHeight="1">
      <c r="A1382" t="inlineStr">
        <is>
          <t>A 20653-2019</t>
        </is>
      </c>
      <c r="B1382" s="1" t="n">
        <v>43572</v>
      </c>
      <c r="C1382" s="1" t="n">
        <v>45212</v>
      </c>
      <c r="D1382" t="inlineStr">
        <is>
          <t>VÄSTERNORRLANDS LÄN</t>
        </is>
      </c>
      <c r="E1382" t="inlineStr">
        <is>
          <t>KRAMFORS</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21119-2019</t>
        </is>
      </c>
      <c r="B1383" s="1" t="n">
        <v>43578</v>
      </c>
      <c r="C1383" s="1" t="n">
        <v>45212</v>
      </c>
      <c r="D1383" t="inlineStr">
        <is>
          <t>VÄSTERNORRLANDS LÄN</t>
        </is>
      </c>
      <c r="E1383" t="inlineStr">
        <is>
          <t>SOLLEFTEÅ</t>
        </is>
      </c>
      <c r="F1383" t="inlineStr">
        <is>
          <t>SCA</t>
        </is>
      </c>
      <c r="G1383" t="n">
        <v>57.7</v>
      </c>
      <c r="H1383" t="n">
        <v>0</v>
      </c>
      <c r="I1383" t="n">
        <v>0</v>
      </c>
      <c r="J1383" t="n">
        <v>0</v>
      </c>
      <c r="K1383" t="n">
        <v>0</v>
      </c>
      <c r="L1383" t="n">
        <v>0</v>
      </c>
      <c r="M1383" t="n">
        <v>0</v>
      </c>
      <c r="N1383" t="n">
        <v>0</v>
      </c>
      <c r="O1383" t="n">
        <v>0</v>
      </c>
      <c r="P1383" t="n">
        <v>0</v>
      </c>
      <c r="Q1383" t="n">
        <v>0</v>
      </c>
      <c r="R1383" s="2" t="inlineStr"/>
    </row>
    <row r="1384" ht="15" customHeight="1">
      <c r="A1384" t="inlineStr">
        <is>
          <t>A 20867-2019</t>
        </is>
      </c>
      <c r="B1384" s="1" t="n">
        <v>43578</v>
      </c>
      <c r="C1384" s="1" t="n">
        <v>45212</v>
      </c>
      <c r="D1384" t="inlineStr">
        <is>
          <t>VÄSTERNORRLANDS LÄN</t>
        </is>
      </c>
      <c r="E1384" t="inlineStr">
        <is>
          <t>HÄRNÖSAND</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20893-2019</t>
        </is>
      </c>
      <c r="B1385" s="1" t="n">
        <v>43578</v>
      </c>
      <c r="C1385" s="1" t="n">
        <v>45212</v>
      </c>
      <c r="D1385" t="inlineStr">
        <is>
          <t>VÄSTERNORRLANDS LÄN</t>
        </is>
      </c>
      <c r="E1385" t="inlineStr">
        <is>
          <t>KRAMFORS</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21533-2019</t>
        </is>
      </c>
      <c r="B1386" s="1" t="n">
        <v>43578</v>
      </c>
      <c r="C1386" s="1" t="n">
        <v>45212</v>
      </c>
      <c r="D1386" t="inlineStr">
        <is>
          <t>VÄSTERNORRLANDS LÄN</t>
        </is>
      </c>
      <c r="E1386" t="inlineStr">
        <is>
          <t>ÖRNSKÖLDSVIK</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21375-2019</t>
        </is>
      </c>
      <c r="B1387" s="1" t="n">
        <v>43579</v>
      </c>
      <c r="C1387" s="1" t="n">
        <v>45212</v>
      </c>
      <c r="D1387" t="inlineStr">
        <is>
          <t>VÄSTERNORRLANDS LÄN</t>
        </is>
      </c>
      <c r="E1387" t="inlineStr">
        <is>
          <t>ÅNGE</t>
        </is>
      </c>
      <c r="F1387" t="inlineStr">
        <is>
          <t>SCA</t>
        </is>
      </c>
      <c r="G1387" t="n">
        <v>8.199999999999999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21526-2019</t>
        </is>
      </c>
      <c r="B1388" s="1" t="n">
        <v>43580</v>
      </c>
      <c r="C1388" s="1" t="n">
        <v>45212</v>
      </c>
      <c r="D1388" t="inlineStr">
        <is>
          <t>VÄSTERNORRLANDS LÄN</t>
        </is>
      </c>
      <c r="E1388" t="inlineStr">
        <is>
          <t>SOLLEFTEÅ</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21570-2019</t>
        </is>
      </c>
      <c r="B1389" s="1" t="n">
        <v>43580</v>
      </c>
      <c r="C1389" s="1" t="n">
        <v>45212</v>
      </c>
      <c r="D1389" t="inlineStr">
        <is>
          <t>VÄSTERNORRLANDS LÄN</t>
        </is>
      </c>
      <c r="E1389" t="inlineStr">
        <is>
          <t>ÖRNSKÖLDSVIK</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21715-2019</t>
        </is>
      </c>
      <c r="B1390" s="1" t="n">
        <v>43581</v>
      </c>
      <c r="C1390" s="1" t="n">
        <v>45212</v>
      </c>
      <c r="D1390" t="inlineStr">
        <is>
          <t>VÄSTERNORRLANDS LÄN</t>
        </is>
      </c>
      <c r="E1390" t="inlineStr">
        <is>
          <t>ÅNGE</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21726-2019</t>
        </is>
      </c>
      <c r="B1391" s="1" t="n">
        <v>43581</v>
      </c>
      <c r="C1391" s="1" t="n">
        <v>45212</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21788-2019</t>
        </is>
      </c>
      <c r="B1392" s="1" t="n">
        <v>43581</v>
      </c>
      <c r="C1392" s="1" t="n">
        <v>45212</v>
      </c>
      <c r="D1392" t="inlineStr">
        <is>
          <t>VÄSTERNORRLANDS LÄN</t>
        </is>
      </c>
      <c r="E1392" t="inlineStr">
        <is>
          <t>SOLLEFTEÅ</t>
        </is>
      </c>
      <c r="F1392" t="inlineStr">
        <is>
          <t>SCA</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21698-2019</t>
        </is>
      </c>
      <c r="B1393" s="1" t="n">
        <v>43581</v>
      </c>
      <c r="C1393" s="1" t="n">
        <v>45212</v>
      </c>
      <c r="D1393" t="inlineStr">
        <is>
          <t>VÄSTERNORRLANDS LÄN</t>
        </is>
      </c>
      <c r="E1393" t="inlineStr">
        <is>
          <t>SUNDSVALL</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21795-2019</t>
        </is>
      </c>
      <c r="B1394" s="1" t="n">
        <v>43581</v>
      </c>
      <c r="C1394" s="1" t="n">
        <v>45212</v>
      </c>
      <c r="D1394" t="inlineStr">
        <is>
          <t>VÄSTERNORRLANDS LÄN</t>
        </is>
      </c>
      <c r="E1394" t="inlineStr">
        <is>
          <t>ÅNGE</t>
        </is>
      </c>
      <c r="F1394" t="inlineStr">
        <is>
          <t>SCA</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21799-2019</t>
        </is>
      </c>
      <c r="B1395" s="1" t="n">
        <v>43581</v>
      </c>
      <c r="C1395" s="1" t="n">
        <v>45212</v>
      </c>
      <c r="D1395" t="inlineStr">
        <is>
          <t>VÄSTERNORRLANDS LÄN</t>
        </is>
      </c>
      <c r="E1395" t="inlineStr">
        <is>
          <t>SOLLEFTEÅ</t>
        </is>
      </c>
      <c r="F1395" t="inlineStr">
        <is>
          <t>SCA</t>
        </is>
      </c>
      <c r="G1395" t="n">
        <v>14.1</v>
      </c>
      <c r="H1395" t="n">
        <v>0</v>
      </c>
      <c r="I1395" t="n">
        <v>0</v>
      </c>
      <c r="J1395" t="n">
        <v>0</v>
      </c>
      <c r="K1395" t="n">
        <v>0</v>
      </c>
      <c r="L1395" t="n">
        <v>0</v>
      </c>
      <c r="M1395" t="n">
        <v>0</v>
      </c>
      <c r="N1395" t="n">
        <v>0</v>
      </c>
      <c r="O1395" t="n">
        <v>0</v>
      </c>
      <c r="P1395" t="n">
        <v>0</v>
      </c>
      <c r="Q1395" t="n">
        <v>0</v>
      </c>
      <c r="R1395" s="2" t="inlineStr"/>
    </row>
    <row r="1396" ht="15" customHeight="1">
      <c r="A1396" t="inlineStr">
        <is>
          <t>A 21633-2019</t>
        </is>
      </c>
      <c r="B1396" s="1" t="n">
        <v>43581</v>
      </c>
      <c r="C1396" s="1" t="n">
        <v>45212</v>
      </c>
      <c r="D1396" t="inlineStr">
        <is>
          <t>VÄSTERNORRLANDS LÄN</t>
        </is>
      </c>
      <c r="E1396" t="inlineStr">
        <is>
          <t>ÅNGE</t>
        </is>
      </c>
      <c r="G1396" t="n">
        <v>7.1</v>
      </c>
      <c r="H1396" t="n">
        <v>0</v>
      </c>
      <c r="I1396" t="n">
        <v>0</v>
      </c>
      <c r="J1396" t="n">
        <v>0</v>
      </c>
      <c r="K1396" t="n">
        <v>0</v>
      </c>
      <c r="L1396" t="n">
        <v>0</v>
      </c>
      <c r="M1396" t="n">
        <v>0</v>
      </c>
      <c r="N1396" t="n">
        <v>0</v>
      </c>
      <c r="O1396" t="n">
        <v>0</v>
      </c>
      <c r="P1396" t="n">
        <v>0</v>
      </c>
      <c r="Q1396" t="n">
        <v>0</v>
      </c>
      <c r="R1396" s="2" t="inlineStr"/>
    </row>
    <row r="1397" ht="15" customHeight="1">
      <c r="A1397" t="inlineStr">
        <is>
          <t>A 21896-2019</t>
        </is>
      </c>
      <c r="B1397" s="1" t="n">
        <v>43584</v>
      </c>
      <c r="C1397" s="1" t="n">
        <v>45212</v>
      </c>
      <c r="D1397" t="inlineStr">
        <is>
          <t>VÄSTERNORRLANDS LÄN</t>
        </is>
      </c>
      <c r="E1397" t="inlineStr">
        <is>
          <t>KRAMFORS</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22020-2019</t>
        </is>
      </c>
      <c r="B1398" s="1" t="n">
        <v>43584</v>
      </c>
      <c r="C1398" s="1" t="n">
        <v>45212</v>
      </c>
      <c r="D1398" t="inlineStr">
        <is>
          <t>VÄSTERNORRLANDS LÄN</t>
        </is>
      </c>
      <c r="E1398" t="inlineStr">
        <is>
          <t>KRAMFORS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22088-2019</t>
        </is>
      </c>
      <c r="B1399" s="1" t="n">
        <v>43584</v>
      </c>
      <c r="C1399" s="1" t="n">
        <v>45212</v>
      </c>
      <c r="D1399" t="inlineStr">
        <is>
          <t>VÄSTERNORRLANDS LÄN</t>
        </is>
      </c>
      <c r="E1399" t="inlineStr">
        <is>
          <t>SOLLEFTEÅ</t>
        </is>
      </c>
      <c r="F1399" t="inlineStr">
        <is>
          <t>SCA</t>
        </is>
      </c>
      <c r="G1399" t="n">
        <v>37.9</v>
      </c>
      <c r="H1399" t="n">
        <v>0</v>
      </c>
      <c r="I1399" t="n">
        <v>0</v>
      </c>
      <c r="J1399" t="n">
        <v>0</v>
      </c>
      <c r="K1399" t="n">
        <v>0</v>
      </c>
      <c r="L1399" t="n">
        <v>0</v>
      </c>
      <c r="M1399" t="n">
        <v>0</v>
      </c>
      <c r="N1399" t="n">
        <v>0</v>
      </c>
      <c r="O1399" t="n">
        <v>0</v>
      </c>
      <c r="P1399" t="n">
        <v>0</v>
      </c>
      <c r="Q1399" t="n">
        <v>0</v>
      </c>
      <c r="R1399" s="2" t="inlineStr"/>
    </row>
    <row r="1400" ht="15" customHeight="1">
      <c r="A1400" t="inlineStr">
        <is>
          <t>A 22060-2019</t>
        </is>
      </c>
      <c r="B1400" s="1" t="n">
        <v>43584</v>
      </c>
      <c r="C1400" s="1" t="n">
        <v>45212</v>
      </c>
      <c r="D1400" t="inlineStr">
        <is>
          <t>VÄSTERNORRLANDS LÄN</t>
        </is>
      </c>
      <c r="E1400" t="inlineStr">
        <is>
          <t>KRAMFORS</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22089-2019</t>
        </is>
      </c>
      <c r="B1401" s="1" t="n">
        <v>43584</v>
      </c>
      <c r="C1401" s="1" t="n">
        <v>45212</v>
      </c>
      <c r="D1401" t="inlineStr">
        <is>
          <t>VÄSTERNORRLANDS LÄN</t>
        </is>
      </c>
      <c r="E1401" t="inlineStr">
        <is>
          <t>SUNDSVALL</t>
        </is>
      </c>
      <c r="G1401" t="n">
        <v>12.9</v>
      </c>
      <c r="H1401" t="n">
        <v>0</v>
      </c>
      <c r="I1401" t="n">
        <v>0</v>
      </c>
      <c r="J1401" t="n">
        <v>0</v>
      </c>
      <c r="K1401" t="n">
        <v>0</v>
      </c>
      <c r="L1401" t="n">
        <v>0</v>
      </c>
      <c r="M1401" t="n">
        <v>0</v>
      </c>
      <c r="N1401" t="n">
        <v>0</v>
      </c>
      <c r="O1401" t="n">
        <v>0</v>
      </c>
      <c r="P1401" t="n">
        <v>0</v>
      </c>
      <c r="Q1401" t="n">
        <v>0</v>
      </c>
      <c r="R1401" s="2" t="inlineStr"/>
    </row>
    <row r="1402" ht="15" customHeight="1">
      <c r="A1402" t="inlineStr">
        <is>
          <t>A 22022-2019</t>
        </is>
      </c>
      <c r="B1402" s="1" t="n">
        <v>43584</v>
      </c>
      <c r="C1402" s="1" t="n">
        <v>45212</v>
      </c>
      <c r="D1402" t="inlineStr">
        <is>
          <t>VÄSTERNORRLANDS LÄN</t>
        </is>
      </c>
      <c r="E1402" t="inlineStr">
        <is>
          <t>KRAMFORS</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22036-2019</t>
        </is>
      </c>
      <c r="B1403" s="1" t="n">
        <v>43584</v>
      </c>
      <c r="C1403" s="1" t="n">
        <v>45212</v>
      </c>
      <c r="D1403" t="inlineStr">
        <is>
          <t>VÄSTERNORRLANDS LÄN</t>
        </is>
      </c>
      <c r="E1403" t="inlineStr">
        <is>
          <t>TIMRÅ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22288-2019</t>
        </is>
      </c>
      <c r="B1404" s="1" t="n">
        <v>43585</v>
      </c>
      <c r="C1404" s="1" t="n">
        <v>45212</v>
      </c>
      <c r="D1404" t="inlineStr">
        <is>
          <t>VÄSTERNORRLANDS LÄN</t>
        </is>
      </c>
      <c r="E1404" t="inlineStr">
        <is>
          <t>KRAMFORS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22202-2019</t>
        </is>
      </c>
      <c r="B1405" s="1" t="n">
        <v>43585</v>
      </c>
      <c r="C1405" s="1" t="n">
        <v>45212</v>
      </c>
      <c r="D1405" t="inlineStr">
        <is>
          <t>VÄSTERNORRLANDS LÄN</t>
        </is>
      </c>
      <c r="E1405" t="inlineStr">
        <is>
          <t>ÅNGE</t>
        </is>
      </c>
      <c r="F1405" t="inlineStr">
        <is>
          <t>Holmen skog AB</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22120-2019</t>
        </is>
      </c>
      <c r="B1406" s="1" t="n">
        <v>43585</v>
      </c>
      <c r="C1406" s="1" t="n">
        <v>45212</v>
      </c>
      <c r="D1406" t="inlineStr">
        <is>
          <t>VÄSTERNORRLANDS LÄN</t>
        </is>
      </c>
      <c r="E1406" t="inlineStr">
        <is>
          <t>KRAMFORS</t>
        </is>
      </c>
      <c r="G1406" t="n">
        <v>9.5</v>
      </c>
      <c r="H1406" t="n">
        <v>0</v>
      </c>
      <c r="I1406" t="n">
        <v>0</v>
      </c>
      <c r="J1406" t="n">
        <v>0</v>
      </c>
      <c r="K1406" t="n">
        <v>0</v>
      </c>
      <c r="L1406" t="n">
        <v>0</v>
      </c>
      <c r="M1406" t="n">
        <v>0</v>
      </c>
      <c r="N1406" t="n">
        <v>0</v>
      </c>
      <c r="O1406" t="n">
        <v>0</v>
      </c>
      <c r="P1406" t="n">
        <v>0</v>
      </c>
      <c r="Q1406" t="n">
        <v>0</v>
      </c>
      <c r="R1406" s="2" t="inlineStr"/>
    </row>
    <row r="1407" ht="15" customHeight="1">
      <c r="A1407" t="inlineStr">
        <is>
          <t>A 22283-2019</t>
        </is>
      </c>
      <c r="B1407" s="1" t="n">
        <v>43585</v>
      </c>
      <c r="C1407" s="1" t="n">
        <v>45212</v>
      </c>
      <c r="D1407" t="inlineStr">
        <is>
          <t>VÄSTERNORRLANDS LÄN</t>
        </is>
      </c>
      <c r="E1407" t="inlineStr">
        <is>
          <t>SOLLEFTEÅ</t>
        </is>
      </c>
      <c r="F1407" t="inlineStr">
        <is>
          <t>SCA</t>
        </is>
      </c>
      <c r="G1407" t="n">
        <v>9.1</v>
      </c>
      <c r="H1407" t="n">
        <v>0</v>
      </c>
      <c r="I1407" t="n">
        <v>0</v>
      </c>
      <c r="J1407" t="n">
        <v>0</v>
      </c>
      <c r="K1407" t="n">
        <v>0</v>
      </c>
      <c r="L1407" t="n">
        <v>0</v>
      </c>
      <c r="M1407" t="n">
        <v>0</v>
      </c>
      <c r="N1407" t="n">
        <v>0</v>
      </c>
      <c r="O1407" t="n">
        <v>0</v>
      </c>
      <c r="P1407" t="n">
        <v>0</v>
      </c>
      <c r="Q1407" t="n">
        <v>0</v>
      </c>
      <c r="R1407" s="2" t="inlineStr"/>
    </row>
    <row r="1408" ht="15" customHeight="1">
      <c r="A1408" t="inlineStr">
        <is>
          <t>A 22380-2019</t>
        </is>
      </c>
      <c r="B1408" s="1" t="n">
        <v>43587</v>
      </c>
      <c r="C1408" s="1" t="n">
        <v>45212</v>
      </c>
      <c r="D1408" t="inlineStr">
        <is>
          <t>VÄSTERNORRLANDS LÄN</t>
        </is>
      </c>
      <c r="E1408" t="inlineStr">
        <is>
          <t>KRAMFORS</t>
        </is>
      </c>
      <c r="G1408" t="n">
        <v>6.5</v>
      </c>
      <c r="H1408" t="n">
        <v>0</v>
      </c>
      <c r="I1408" t="n">
        <v>0</v>
      </c>
      <c r="J1408" t="n">
        <v>0</v>
      </c>
      <c r="K1408" t="n">
        <v>0</v>
      </c>
      <c r="L1408" t="n">
        <v>0</v>
      </c>
      <c r="M1408" t="n">
        <v>0</v>
      </c>
      <c r="N1408" t="n">
        <v>0</v>
      </c>
      <c r="O1408" t="n">
        <v>0</v>
      </c>
      <c r="P1408" t="n">
        <v>0</v>
      </c>
      <c r="Q1408" t="n">
        <v>0</v>
      </c>
      <c r="R1408" s="2" t="inlineStr"/>
    </row>
    <row r="1409" ht="15" customHeight="1">
      <c r="A1409" t="inlineStr">
        <is>
          <t>A 22345-2019</t>
        </is>
      </c>
      <c r="B1409" s="1" t="n">
        <v>43587</v>
      </c>
      <c r="C1409" s="1" t="n">
        <v>45212</v>
      </c>
      <c r="D1409" t="inlineStr">
        <is>
          <t>VÄSTERNORRLANDS LÄN</t>
        </is>
      </c>
      <c r="E1409" t="inlineStr">
        <is>
          <t>TIMRÅ</t>
        </is>
      </c>
      <c r="G1409" t="n">
        <v>0.3</v>
      </c>
      <c r="H1409" t="n">
        <v>0</v>
      </c>
      <c r="I1409" t="n">
        <v>0</v>
      </c>
      <c r="J1409" t="n">
        <v>0</v>
      </c>
      <c r="K1409" t="n">
        <v>0</v>
      </c>
      <c r="L1409" t="n">
        <v>0</v>
      </c>
      <c r="M1409" t="n">
        <v>0</v>
      </c>
      <c r="N1409" t="n">
        <v>0</v>
      </c>
      <c r="O1409" t="n">
        <v>0</v>
      </c>
      <c r="P1409" t="n">
        <v>0</v>
      </c>
      <c r="Q1409" t="n">
        <v>0</v>
      </c>
      <c r="R1409" s="2" t="inlineStr"/>
    </row>
    <row r="1410" ht="15" customHeight="1">
      <c r="A1410" t="inlineStr">
        <is>
          <t>A 22394-2019</t>
        </is>
      </c>
      <c r="B1410" s="1" t="n">
        <v>43587</v>
      </c>
      <c r="C1410" s="1" t="n">
        <v>45212</v>
      </c>
      <c r="D1410" t="inlineStr">
        <is>
          <t>VÄSTERNORRLANDS LÄN</t>
        </is>
      </c>
      <c r="E1410" t="inlineStr">
        <is>
          <t>ÖRNSKÖLDSVIK</t>
        </is>
      </c>
      <c r="F1410" t="inlineStr">
        <is>
          <t>Holmen skog AB</t>
        </is>
      </c>
      <c r="G1410" t="n">
        <v>5.2</v>
      </c>
      <c r="H1410" t="n">
        <v>0</v>
      </c>
      <c r="I1410" t="n">
        <v>0</v>
      </c>
      <c r="J1410" t="n">
        <v>0</v>
      </c>
      <c r="K1410" t="n">
        <v>0</v>
      </c>
      <c r="L1410" t="n">
        <v>0</v>
      </c>
      <c r="M1410" t="n">
        <v>0</v>
      </c>
      <c r="N1410" t="n">
        <v>0</v>
      </c>
      <c r="O1410" t="n">
        <v>0</v>
      </c>
      <c r="P1410" t="n">
        <v>0</v>
      </c>
      <c r="Q1410" t="n">
        <v>0</v>
      </c>
      <c r="R1410" s="2" t="inlineStr"/>
    </row>
    <row r="1411" ht="15" customHeight="1">
      <c r="A1411" t="inlineStr">
        <is>
          <t>A 22484-2019</t>
        </is>
      </c>
      <c r="B1411" s="1" t="n">
        <v>43587</v>
      </c>
      <c r="C1411" s="1" t="n">
        <v>45212</v>
      </c>
      <c r="D1411" t="inlineStr">
        <is>
          <t>VÄSTERNORRLANDS LÄN</t>
        </is>
      </c>
      <c r="E1411" t="inlineStr">
        <is>
          <t>ÖRNSKÖLDSVIK</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22373-2019</t>
        </is>
      </c>
      <c r="B1412" s="1" t="n">
        <v>43587</v>
      </c>
      <c r="C1412" s="1" t="n">
        <v>45212</v>
      </c>
      <c r="D1412" t="inlineStr">
        <is>
          <t>VÄSTERNORRLANDS LÄN</t>
        </is>
      </c>
      <c r="E1412" t="inlineStr">
        <is>
          <t>KRAMFORS</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22520-2019</t>
        </is>
      </c>
      <c r="B1413" s="1" t="n">
        <v>43587</v>
      </c>
      <c r="C1413" s="1" t="n">
        <v>45212</v>
      </c>
      <c r="D1413" t="inlineStr">
        <is>
          <t>VÄSTERNORRLANDS LÄN</t>
        </is>
      </c>
      <c r="E1413" t="inlineStr">
        <is>
          <t>ÖRNSKÖLDSVIK</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22587-2019</t>
        </is>
      </c>
      <c r="B1414" s="1" t="n">
        <v>43587</v>
      </c>
      <c r="C1414" s="1" t="n">
        <v>45212</v>
      </c>
      <c r="D1414" t="inlineStr">
        <is>
          <t>VÄSTERNORRLANDS LÄN</t>
        </is>
      </c>
      <c r="E1414" t="inlineStr">
        <is>
          <t>SOLLEFTEÅ</t>
        </is>
      </c>
      <c r="F1414" t="inlineStr">
        <is>
          <t>SCA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22603-2019</t>
        </is>
      </c>
      <c r="B1415" s="1" t="n">
        <v>43588</v>
      </c>
      <c r="C1415" s="1" t="n">
        <v>45212</v>
      </c>
      <c r="D1415" t="inlineStr">
        <is>
          <t>VÄSTERNORRLANDS LÄN</t>
        </is>
      </c>
      <c r="E1415" t="inlineStr">
        <is>
          <t>SUNDSVALL</t>
        </is>
      </c>
      <c r="G1415" t="n">
        <v>23.7</v>
      </c>
      <c r="H1415" t="n">
        <v>0</v>
      </c>
      <c r="I1415" t="n">
        <v>0</v>
      </c>
      <c r="J1415" t="n">
        <v>0</v>
      </c>
      <c r="K1415" t="n">
        <v>0</v>
      </c>
      <c r="L1415" t="n">
        <v>0</v>
      </c>
      <c r="M1415" t="n">
        <v>0</v>
      </c>
      <c r="N1415" t="n">
        <v>0</v>
      </c>
      <c r="O1415" t="n">
        <v>0</v>
      </c>
      <c r="P1415" t="n">
        <v>0</v>
      </c>
      <c r="Q1415" t="n">
        <v>0</v>
      </c>
      <c r="R1415" s="2" t="inlineStr"/>
    </row>
    <row r="1416" ht="15" customHeight="1">
      <c r="A1416" t="inlineStr">
        <is>
          <t>A 22782-2019</t>
        </is>
      </c>
      <c r="B1416" s="1" t="n">
        <v>43589</v>
      </c>
      <c r="C1416" s="1" t="n">
        <v>45212</v>
      </c>
      <c r="D1416" t="inlineStr">
        <is>
          <t>VÄSTERNORRLANDS LÄN</t>
        </is>
      </c>
      <c r="E1416" t="inlineStr">
        <is>
          <t>SUNDSVALL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23069-2019</t>
        </is>
      </c>
      <c r="B1417" s="1" t="n">
        <v>43591</v>
      </c>
      <c r="C1417" s="1" t="n">
        <v>45212</v>
      </c>
      <c r="D1417" t="inlineStr">
        <is>
          <t>VÄSTERNORRLANDS LÄN</t>
        </is>
      </c>
      <c r="E1417" t="inlineStr">
        <is>
          <t>KRAMFORS</t>
        </is>
      </c>
      <c r="G1417" t="n">
        <v>9.6</v>
      </c>
      <c r="H1417" t="n">
        <v>0</v>
      </c>
      <c r="I1417" t="n">
        <v>0</v>
      </c>
      <c r="J1417" t="n">
        <v>0</v>
      </c>
      <c r="K1417" t="n">
        <v>0</v>
      </c>
      <c r="L1417" t="n">
        <v>0</v>
      </c>
      <c r="M1417" t="n">
        <v>0</v>
      </c>
      <c r="N1417" t="n">
        <v>0</v>
      </c>
      <c r="O1417" t="n">
        <v>0</v>
      </c>
      <c r="P1417" t="n">
        <v>0</v>
      </c>
      <c r="Q1417" t="n">
        <v>0</v>
      </c>
      <c r="R1417" s="2" t="inlineStr"/>
    </row>
    <row r="1418" ht="15" customHeight="1">
      <c r="A1418" t="inlineStr">
        <is>
          <t>A 23078-2019</t>
        </is>
      </c>
      <c r="B1418" s="1" t="n">
        <v>43591</v>
      </c>
      <c r="C1418" s="1" t="n">
        <v>45212</v>
      </c>
      <c r="D1418" t="inlineStr">
        <is>
          <t>VÄSTERNORRLANDS LÄN</t>
        </is>
      </c>
      <c r="E1418" t="inlineStr">
        <is>
          <t>SUNDSVALL</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23077-2019</t>
        </is>
      </c>
      <c r="B1419" s="1" t="n">
        <v>43591</v>
      </c>
      <c r="C1419" s="1" t="n">
        <v>45212</v>
      </c>
      <c r="D1419" t="inlineStr">
        <is>
          <t>VÄSTERNORRLANDS LÄN</t>
        </is>
      </c>
      <c r="E1419" t="inlineStr">
        <is>
          <t>SUNDSVALL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23241-2019</t>
        </is>
      </c>
      <c r="B1420" s="1" t="n">
        <v>43591</v>
      </c>
      <c r="C1420" s="1" t="n">
        <v>45212</v>
      </c>
      <c r="D1420" t="inlineStr">
        <is>
          <t>VÄSTERNORRLANDS LÄN</t>
        </is>
      </c>
      <c r="E1420" t="inlineStr">
        <is>
          <t>SOLLEFTEÅ</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23314-2019</t>
        </is>
      </c>
      <c r="B1421" s="1" t="n">
        <v>43591</v>
      </c>
      <c r="C1421" s="1" t="n">
        <v>45212</v>
      </c>
      <c r="D1421" t="inlineStr">
        <is>
          <t>VÄSTERNORRLANDS LÄN</t>
        </is>
      </c>
      <c r="E1421" t="inlineStr">
        <is>
          <t>SOLLEFTEÅ</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23074-2019</t>
        </is>
      </c>
      <c r="B1422" s="1" t="n">
        <v>43591</v>
      </c>
      <c r="C1422" s="1" t="n">
        <v>45212</v>
      </c>
      <c r="D1422" t="inlineStr">
        <is>
          <t>VÄSTERNORRLANDS LÄN</t>
        </is>
      </c>
      <c r="E1422" t="inlineStr">
        <is>
          <t>TIMRÅ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23300-2019</t>
        </is>
      </c>
      <c r="B1423" s="1" t="n">
        <v>43591</v>
      </c>
      <c r="C1423" s="1" t="n">
        <v>45212</v>
      </c>
      <c r="D1423" t="inlineStr">
        <is>
          <t>VÄSTERNORRLANDS LÄN</t>
        </is>
      </c>
      <c r="E1423" t="inlineStr">
        <is>
          <t>ÖRNSKÖLDSVIK</t>
        </is>
      </c>
      <c r="G1423" t="n">
        <v>0.2</v>
      </c>
      <c r="H1423" t="n">
        <v>0</v>
      </c>
      <c r="I1423" t="n">
        <v>0</v>
      </c>
      <c r="J1423" t="n">
        <v>0</v>
      </c>
      <c r="K1423" t="n">
        <v>0</v>
      </c>
      <c r="L1423" t="n">
        <v>0</v>
      </c>
      <c r="M1423" t="n">
        <v>0</v>
      </c>
      <c r="N1423" t="n">
        <v>0</v>
      </c>
      <c r="O1423" t="n">
        <v>0</v>
      </c>
      <c r="P1423" t="n">
        <v>0</v>
      </c>
      <c r="Q1423" t="n">
        <v>0</v>
      </c>
      <c r="R1423" s="2" t="inlineStr"/>
    </row>
    <row r="1424" ht="15" customHeight="1">
      <c r="A1424" t="inlineStr">
        <is>
          <t>A 23073-2019</t>
        </is>
      </c>
      <c r="B1424" s="1" t="n">
        <v>43591</v>
      </c>
      <c r="C1424" s="1" t="n">
        <v>45212</v>
      </c>
      <c r="D1424" t="inlineStr">
        <is>
          <t>VÄSTERNORRLANDS LÄN</t>
        </is>
      </c>
      <c r="E1424" t="inlineStr">
        <is>
          <t>SUNDSVALL</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23246-2019</t>
        </is>
      </c>
      <c r="B1425" s="1" t="n">
        <v>43591</v>
      </c>
      <c r="C1425" s="1" t="n">
        <v>45212</v>
      </c>
      <c r="D1425" t="inlineStr">
        <is>
          <t>VÄSTERNORRLANDS LÄN</t>
        </is>
      </c>
      <c r="E1425" t="inlineStr">
        <is>
          <t>SOLLEFTEÅ</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23299-2019</t>
        </is>
      </c>
      <c r="B1426" s="1" t="n">
        <v>43591</v>
      </c>
      <c r="C1426" s="1" t="n">
        <v>45212</v>
      </c>
      <c r="D1426" t="inlineStr">
        <is>
          <t>VÄSTERNORRLANDS LÄN</t>
        </is>
      </c>
      <c r="E1426" t="inlineStr">
        <is>
          <t>ÖRNSKÖLDSVIK</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23323-2019</t>
        </is>
      </c>
      <c r="B1427" s="1" t="n">
        <v>43591</v>
      </c>
      <c r="C1427" s="1" t="n">
        <v>45212</v>
      </c>
      <c r="D1427" t="inlineStr">
        <is>
          <t>VÄSTERNORRLANDS LÄN</t>
        </is>
      </c>
      <c r="E1427" t="inlineStr">
        <is>
          <t>SOLLEFTEÅ</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23214-2019</t>
        </is>
      </c>
      <c r="B1428" s="1" t="n">
        <v>43592</v>
      </c>
      <c r="C1428" s="1" t="n">
        <v>45212</v>
      </c>
      <c r="D1428" t="inlineStr">
        <is>
          <t>VÄSTERNORRLANDS LÄN</t>
        </is>
      </c>
      <c r="E1428" t="inlineStr">
        <is>
          <t>ÖRNSKÖLDSVIK</t>
        </is>
      </c>
      <c r="G1428" t="n">
        <v>4.4</v>
      </c>
      <c r="H1428" t="n">
        <v>0</v>
      </c>
      <c r="I1428" t="n">
        <v>0</v>
      </c>
      <c r="J1428" t="n">
        <v>0</v>
      </c>
      <c r="K1428" t="n">
        <v>0</v>
      </c>
      <c r="L1428" t="n">
        <v>0</v>
      </c>
      <c r="M1428" t="n">
        <v>0</v>
      </c>
      <c r="N1428" t="n">
        <v>0</v>
      </c>
      <c r="O1428" t="n">
        <v>0</v>
      </c>
      <c r="P1428" t="n">
        <v>0</v>
      </c>
      <c r="Q1428" t="n">
        <v>0</v>
      </c>
      <c r="R1428" s="2" t="inlineStr"/>
    </row>
    <row r="1429" ht="15" customHeight="1">
      <c r="A1429" t="inlineStr">
        <is>
          <t>A 23403-2019</t>
        </is>
      </c>
      <c r="B1429" s="1" t="n">
        <v>43592</v>
      </c>
      <c r="C1429" s="1" t="n">
        <v>45212</v>
      </c>
      <c r="D1429" t="inlineStr">
        <is>
          <t>VÄSTERNORRLANDS LÄN</t>
        </is>
      </c>
      <c r="E1429" t="inlineStr">
        <is>
          <t>ÅNGE</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23398-2019</t>
        </is>
      </c>
      <c r="B1430" s="1" t="n">
        <v>43592</v>
      </c>
      <c r="C1430" s="1" t="n">
        <v>45212</v>
      </c>
      <c r="D1430" t="inlineStr">
        <is>
          <t>VÄSTERNORRLANDS LÄN</t>
        </is>
      </c>
      <c r="E1430" t="inlineStr">
        <is>
          <t>ÖRNSKÖLDSVIK</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23193-2019</t>
        </is>
      </c>
      <c r="B1431" s="1" t="n">
        <v>43592</v>
      </c>
      <c r="C1431" s="1" t="n">
        <v>45212</v>
      </c>
      <c r="D1431" t="inlineStr">
        <is>
          <t>VÄSTERNORRLANDS LÄN</t>
        </is>
      </c>
      <c r="E1431" t="inlineStr">
        <is>
          <t>ÖRNSKÖLDSVIK</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23199-2019</t>
        </is>
      </c>
      <c r="B1432" s="1" t="n">
        <v>43592</v>
      </c>
      <c r="C1432" s="1" t="n">
        <v>45212</v>
      </c>
      <c r="D1432" t="inlineStr">
        <is>
          <t>VÄSTERNORRLANDS LÄN</t>
        </is>
      </c>
      <c r="E1432" t="inlineStr">
        <is>
          <t>ÖRNSKÖLDSVIK</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23406-2019</t>
        </is>
      </c>
      <c r="B1433" s="1" t="n">
        <v>43592</v>
      </c>
      <c r="C1433" s="1" t="n">
        <v>45212</v>
      </c>
      <c r="D1433" t="inlineStr">
        <is>
          <t>VÄSTERNORRLANDS LÄN</t>
        </is>
      </c>
      <c r="E1433" t="inlineStr">
        <is>
          <t>ÖRNSKÖLDSVIK</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23284-2019</t>
        </is>
      </c>
      <c r="B1434" s="1" t="n">
        <v>43593</v>
      </c>
      <c r="C1434" s="1" t="n">
        <v>45212</v>
      </c>
      <c r="D1434" t="inlineStr">
        <is>
          <t>VÄSTERNORRLANDS LÄN</t>
        </is>
      </c>
      <c r="E1434" t="inlineStr">
        <is>
          <t>ÖRNSKÖLDSVIK</t>
        </is>
      </c>
      <c r="G1434" t="n">
        <v>10.3</v>
      </c>
      <c r="H1434" t="n">
        <v>0</v>
      </c>
      <c r="I1434" t="n">
        <v>0</v>
      </c>
      <c r="J1434" t="n">
        <v>0</v>
      </c>
      <c r="K1434" t="n">
        <v>0</v>
      </c>
      <c r="L1434" t="n">
        <v>0</v>
      </c>
      <c r="M1434" t="n">
        <v>0</v>
      </c>
      <c r="N1434" t="n">
        <v>0</v>
      </c>
      <c r="O1434" t="n">
        <v>0</v>
      </c>
      <c r="P1434" t="n">
        <v>0</v>
      </c>
      <c r="Q1434" t="n">
        <v>0</v>
      </c>
      <c r="R1434" s="2" t="inlineStr"/>
    </row>
    <row r="1435" ht="15" customHeight="1">
      <c r="A1435" t="inlineStr">
        <is>
          <t>A 23296-2019</t>
        </is>
      </c>
      <c r="B1435" s="1" t="n">
        <v>43593</v>
      </c>
      <c r="C1435" s="1" t="n">
        <v>45212</v>
      </c>
      <c r="D1435" t="inlineStr">
        <is>
          <t>VÄSTERNORRLANDS LÄN</t>
        </is>
      </c>
      <c r="E1435" t="inlineStr">
        <is>
          <t>KRAMFORS</t>
        </is>
      </c>
      <c r="G1435" t="n">
        <v>6.6</v>
      </c>
      <c r="H1435" t="n">
        <v>0</v>
      </c>
      <c r="I1435" t="n">
        <v>0</v>
      </c>
      <c r="J1435" t="n">
        <v>0</v>
      </c>
      <c r="K1435" t="n">
        <v>0</v>
      </c>
      <c r="L1435" t="n">
        <v>0</v>
      </c>
      <c r="M1435" t="n">
        <v>0</v>
      </c>
      <c r="N1435" t="n">
        <v>0</v>
      </c>
      <c r="O1435" t="n">
        <v>0</v>
      </c>
      <c r="P1435" t="n">
        <v>0</v>
      </c>
      <c r="Q1435" t="n">
        <v>0</v>
      </c>
      <c r="R1435" s="2" t="inlineStr"/>
    </row>
    <row r="1436" ht="15" customHeight="1">
      <c r="A1436" t="inlineStr">
        <is>
          <t>A 23626-2019</t>
        </is>
      </c>
      <c r="B1436" s="1" t="n">
        <v>43593</v>
      </c>
      <c r="C1436" s="1" t="n">
        <v>45212</v>
      </c>
      <c r="D1436" t="inlineStr">
        <is>
          <t>VÄSTERNORRLANDS LÄN</t>
        </is>
      </c>
      <c r="E1436" t="inlineStr">
        <is>
          <t>ÖRNSKÖLDSVIK</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23288-2019</t>
        </is>
      </c>
      <c r="B1437" s="1" t="n">
        <v>43593</v>
      </c>
      <c r="C1437" s="1" t="n">
        <v>45212</v>
      </c>
      <c r="D1437" t="inlineStr">
        <is>
          <t>VÄSTERNORRLANDS LÄN</t>
        </is>
      </c>
      <c r="E1437" t="inlineStr">
        <is>
          <t>ÅNGE</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23294-2019</t>
        </is>
      </c>
      <c r="B1438" s="1" t="n">
        <v>43593</v>
      </c>
      <c r="C1438" s="1" t="n">
        <v>45212</v>
      </c>
      <c r="D1438" t="inlineStr">
        <is>
          <t>VÄSTERNORRLANDS LÄN</t>
        </is>
      </c>
      <c r="E1438" t="inlineStr">
        <is>
          <t>ÖRNSKÖLDSVIK</t>
        </is>
      </c>
      <c r="G1438" t="n">
        <v>27.6</v>
      </c>
      <c r="H1438" t="n">
        <v>0</v>
      </c>
      <c r="I1438" t="n">
        <v>0</v>
      </c>
      <c r="J1438" t="n">
        <v>0</v>
      </c>
      <c r="K1438" t="n">
        <v>0</v>
      </c>
      <c r="L1438" t="n">
        <v>0</v>
      </c>
      <c r="M1438" t="n">
        <v>0</v>
      </c>
      <c r="N1438" t="n">
        <v>0</v>
      </c>
      <c r="O1438" t="n">
        <v>0</v>
      </c>
      <c r="P1438" t="n">
        <v>0</v>
      </c>
      <c r="Q1438" t="n">
        <v>0</v>
      </c>
      <c r="R1438" s="2" t="inlineStr"/>
    </row>
    <row r="1439" ht="15" customHeight="1">
      <c r="A1439" t="inlineStr">
        <is>
          <t>A 23309-2019</t>
        </is>
      </c>
      <c r="B1439" s="1" t="n">
        <v>43593</v>
      </c>
      <c r="C1439" s="1" t="n">
        <v>45212</v>
      </c>
      <c r="D1439" t="inlineStr">
        <is>
          <t>VÄSTERNORRLANDS LÄN</t>
        </is>
      </c>
      <c r="E1439" t="inlineStr">
        <is>
          <t>ÖRNSKÖLDSVIK</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23455-2019</t>
        </is>
      </c>
      <c r="B1440" s="1" t="n">
        <v>43593</v>
      </c>
      <c r="C1440" s="1" t="n">
        <v>45212</v>
      </c>
      <c r="D1440" t="inlineStr">
        <is>
          <t>VÄSTERNORRLANDS LÄN</t>
        </is>
      </c>
      <c r="E1440" t="inlineStr">
        <is>
          <t>SUNDSVALL</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23739-2019</t>
        </is>
      </c>
      <c r="B1441" s="1" t="n">
        <v>43594</v>
      </c>
      <c r="C1441" s="1" t="n">
        <v>45212</v>
      </c>
      <c r="D1441" t="inlineStr">
        <is>
          <t>VÄSTERNORRLANDS LÄN</t>
        </is>
      </c>
      <c r="E1441" t="inlineStr">
        <is>
          <t>HÄRNÖSAND</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23734-2019</t>
        </is>
      </c>
      <c r="B1442" s="1" t="n">
        <v>43594</v>
      </c>
      <c r="C1442" s="1" t="n">
        <v>45212</v>
      </c>
      <c r="D1442" t="inlineStr">
        <is>
          <t>VÄSTERNORRLANDS LÄN</t>
        </is>
      </c>
      <c r="E1442" t="inlineStr">
        <is>
          <t>HÄRNÖSAND</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23790-2019</t>
        </is>
      </c>
      <c r="B1443" s="1" t="n">
        <v>43595</v>
      </c>
      <c r="C1443" s="1" t="n">
        <v>45212</v>
      </c>
      <c r="D1443" t="inlineStr">
        <is>
          <t>VÄSTERNORRLANDS LÄN</t>
        </is>
      </c>
      <c r="E1443" t="inlineStr">
        <is>
          <t>SUNDSVALL</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23931-2019</t>
        </is>
      </c>
      <c r="B1444" s="1" t="n">
        <v>43595</v>
      </c>
      <c r="C1444" s="1" t="n">
        <v>45212</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24227-2019</t>
        </is>
      </c>
      <c r="B1445" s="1" t="n">
        <v>43595</v>
      </c>
      <c r="C1445" s="1" t="n">
        <v>45212</v>
      </c>
      <c r="D1445" t="inlineStr">
        <is>
          <t>VÄSTERNORRLANDS LÄN</t>
        </is>
      </c>
      <c r="E1445" t="inlineStr">
        <is>
          <t>ÖRNSKÖLDSVIK</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23929-2019</t>
        </is>
      </c>
      <c r="B1446" s="1" t="n">
        <v>43595</v>
      </c>
      <c r="C1446" s="1" t="n">
        <v>45212</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23766-2019</t>
        </is>
      </c>
      <c r="B1447" s="1" t="n">
        <v>43595</v>
      </c>
      <c r="C1447" s="1" t="n">
        <v>45212</v>
      </c>
      <c r="D1447" t="inlineStr">
        <is>
          <t>VÄSTERNORRLANDS LÄN</t>
        </is>
      </c>
      <c r="E1447" t="inlineStr">
        <is>
          <t>KRAMFORS</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23877-2019</t>
        </is>
      </c>
      <c r="B1448" s="1" t="n">
        <v>43595</v>
      </c>
      <c r="C1448" s="1" t="n">
        <v>45212</v>
      </c>
      <c r="D1448" t="inlineStr">
        <is>
          <t>VÄSTERNORRLANDS LÄN</t>
        </is>
      </c>
      <c r="E1448" t="inlineStr">
        <is>
          <t>ÖRNSKÖLDSVIK</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24157-2019</t>
        </is>
      </c>
      <c r="B1449" s="1" t="n">
        <v>43598</v>
      </c>
      <c r="C1449" s="1" t="n">
        <v>45212</v>
      </c>
      <c r="D1449" t="inlineStr">
        <is>
          <t>VÄSTERNORRLANDS LÄN</t>
        </is>
      </c>
      <c r="E1449" t="inlineStr">
        <is>
          <t>SOLLEFTEÅ</t>
        </is>
      </c>
      <c r="F1449" t="inlineStr">
        <is>
          <t>SCA</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24161-2019</t>
        </is>
      </c>
      <c r="B1450" s="1" t="n">
        <v>43598</v>
      </c>
      <c r="C1450" s="1" t="n">
        <v>45212</v>
      </c>
      <c r="D1450" t="inlineStr">
        <is>
          <t>VÄSTERNORRLANDS LÄN</t>
        </is>
      </c>
      <c r="E1450" t="inlineStr">
        <is>
          <t>HÄRNÖSAND</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24168-2019</t>
        </is>
      </c>
      <c r="B1451" s="1" t="n">
        <v>43598</v>
      </c>
      <c r="C1451" s="1" t="n">
        <v>45212</v>
      </c>
      <c r="D1451" t="inlineStr">
        <is>
          <t>VÄSTERNORRLANDS LÄN</t>
        </is>
      </c>
      <c r="E1451" t="inlineStr">
        <is>
          <t>SOLLEFTEÅ</t>
        </is>
      </c>
      <c r="F1451" t="inlineStr">
        <is>
          <t>SCA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24271-2019</t>
        </is>
      </c>
      <c r="B1452" s="1" t="n">
        <v>43599</v>
      </c>
      <c r="C1452" s="1" t="n">
        <v>45212</v>
      </c>
      <c r="D1452" t="inlineStr">
        <is>
          <t>VÄSTERNORRLANDS LÄN</t>
        </is>
      </c>
      <c r="E1452" t="inlineStr">
        <is>
          <t>SUNDSVALL</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24307-2019</t>
        </is>
      </c>
      <c r="B1453" s="1" t="n">
        <v>43599</v>
      </c>
      <c r="C1453" s="1" t="n">
        <v>45212</v>
      </c>
      <c r="D1453" t="inlineStr">
        <is>
          <t>VÄSTERNORRLANDS LÄN</t>
        </is>
      </c>
      <c r="E1453" t="inlineStr">
        <is>
          <t>ÖRNSKÖLDSVIK</t>
        </is>
      </c>
      <c r="G1453" t="n">
        <v>7.3</v>
      </c>
      <c r="H1453" t="n">
        <v>0</v>
      </c>
      <c r="I1453" t="n">
        <v>0</v>
      </c>
      <c r="J1453" t="n">
        <v>0</v>
      </c>
      <c r="K1453" t="n">
        <v>0</v>
      </c>
      <c r="L1453" t="n">
        <v>0</v>
      </c>
      <c r="M1453" t="n">
        <v>0</v>
      </c>
      <c r="N1453" t="n">
        <v>0</v>
      </c>
      <c r="O1453" t="n">
        <v>0</v>
      </c>
      <c r="P1453" t="n">
        <v>0</v>
      </c>
      <c r="Q1453" t="n">
        <v>0</v>
      </c>
      <c r="R1453" s="2" t="inlineStr"/>
    </row>
    <row r="1454" ht="15" customHeight="1">
      <c r="A1454" t="inlineStr">
        <is>
          <t>A 24567-2019</t>
        </is>
      </c>
      <c r="B1454" s="1" t="n">
        <v>43600</v>
      </c>
      <c r="C1454" s="1" t="n">
        <v>45212</v>
      </c>
      <c r="D1454" t="inlineStr">
        <is>
          <t>VÄSTERNORRLANDS LÄN</t>
        </is>
      </c>
      <c r="E1454" t="inlineStr">
        <is>
          <t>ÅNGE</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24800-2019</t>
        </is>
      </c>
      <c r="B1455" s="1" t="n">
        <v>43600</v>
      </c>
      <c r="C1455" s="1" t="n">
        <v>45212</v>
      </c>
      <c r="D1455" t="inlineStr">
        <is>
          <t>VÄSTERNORRLANDS LÄN</t>
        </is>
      </c>
      <c r="E1455" t="inlineStr">
        <is>
          <t>HÄRNÖSAND</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24568-2019</t>
        </is>
      </c>
      <c r="B1456" s="1" t="n">
        <v>43600</v>
      </c>
      <c r="C1456" s="1" t="n">
        <v>45212</v>
      </c>
      <c r="D1456" t="inlineStr">
        <is>
          <t>VÄSTERNORRLANDS LÄN</t>
        </is>
      </c>
      <c r="E1456" t="inlineStr">
        <is>
          <t>ÅNGE</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24583-2019</t>
        </is>
      </c>
      <c r="B1457" s="1" t="n">
        <v>43600</v>
      </c>
      <c r="C1457" s="1" t="n">
        <v>45212</v>
      </c>
      <c r="D1457" t="inlineStr">
        <is>
          <t>VÄSTERNORRLANDS LÄN</t>
        </is>
      </c>
      <c r="E1457" t="inlineStr">
        <is>
          <t>SUNDSVALL</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24569-2019</t>
        </is>
      </c>
      <c r="B1458" s="1" t="n">
        <v>43600</v>
      </c>
      <c r="C1458" s="1" t="n">
        <v>45212</v>
      </c>
      <c r="D1458" t="inlineStr">
        <is>
          <t>VÄSTERNORRLANDS LÄN</t>
        </is>
      </c>
      <c r="E1458" t="inlineStr">
        <is>
          <t>ÅNGE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24585-2019</t>
        </is>
      </c>
      <c r="B1459" s="1" t="n">
        <v>43600</v>
      </c>
      <c r="C1459" s="1" t="n">
        <v>45212</v>
      </c>
      <c r="D1459" t="inlineStr">
        <is>
          <t>VÄSTERNORRLANDS LÄN</t>
        </is>
      </c>
      <c r="E1459" t="inlineStr">
        <is>
          <t>SUNDSVALL</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24783-2019</t>
        </is>
      </c>
      <c r="B1460" s="1" t="n">
        <v>43601</v>
      </c>
      <c r="C1460" s="1" t="n">
        <v>45212</v>
      </c>
      <c r="D1460" t="inlineStr">
        <is>
          <t>VÄSTERNORRLANDS LÄN</t>
        </is>
      </c>
      <c r="E1460" t="inlineStr">
        <is>
          <t>SUNDSVALL</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25260-2019</t>
        </is>
      </c>
      <c r="B1461" s="1" t="n">
        <v>43601</v>
      </c>
      <c r="C1461" s="1" t="n">
        <v>45212</v>
      </c>
      <c r="D1461" t="inlineStr">
        <is>
          <t>VÄSTERNORRLANDS LÄN</t>
        </is>
      </c>
      <c r="E1461" t="inlineStr">
        <is>
          <t>SOLLEFTEÅ</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25331-2019</t>
        </is>
      </c>
      <c r="B1462" s="1" t="n">
        <v>43601</v>
      </c>
      <c r="C1462" s="1" t="n">
        <v>45212</v>
      </c>
      <c r="D1462" t="inlineStr">
        <is>
          <t>VÄSTERNORRLANDS LÄN</t>
        </is>
      </c>
      <c r="E1462" t="inlineStr">
        <is>
          <t>SOLLEFTEÅ</t>
        </is>
      </c>
      <c r="G1462" t="n">
        <v>7.2</v>
      </c>
      <c r="H1462" t="n">
        <v>0</v>
      </c>
      <c r="I1462" t="n">
        <v>0</v>
      </c>
      <c r="J1462" t="n">
        <v>0</v>
      </c>
      <c r="K1462" t="n">
        <v>0</v>
      </c>
      <c r="L1462" t="n">
        <v>0</v>
      </c>
      <c r="M1462" t="n">
        <v>0</v>
      </c>
      <c r="N1462" t="n">
        <v>0</v>
      </c>
      <c r="O1462" t="n">
        <v>0</v>
      </c>
      <c r="P1462" t="n">
        <v>0</v>
      </c>
      <c r="Q1462" t="n">
        <v>0</v>
      </c>
      <c r="R1462" s="2" t="inlineStr"/>
    </row>
    <row r="1463" ht="15" customHeight="1">
      <c r="A1463" t="inlineStr">
        <is>
          <t>A 25601-2019</t>
        </is>
      </c>
      <c r="B1463" s="1" t="n">
        <v>43601</v>
      </c>
      <c r="C1463" s="1" t="n">
        <v>45212</v>
      </c>
      <c r="D1463" t="inlineStr">
        <is>
          <t>VÄSTERNORRLANDS LÄN</t>
        </is>
      </c>
      <c r="E1463" t="inlineStr">
        <is>
          <t>ÖRNSKÖLDSVIK</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24781-2019</t>
        </is>
      </c>
      <c r="B1464" s="1" t="n">
        <v>43601</v>
      </c>
      <c r="C1464" s="1" t="n">
        <v>45212</v>
      </c>
      <c r="D1464" t="inlineStr">
        <is>
          <t>VÄSTERNORRLANDS LÄN</t>
        </is>
      </c>
      <c r="E1464" t="inlineStr">
        <is>
          <t>ÅNGE</t>
        </is>
      </c>
      <c r="F1464" t="inlineStr">
        <is>
          <t>SCA</t>
        </is>
      </c>
      <c r="G1464" t="n">
        <v>14.6</v>
      </c>
      <c r="H1464" t="n">
        <v>0</v>
      </c>
      <c r="I1464" t="n">
        <v>0</v>
      </c>
      <c r="J1464" t="n">
        <v>0</v>
      </c>
      <c r="K1464" t="n">
        <v>0</v>
      </c>
      <c r="L1464" t="n">
        <v>0</v>
      </c>
      <c r="M1464" t="n">
        <v>0</v>
      </c>
      <c r="N1464" t="n">
        <v>0</v>
      </c>
      <c r="O1464" t="n">
        <v>0</v>
      </c>
      <c r="P1464" t="n">
        <v>0</v>
      </c>
      <c r="Q1464" t="n">
        <v>0</v>
      </c>
      <c r="R1464" s="2" t="inlineStr"/>
    </row>
    <row r="1465" ht="15" customHeight="1">
      <c r="A1465" t="inlineStr">
        <is>
          <t>A 25328-2019</t>
        </is>
      </c>
      <c r="B1465" s="1" t="n">
        <v>43601</v>
      </c>
      <c r="C1465" s="1" t="n">
        <v>45212</v>
      </c>
      <c r="D1465" t="inlineStr">
        <is>
          <t>VÄSTERNORRLANDS LÄN</t>
        </is>
      </c>
      <c r="E1465" t="inlineStr">
        <is>
          <t>SOLLEFTEÅ</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24767-2019</t>
        </is>
      </c>
      <c r="B1466" s="1" t="n">
        <v>43601</v>
      </c>
      <c r="C1466" s="1" t="n">
        <v>45212</v>
      </c>
      <c r="D1466" t="inlineStr">
        <is>
          <t>VÄSTERNORRLANDS LÄN</t>
        </is>
      </c>
      <c r="E1466" t="inlineStr">
        <is>
          <t>TIMRÅ</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25334-2019</t>
        </is>
      </c>
      <c r="B1467" s="1" t="n">
        <v>43601</v>
      </c>
      <c r="C1467" s="1" t="n">
        <v>45212</v>
      </c>
      <c r="D1467" t="inlineStr">
        <is>
          <t>VÄSTERNORRLANDS LÄN</t>
        </is>
      </c>
      <c r="E1467" t="inlineStr">
        <is>
          <t>SOLLEFTEÅ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24771-2019</t>
        </is>
      </c>
      <c r="B1468" s="1" t="n">
        <v>43601</v>
      </c>
      <c r="C1468" s="1" t="n">
        <v>45212</v>
      </c>
      <c r="D1468" t="inlineStr">
        <is>
          <t>VÄSTERNORRLANDS LÄN</t>
        </is>
      </c>
      <c r="E1468" t="inlineStr">
        <is>
          <t>SUNDSVALL</t>
        </is>
      </c>
      <c r="F1468" t="inlineStr">
        <is>
          <t>SCA</t>
        </is>
      </c>
      <c r="G1468" t="n">
        <v>17.9</v>
      </c>
      <c r="H1468" t="n">
        <v>0</v>
      </c>
      <c r="I1468" t="n">
        <v>0</v>
      </c>
      <c r="J1468" t="n">
        <v>0</v>
      </c>
      <c r="K1468" t="n">
        <v>0</v>
      </c>
      <c r="L1468" t="n">
        <v>0</v>
      </c>
      <c r="M1468" t="n">
        <v>0</v>
      </c>
      <c r="N1468" t="n">
        <v>0</v>
      </c>
      <c r="O1468" t="n">
        <v>0</v>
      </c>
      <c r="P1468" t="n">
        <v>0</v>
      </c>
      <c r="Q1468" t="n">
        <v>0</v>
      </c>
      <c r="R1468" s="2" t="inlineStr"/>
    </row>
    <row r="1469" ht="15" customHeight="1">
      <c r="A1469" t="inlineStr">
        <is>
          <t>A 25014-2019</t>
        </is>
      </c>
      <c r="B1469" s="1" t="n">
        <v>43602</v>
      </c>
      <c r="C1469" s="1" t="n">
        <v>45212</v>
      </c>
      <c r="D1469" t="inlineStr">
        <is>
          <t>VÄSTERNORRLANDS LÄN</t>
        </is>
      </c>
      <c r="E1469" t="inlineStr">
        <is>
          <t>SOLLEFTEÅ</t>
        </is>
      </c>
      <c r="F1469" t="inlineStr">
        <is>
          <t>SCA</t>
        </is>
      </c>
      <c r="G1469" t="n">
        <v>11.1</v>
      </c>
      <c r="H1469" t="n">
        <v>0</v>
      </c>
      <c r="I1469" t="n">
        <v>0</v>
      </c>
      <c r="J1469" t="n">
        <v>0</v>
      </c>
      <c r="K1469" t="n">
        <v>0</v>
      </c>
      <c r="L1469" t="n">
        <v>0</v>
      </c>
      <c r="M1469" t="n">
        <v>0</v>
      </c>
      <c r="N1469" t="n">
        <v>0</v>
      </c>
      <c r="O1469" t="n">
        <v>0</v>
      </c>
      <c r="P1469" t="n">
        <v>0</v>
      </c>
      <c r="Q1469" t="n">
        <v>0</v>
      </c>
      <c r="R1469" s="2" t="inlineStr"/>
    </row>
    <row r="1470" ht="15" customHeight="1">
      <c r="A1470" t="inlineStr">
        <is>
          <t>A 24848-2019</t>
        </is>
      </c>
      <c r="B1470" s="1" t="n">
        <v>43602</v>
      </c>
      <c r="C1470" s="1" t="n">
        <v>45212</v>
      </c>
      <c r="D1470" t="inlineStr">
        <is>
          <t>VÄSTERNORRLANDS LÄN</t>
        </is>
      </c>
      <c r="E1470" t="inlineStr">
        <is>
          <t>SUNDSVALL</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25044-2019</t>
        </is>
      </c>
      <c r="B1471" s="1" t="n">
        <v>43603</v>
      </c>
      <c r="C1471" s="1" t="n">
        <v>45212</v>
      </c>
      <c r="D1471" t="inlineStr">
        <is>
          <t>VÄSTERNORRLANDS LÄN</t>
        </is>
      </c>
      <c r="E1471" t="inlineStr">
        <is>
          <t>SUNDSVALL</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26089-2019</t>
        </is>
      </c>
      <c r="B1472" s="1" t="n">
        <v>43605</v>
      </c>
      <c r="C1472" s="1" t="n">
        <v>45212</v>
      </c>
      <c r="D1472" t="inlineStr">
        <is>
          <t>VÄSTERNORRLANDS LÄN</t>
        </is>
      </c>
      <c r="E1472" t="inlineStr">
        <is>
          <t>KRAMFORS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26111-2019</t>
        </is>
      </c>
      <c r="B1473" s="1" t="n">
        <v>43605</v>
      </c>
      <c r="C1473" s="1" t="n">
        <v>45212</v>
      </c>
      <c r="D1473" t="inlineStr">
        <is>
          <t>VÄSTERNORRLANDS LÄN</t>
        </is>
      </c>
      <c r="E1473" t="inlineStr">
        <is>
          <t>SOLLEFTEÅ</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25450-2019</t>
        </is>
      </c>
      <c r="B1474" s="1" t="n">
        <v>43606</v>
      </c>
      <c r="C1474" s="1" t="n">
        <v>45212</v>
      </c>
      <c r="D1474" t="inlineStr">
        <is>
          <t>VÄSTERNORRLANDS LÄN</t>
        </is>
      </c>
      <c r="E1474" t="inlineStr">
        <is>
          <t>KRAMFORS</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25453-2019</t>
        </is>
      </c>
      <c r="B1475" s="1" t="n">
        <v>43606</v>
      </c>
      <c r="C1475" s="1" t="n">
        <v>45212</v>
      </c>
      <c r="D1475" t="inlineStr">
        <is>
          <t>VÄSTERNORRLANDS LÄN</t>
        </is>
      </c>
      <c r="E1475" t="inlineStr">
        <is>
          <t>ÅNGE</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26498-2019</t>
        </is>
      </c>
      <c r="B1476" s="1" t="n">
        <v>43606</v>
      </c>
      <c r="C1476" s="1" t="n">
        <v>45212</v>
      </c>
      <c r="D1476" t="inlineStr">
        <is>
          <t>VÄSTERNORRLANDS LÄN</t>
        </is>
      </c>
      <c r="E1476" t="inlineStr">
        <is>
          <t>ÖRNSKÖLDSVIK</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25714-2019</t>
        </is>
      </c>
      <c r="B1477" s="1" t="n">
        <v>43607</v>
      </c>
      <c r="C1477" s="1" t="n">
        <v>45212</v>
      </c>
      <c r="D1477" t="inlineStr">
        <is>
          <t>VÄSTERNORRLANDS LÄN</t>
        </is>
      </c>
      <c r="E1477" t="inlineStr">
        <is>
          <t>SOLLEFTEÅ</t>
        </is>
      </c>
      <c r="F1477" t="inlineStr">
        <is>
          <t>SCA</t>
        </is>
      </c>
      <c r="G1477" t="n">
        <v>28.3</v>
      </c>
      <c r="H1477" t="n">
        <v>0</v>
      </c>
      <c r="I1477" t="n">
        <v>0</v>
      </c>
      <c r="J1477" t="n">
        <v>0</v>
      </c>
      <c r="K1477" t="n">
        <v>0</v>
      </c>
      <c r="L1477" t="n">
        <v>0</v>
      </c>
      <c r="M1477" t="n">
        <v>0</v>
      </c>
      <c r="N1477" t="n">
        <v>0</v>
      </c>
      <c r="O1477" t="n">
        <v>0</v>
      </c>
      <c r="P1477" t="n">
        <v>0</v>
      </c>
      <c r="Q1477" t="n">
        <v>0</v>
      </c>
      <c r="R1477" s="2" t="inlineStr"/>
    </row>
    <row r="1478" ht="15" customHeight="1">
      <c r="A1478" t="inlineStr">
        <is>
          <t>A 25549-2019</t>
        </is>
      </c>
      <c r="B1478" s="1" t="n">
        <v>43607</v>
      </c>
      <c r="C1478" s="1" t="n">
        <v>45212</v>
      </c>
      <c r="D1478" t="inlineStr">
        <is>
          <t>VÄSTERNORRLANDS LÄN</t>
        </is>
      </c>
      <c r="E1478" t="inlineStr">
        <is>
          <t>ÅNGE</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25565-2019</t>
        </is>
      </c>
      <c r="B1479" s="1" t="n">
        <v>43607</v>
      </c>
      <c r="C1479" s="1" t="n">
        <v>45212</v>
      </c>
      <c r="D1479" t="inlineStr">
        <is>
          <t>VÄSTERNORRLANDS LÄN</t>
        </is>
      </c>
      <c r="E1479" t="inlineStr">
        <is>
          <t>ÖRNSKÖLDSVIK</t>
        </is>
      </c>
      <c r="F1479" t="inlineStr">
        <is>
          <t>Holmen skog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25712-2019</t>
        </is>
      </c>
      <c r="B1480" s="1" t="n">
        <v>43607</v>
      </c>
      <c r="C1480" s="1" t="n">
        <v>45212</v>
      </c>
      <c r="D1480" t="inlineStr">
        <is>
          <t>VÄSTERNORRLANDS LÄN</t>
        </is>
      </c>
      <c r="E1480" t="inlineStr">
        <is>
          <t>SUNDSVALL</t>
        </is>
      </c>
      <c r="G1480" t="n">
        <v>5.7</v>
      </c>
      <c r="H1480" t="n">
        <v>0</v>
      </c>
      <c r="I1480" t="n">
        <v>0</v>
      </c>
      <c r="J1480" t="n">
        <v>0</v>
      </c>
      <c r="K1480" t="n">
        <v>0</v>
      </c>
      <c r="L1480" t="n">
        <v>0</v>
      </c>
      <c r="M1480" t="n">
        <v>0</v>
      </c>
      <c r="N1480" t="n">
        <v>0</v>
      </c>
      <c r="O1480" t="n">
        <v>0</v>
      </c>
      <c r="P1480" t="n">
        <v>0</v>
      </c>
      <c r="Q1480" t="n">
        <v>0</v>
      </c>
      <c r="R1480" s="2" t="inlineStr"/>
    </row>
    <row r="1481" ht="15" customHeight="1">
      <c r="A1481" t="inlineStr">
        <is>
          <t>A 25962-2019</t>
        </is>
      </c>
      <c r="B1481" s="1" t="n">
        <v>43608</v>
      </c>
      <c r="C1481" s="1" t="n">
        <v>45212</v>
      </c>
      <c r="D1481" t="inlineStr">
        <is>
          <t>VÄSTERNORRLANDS LÄN</t>
        </is>
      </c>
      <c r="E1481" t="inlineStr">
        <is>
          <t>SUNDSVALL</t>
        </is>
      </c>
      <c r="F1481" t="inlineStr">
        <is>
          <t>SCA</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25982-2019</t>
        </is>
      </c>
      <c r="B1482" s="1" t="n">
        <v>43608</v>
      </c>
      <c r="C1482" s="1" t="n">
        <v>45212</v>
      </c>
      <c r="D1482" t="inlineStr">
        <is>
          <t>VÄSTERNORRLANDS LÄN</t>
        </is>
      </c>
      <c r="E1482" t="inlineStr">
        <is>
          <t>SOLLEFTEÅ</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25997-2019</t>
        </is>
      </c>
      <c r="B1483" s="1" t="n">
        <v>43608</v>
      </c>
      <c r="C1483" s="1" t="n">
        <v>45212</v>
      </c>
      <c r="D1483" t="inlineStr">
        <is>
          <t>VÄSTERNORRLANDS LÄN</t>
        </is>
      </c>
      <c r="E1483" t="inlineStr">
        <is>
          <t>SOLLEFTEÅ</t>
        </is>
      </c>
      <c r="F1483" t="inlineStr">
        <is>
          <t>SCA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26014-2019</t>
        </is>
      </c>
      <c r="B1484" s="1" t="n">
        <v>43608</v>
      </c>
      <c r="C1484" s="1" t="n">
        <v>45212</v>
      </c>
      <c r="D1484" t="inlineStr">
        <is>
          <t>VÄSTERNORRLANDS LÄN</t>
        </is>
      </c>
      <c r="E1484" t="inlineStr">
        <is>
          <t>SUNDSVALL</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25959-2019</t>
        </is>
      </c>
      <c r="B1485" s="1" t="n">
        <v>43608</v>
      </c>
      <c r="C1485" s="1" t="n">
        <v>45212</v>
      </c>
      <c r="D1485" t="inlineStr">
        <is>
          <t>VÄSTERNORRLANDS LÄN</t>
        </is>
      </c>
      <c r="E1485" t="inlineStr">
        <is>
          <t>SOLLEFTEÅ</t>
        </is>
      </c>
      <c r="F1485" t="inlineStr">
        <is>
          <t>SCA</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25996-2019</t>
        </is>
      </c>
      <c r="B1486" s="1" t="n">
        <v>43608</v>
      </c>
      <c r="C1486" s="1" t="n">
        <v>45212</v>
      </c>
      <c r="D1486" t="inlineStr">
        <is>
          <t>VÄSTERNORRLANDS LÄN</t>
        </is>
      </c>
      <c r="E1486" t="inlineStr">
        <is>
          <t>KRAMFORS</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26922-2019</t>
        </is>
      </c>
      <c r="B1487" s="1" t="n">
        <v>43608</v>
      </c>
      <c r="C1487" s="1" t="n">
        <v>45212</v>
      </c>
      <c r="D1487" t="inlineStr">
        <is>
          <t>VÄSTERNORRLANDS LÄN</t>
        </is>
      </c>
      <c r="E1487" t="inlineStr">
        <is>
          <t>ÖRNSKÖLDSVIK</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25958-2019</t>
        </is>
      </c>
      <c r="B1488" s="1" t="n">
        <v>43608</v>
      </c>
      <c r="C1488" s="1" t="n">
        <v>45212</v>
      </c>
      <c r="D1488" t="inlineStr">
        <is>
          <t>VÄSTERNORRLANDS LÄN</t>
        </is>
      </c>
      <c r="E1488" t="inlineStr">
        <is>
          <t>SOLLEFTEÅ</t>
        </is>
      </c>
      <c r="F1488" t="inlineStr">
        <is>
          <t>SCA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25979-2019</t>
        </is>
      </c>
      <c r="B1489" s="1" t="n">
        <v>43608</v>
      </c>
      <c r="C1489" s="1" t="n">
        <v>45212</v>
      </c>
      <c r="D1489" t="inlineStr">
        <is>
          <t>VÄSTERNORRLANDS LÄN</t>
        </is>
      </c>
      <c r="E1489" t="inlineStr">
        <is>
          <t>SOLLEFTEÅ</t>
        </is>
      </c>
      <c r="F1489" t="inlineStr">
        <is>
          <t>SCA</t>
        </is>
      </c>
      <c r="G1489" t="n">
        <v>26.1</v>
      </c>
      <c r="H1489" t="n">
        <v>0</v>
      </c>
      <c r="I1489" t="n">
        <v>0</v>
      </c>
      <c r="J1489" t="n">
        <v>0</v>
      </c>
      <c r="K1489" t="n">
        <v>0</v>
      </c>
      <c r="L1489" t="n">
        <v>0</v>
      </c>
      <c r="M1489" t="n">
        <v>0</v>
      </c>
      <c r="N1489" t="n">
        <v>0</v>
      </c>
      <c r="O1489" t="n">
        <v>0</v>
      </c>
      <c r="P1489" t="n">
        <v>0</v>
      </c>
      <c r="Q1489" t="n">
        <v>0</v>
      </c>
      <c r="R1489" s="2" t="inlineStr"/>
    </row>
    <row r="1490" ht="15" customHeight="1">
      <c r="A1490" t="inlineStr">
        <is>
          <t>A 25995-2019</t>
        </is>
      </c>
      <c r="B1490" s="1" t="n">
        <v>43608</v>
      </c>
      <c r="C1490" s="1" t="n">
        <v>45212</v>
      </c>
      <c r="D1490" t="inlineStr">
        <is>
          <t>VÄSTERNORRLANDS LÄN</t>
        </is>
      </c>
      <c r="E1490" t="inlineStr">
        <is>
          <t>KRAMFORS</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26062-2019</t>
        </is>
      </c>
      <c r="B1491" s="1" t="n">
        <v>43609</v>
      </c>
      <c r="C1491" s="1" t="n">
        <v>45212</v>
      </c>
      <c r="D1491" t="inlineStr">
        <is>
          <t>VÄSTERNORRLANDS LÄN</t>
        </is>
      </c>
      <c r="E1491" t="inlineStr">
        <is>
          <t>KRAMFORS</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26970-2019</t>
        </is>
      </c>
      <c r="B1492" s="1" t="n">
        <v>43609</v>
      </c>
      <c r="C1492" s="1" t="n">
        <v>45212</v>
      </c>
      <c r="D1492" t="inlineStr">
        <is>
          <t>VÄSTERNORRLANDS LÄN</t>
        </is>
      </c>
      <c r="E1492" t="inlineStr">
        <is>
          <t>ÖRNSKÖLDSVIK</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26254-2019</t>
        </is>
      </c>
      <c r="B1493" s="1" t="n">
        <v>43609</v>
      </c>
      <c r="C1493" s="1" t="n">
        <v>45212</v>
      </c>
      <c r="D1493" t="inlineStr">
        <is>
          <t>VÄSTERNORRLANDS LÄN</t>
        </is>
      </c>
      <c r="E1493" t="inlineStr">
        <is>
          <t>SOLLEFTEÅ</t>
        </is>
      </c>
      <c r="F1493" t="inlineStr">
        <is>
          <t>SCA</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26994-2019</t>
        </is>
      </c>
      <c r="B1494" s="1" t="n">
        <v>43609</v>
      </c>
      <c r="C1494" s="1" t="n">
        <v>45212</v>
      </c>
      <c r="D1494" t="inlineStr">
        <is>
          <t>VÄSTERNORRLANDS LÄN</t>
        </is>
      </c>
      <c r="E1494" t="inlineStr">
        <is>
          <t>ÖRNSKÖLDSVIK</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26968-2019</t>
        </is>
      </c>
      <c r="B1495" s="1" t="n">
        <v>43609</v>
      </c>
      <c r="C1495" s="1" t="n">
        <v>45212</v>
      </c>
      <c r="D1495" t="inlineStr">
        <is>
          <t>VÄSTERNORRLANDS LÄN</t>
        </is>
      </c>
      <c r="E1495" t="inlineStr">
        <is>
          <t>ÖRNSKÖLDSVIK</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27032-2019</t>
        </is>
      </c>
      <c r="B1496" s="1" t="n">
        <v>43609</v>
      </c>
      <c r="C1496" s="1" t="n">
        <v>45212</v>
      </c>
      <c r="D1496" t="inlineStr">
        <is>
          <t>VÄSTERNORRLANDS LÄN</t>
        </is>
      </c>
      <c r="E1496" t="inlineStr">
        <is>
          <t>SUNDSVALL</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26091-2019</t>
        </is>
      </c>
      <c r="B1497" s="1" t="n">
        <v>43609</v>
      </c>
      <c r="C1497" s="1" t="n">
        <v>45212</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26253-2019</t>
        </is>
      </c>
      <c r="B1498" s="1" t="n">
        <v>43609</v>
      </c>
      <c r="C1498" s="1" t="n">
        <v>45212</v>
      </c>
      <c r="D1498" t="inlineStr">
        <is>
          <t>VÄSTERNORRLANDS LÄN</t>
        </is>
      </c>
      <c r="E1498" t="inlineStr">
        <is>
          <t>SOLLEFTEÅ</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26993-2019</t>
        </is>
      </c>
      <c r="B1499" s="1" t="n">
        <v>43609</v>
      </c>
      <c r="C1499" s="1" t="n">
        <v>45212</v>
      </c>
      <c r="D1499" t="inlineStr">
        <is>
          <t>VÄSTERNORRLANDS LÄN</t>
        </is>
      </c>
      <c r="E1499" t="inlineStr">
        <is>
          <t>ÖRNSKÖLDSVIK</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26495-2019</t>
        </is>
      </c>
      <c r="B1500" s="1" t="n">
        <v>43612</v>
      </c>
      <c r="C1500" s="1" t="n">
        <v>45212</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26545-2019</t>
        </is>
      </c>
      <c r="B1501" s="1" t="n">
        <v>43612</v>
      </c>
      <c r="C1501" s="1" t="n">
        <v>45212</v>
      </c>
      <c r="D1501" t="inlineStr">
        <is>
          <t>VÄSTERNORRLANDS LÄN</t>
        </is>
      </c>
      <c r="E1501" t="inlineStr">
        <is>
          <t>ÅNGE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26300-2019</t>
        </is>
      </c>
      <c r="B1502" s="1" t="n">
        <v>43612</v>
      </c>
      <c r="C1502" s="1" t="n">
        <v>45212</v>
      </c>
      <c r="D1502" t="inlineStr">
        <is>
          <t>VÄSTERNORRLANDS LÄN</t>
        </is>
      </c>
      <c r="E1502" t="inlineStr">
        <is>
          <t>KRAMFORS</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26640-2019</t>
        </is>
      </c>
      <c r="B1503" s="1" t="n">
        <v>43612</v>
      </c>
      <c r="C1503" s="1" t="n">
        <v>45212</v>
      </c>
      <c r="D1503" t="inlineStr">
        <is>
          <t>VÄSTERNORRLANDS LÄN</t>
        </is>
      </c>
      <c r="E1503" t="inlineStr">
        <is>
          <t>SOLLEFTEÅ</t>
        </is>
      </c>
      <c r="F1503" t="inlineStr">
        <is>
          <t>SCA</t>
        </is>
      </c>
      <c r="G1503" t="n">
        <v>10.4</v>
      </c>
      <c r="H1503" t="n">
        <v>0</v>
      </c>
      <c r="I1503" t="n">
        <v>0</v>
      </c>
      <c r="J1503" t="n">
        <v>0</v>
      </c>
      <c r="K1503" t="n">
        <v>0</v>
      </c>
      <c r="L1503" t="n">
        <v>0</v>
      </c>
      <c r="M1503" t="n">
        <v>0</v>
      </c>
      <c r="N1503" t="n">
        <v>0</v>
      </c>
      <c r="O1503" t="n">
        <v>0</v>
      </c>
      <c r="P1503" t="n">
        <v>0</v>
      </c>
      <c r="Q1503" t="n">
        <v>0</v>
      </c>
      <c r="R1503" s="2" t="inlineStr"/>
    </row>
    <row r="1504" ht="15" customHeight="1">
      <c r="A1504" t="inlineStr">
        <is>
          <t>A 27597-2019</t>
        </is>
      </c>
      <c r="B1504" s="1" t="n">
        <v>43612</v>
      </c>
      <c r="C1504" s="1" t="n">
        <v>45212</v>
      </c>
      <c r="D1504" t="inlineStr">
        <is>
          <t>VÄSTERNORRLANDS LÄN</t>
        </is>
      </c>
      <c r="E1504" t="inlineStr">
        <is>
          <t>SOLLEFTEÅ</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26945-2019</t>
        </is>
      </c>
      <c r="B1505" s="1" t="n">
        <v>43613</v>
      </c>
      <c r="C1505" s="1" t="n">
        <v>45212</v>
      </c>
      <c r="D1505" t="inlineStr">
        <is>
          <t>VÄSTERNORRLANDS LÄN</t>
        </is>
      </c>
      <c r="E1505" t="inlineStr">
        <is>
          <t>SOLLEFTEÅ</t>
        </is>
      </c>
      <c r="F1505" t="inlineStr">
        <is>
          <t>SCA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26957-2019</t>
        </is>
      </c>
      <c r="B1506" s="1" t="n">
        <v>43613</v>
      </c>
      <c r="C1506" s="1" t="n">
        <v>45212</v>
      </c>
      <c r="D1506" t="inlineStr">
        <is>
          <t>VÄSTERNORRLANDS LÄN</t>
        </is>
      </c>
      <c r="E1506" t="inlineStr">
        <is>
          <t>SOLLEFTEÅ</t>
        </is>
      </c>
      <c r="F1506" t="inlineStr">
        <is>
          <t>SCA</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26646-2019</t>
        </is>
      </c>
      <c r="B1507" s="1" t="n">
        <v>43613</v>
      </c>
      <c r="C1507" s="1" t="n">
        <v>45212</v>
      </c>
      <c r="D1507" t="inlineStr">
        <is>
          <t>VÄSTERNORRLANDS LÄN</t>
        </is>
      </c>
      <c r="E1507" t="inlineStr">
        <is>
          <t>ÖRNSKÖLDSVIK</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28066-2019</t>
        </is>
      </c>
      <c r="B1508" s="1" t="n">
        <v>43613</v>
      </c>
      <c r="C1508" s="1" t="n">
        <v>45212</v>
      </c>
      <c r="D1508" t="inlineStr">
        <is>
          <t>VÄSTERNORRLANDS LÄN</t>
        </is>
      </c>
      <c r="E1508" t="inlineStr">
        <is>
          <t>SUNDSVALL</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27211-2019</t>
        </is>
      </c>
      <c r="B1509" s="1" t="n">
        <v>43614</v>
      </c>
      <c r="C1509" s="1" t="n">
        <v>45212</v>
      </c>
      <c r="D1509" t="inlineStr">
        <is>
          <t>VÄSTERNORRLANDS LÄN</t>
        </is>
      </c>
      <c r="E1509" t="inlineStr">
        <is>
          <t>ÅNGE</t>
        </is>
      </c>
      <c r="F1509" t="inlineStr">
        <is>
          <t>SCA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27226-2019</t>
        </is>
      </c>
      <c r="B1510" s="1" t="n">
        <v>43614</v>
      </c>
      <c r="C1510" s="1" t="n">
        <v>45212</v>
      </c>
      <c r="D1510" t="inlineStr">
        <is>
          <t>VÄSTERNORRLANDS LÄN</t>
        </is>
      </c>
      <c r="E1510" t="inlineStr">
        <is>
          <t>SOLLEFTEÅ</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28714-2019</t>
        </is>
      </c>
      <c r="B1511" s="1" t="n">
        <v>43614</v>
      </c>
      <c r="C1511" s="1" t="n">
        <v>45212</v>
      </c>
      <c r="D1511" t="inlineStr">
        <is>
          <t>VÄSTERNORRLANDS LÄN</t>
        </is>
      </c>
      <c r="E1511" t="inlineStr">
        <is>
          <t>ÖRNSKÖLDSVIK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27419-2019</t>
        </is>
      </c>
      <c r="B1512" s="1" t="n">
        <v>43616</v>
      </c>
      <c r="C1512" s="1" t="n">
        <v>45212</v>
      </c>
      <c r="D1512" t="inlineStr">
        <is>
          <t>VÄSTERNORRLANDS LÄN</t>
        </is>
      </c>
      <c r="E1512" t="inlineStr">
        <is>
          <t>SUNDSVALL</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27435-2019</t>
        </is>
      </c>
      <c r="B1513" s="1" t="n">
        <v>43617</v>
      </c>
      <c r="C1513" s="1" t="n">
        <v>45212</v>
      </c>
      <c r="D1513" t="inlineStr">
        <is>
          <t>VÄSTERNORRLANDS LÄN</t>
        </is>
      </c>
      <c r="E1513" t="inlineStr">
        <is>
          <t>ÖRNSKÖLDSVIK</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27775-2019</t>
        </is>
      </c>
      <c r="B1514" s="1" t="n">
        <v>43619</v>
      </c>
      <c r="C1514" s="1" t="n">
        <v>45212</v>
      </c>
      <c r="D1514" t="inlineStr">
        <is>
          <t>VÄSTERNORRLANDS LÄN</t>
        </is>
      </c>
      <c r="E1514" t="inlineStr">
        <is>
          <t>SUNDSVALL</t>
        </is>
      </c>
      <c r="F1514" t="inlineStr">
        <is>
          <t>SCA</t>
        </is>
      </c>
      <c r="G1514" t="n">
        <v>13.8</v>
      </c>
      <c r="H1514" t="n">
        <v>0</v>
      </c>
      <c r="I1514" t="n">
        <v>0</v>
      </c>
      <c r="J1514" t="n">
        <v>0</v>
      </c>
      <c r="K1514" t="n">
        <v>0</v>
      </c>
      <c r="L1514" t="n">
        <v>0</v>
      </c>
      <c r="M1514" t="n">
        <v>0</v>
      </c>
      <c r="N1514" t="n">
        <v>0</v>
      </c>
      <c r="O1514" t="n">
        <v>0</v>
      </c>
      <c r="P1514" t="n">
        <v>0</v>
      </c>
      <c r="Q1514" t="n">
        <v>0</v>
      </c>
      <c r="R1514" s="2" t="inlineStr"/>
    </row>
    <row r="1515" ht="15" customHeight="1">
      <c r="A1515" t="inlineStr">
        <is>
          <t>A 27759-2019</t>
        </is>
      </c>
      <c r="B1515" s="1" t="n">
        <v>43619</v>
      </c>
      <c r="C1515" s="1" t="n">
        <v>45212</v>
      </c>
      <c r="D1515" t="inlineStr">
        <is>
          <t>VÄSTERNORRLANDS LÄN</t>
        </is>
      </c>
      <c r="E1515" t="inlineStr">
        <is>
          <t>ÅNGE</t>
        </is>
      </c>
      <c r="F1515" t="inlineStr">
        <is>
          <t>SCA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27896-2019</t>
        </is>
      </c>
      <c r="B1516" s="1" t="n">
        <v>43620</v>
      </c>
      <c r="C1516" s="1" t="n">
        <v>45212</v>
      </c>
      <c r="D1516" t="inlineStr">
        <is>
          <t>VÄSTERNORRLANDS LÄN</t>
        </is>
      </c>
      <c r="E1516" t="inlineStr">
        <is>
          <t>KRAMFORS</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27972-2019</t>
        </is>
      </c>
      <c r="B1517" s="1" t="n">
        <v>43620</v>
      </c>
      <c r="C1517" s="1" t="n">
        <v>45212</v>
      </c>
      <c r="D1517" t="inlineStr">
        <is>
          <t>VÄSTERNORRLANDS LÄN</t>
        </is>
      </c>
      <c r="E1517" t="inlineStr">
        <is>
          <t>KRAMFORS</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27982-2019</t>
        </is>
      </c>
      <c r="B1518" s="1" t="n">
        <v>43620</v>
      </c>
      <c r="C1518" s="1" t="n">
        <v>45212</v>
      </c>
      <c r="D1518" t="inlineStr">
        <is>
          <t>VÄSTERNORRLANDS LÄN</t>
        </is>
      </c>
      <c r="E1518" t="inlineStr">
        <is>
          <t>SUNDSVALL</t>
        </is>
      </c>
      <c r="G1518" t="n">
        <v>5.7</v>
      </c>
      <c r="H1518" t="n">
        <v>0</v>
      </c>
      <c r="I1518" t="n">
        <v>0</v>
      </c>
      <c r="J1518" t="n">
        <v>0</v>
      </c>
      <c r="K1518" t="n">
        <v>0</v>
      </c>
      <c r="L1518" t="n">
        <v>0</v>
      </c>
      <c r="M1518" t="n">
        <v>0</v>
      </c>
      <c r="N1518" t="n">
        <v>0</v>
      </c>
      <c r="O1518" t="n">
        <v>0</v>
      </c>
      <c r="P1518" t="n">
        <v>0</v>
      </c>
      <c r="Q1518" t="n">
        <v>0</v>
      </c>
      <c r="R1518" s="2" t="inlineStr"/>
    </row>
    <row r="1519" ht="15" customHeight="1">
      <c r="A1519" t="inlineStr">
        <is>
          <t>A 27983-2019</t>
        </is>
      </c>
      <c r="B1519" s="1" t="n">
        <v>43620</v>
      </c>
      <c r="C1519" s="1" t="n">
        <v>45212</v>
      </c>
      <c r="D1519" t="inlineStr">
        <is>
          <t>VÄSTERNORRLANDS LÄN</t>
        </is>
      </c>
      <c r="E1519" t="inlineStr">
        <is>
          <t>SUNDSVALL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27979-2019</t>
        </is>
      </c>
      <c r="B1520" s="1" t="n">
        <v>43620</v>
      </c>
      <c r="C1520" s="1" t="n">
        <v>45212</v>
      </c>
      <c r="D1520" t="inlineStr">
        <is>
          <t>VÄSTERNORRLANDS LÄN</t>
        </is>
      </c>
      <c r="E1520" t="inlineStr">
        <is>
          <t>SOLLEFTEÅ</t>
        </is>
      </c>
      <c r="F1520" t="inlineStr">
        <is>
          <t>SCA</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27986-2019</t>
        </is>
      </c>
      <c r="B1521" s="1" t="n">
        <v>43620</v>
      </c>
      <c r="C1521" s="1" t="n">
        <v>45212</v>
      </c>
      <c r="D1521" t="inlineStr">
        <is>
          <t>VÄSTERNORRLANDS LÄN</t>
        </is>
      </c>
      <c r="E1521" t="inlineStr">
        <is>
          <t>SUNDSVALL</t>
        </is>
      </c>
      <c r="G1521" t="n">
        <v>4.9</v>
      </c>
      <c r="H1521" t="n">
        <v>0</v>
      </c>
      <c r="I1521" t="n">
        <v>0</v>
      </c>
      <c r="J1521" t="n">
        <v>0</v>
      </c>
      <c r="K1521" t="n">
        <v>0</v>
      </c>
      <c r="L1521" t="n">
        <v>0</v>
      </c>
      <c r="M1521" t="n">
        <v>0</v>
      </c>
      <c r="N1521" t="n">
        <v>0</v>
      </c>
      <c r="O1521" t="n">
        <v>0</v>
      </c>
      <c r="P1521" t="n">
        <v>0</v>
      </c>
      <c r="Q1521" t="n">
        <v>0</v>
      </c>
      <c r="R1521" s="2" t="inlineStr"/>
    </row>
    <row r="1522" ht="15" customHeight="1">
      <c r="A1522" t="inlineStr">
        <is>
          <t>A 27895-2019</t>
        </is>
      </c>
      <c r="B1522" s="1" t="n">
        <v>43620</v>
      </c>
      <c r="C1522" s="1" t="n">
        <v>45212</v>
      </c>
      <c r="D1522" t="inlineStr">
        <is>
          <t>VÄSTERNORRLANDS LÄN</t>
        </is>
      </c>
      <c r="E1522" t="inlineStr">
        <is>
          <t>KRAMFORS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27924-2019</t>
        </is>
      </c>
      <c r="B1523" s="1" t="n">
        <v>43620</v>
      </c>
      <c r="C1523" s="1" t="n">
        <v>45212</v>
      </c>
      <c r="D1523" t="inlineStr">
        <is>
          <t>VÄSTERNORRLANDS LÄN</t>
        </is>
      </c>
      <c r="E1523" t="inlineStr">
        <is>
          <t>ÖRNSKÖLDSVIK</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27981-2019</t>
        </is>
      </c>
      <c r="B1524" s="1" t="n">
        <v>43620</v>
      </c>
      <c r="C1524" s="1" t="n">
        <v>45212</v>
      </c>
      <c r="D1524" t="inlineStr">
        <is>
          <t>VÄSTERNORRLANDS LÄN</t>
        </is>
      </c>
      <c r="E1524" t="inlineStr">
        <is>
          <t>SUNDSVALL</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28186-2019</t>
        </is>
      </c>
      <c r="B1525" s="1" t="n">
        <v>43621</v>
      </c>
      <c r="C1525" s="1" t="n">
        <v>45212</v>
      </c>
      <c r="D1525" t="inlineStr">
        <is>
          <t>VÄSTERNORRLANDS LÄN</t>
        </is>
      </c>
      <c r="E1525" t="inlineStr">
        <is>
          <t>ÖRNSKÖLDSVIK</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28236-2019</t>
        </is>
      </c>
      <c r="B1526" s="1" t="n">
        <v>43621</v>
      </c>
      <c r="C1526" s="1" t="n">
        <v>45212</v>
      </c>
      <c r="D1526" t="inlineStr">
        <is>
          <t>VÄSTERNORRLANDS LÄN</t>
        </is>
      </c>
      <c r="E1526" t="inlineStr">
        <is>
          <t>SOLLEFTEÅ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29501-2019</t>
        </is>
      </c>
      <c r="B1527" s="1" t="n">
        <v>43621</v>
      </c>
      <c r="C1527" s="1" t="n">
        <v>45212</v>
      </c>
      <c r="D1527" t="inlineStr">
        <is>
          <t>VÄSTERNORRLANDS LÄN</t>
        </is>
      </c>
      <c r="E1527" t="inlineStr">
        <is>
          <t>ÖRNSKÖLDSVIK</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28212-2019</t>
        </is>
      </c>
      <c r="B1528" s="1" t="n">
        <v>43621</v>
      </c>
      <c r="C1528" s="1" t="n">
        <v>45212</v>
      </c>
      <c r="D1528" t="inlineStr">
        <is>
          <t>VÄSTERNORRLANDS LÄN</t>
        </is>
      </c>
      <c r="E1528" t="inlineStr">
        <is>
          <t>SOLLEFTEÅ</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29107-2019</t>
        </is>
      </c>
      <c r="B1529" s="1" t="n">
        <v>43621</v>
      </c>
      <c r="C1529" s="1" t="n">
        <v>45212</v>
      </c>
      <c r="D1529" t="inlineStr">
        <is>
          <t>VÄSTERNORRLANDS LÄN</t>
        </is>
      </c>
      <c r="E1529" t="inlineStr">
        <is>
          <t>ÖRNSKÖLDSVIK</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29104-2019</t>
        </is>
      </c>
      <c r="B1530" s="1" t="n">
        <v>43621</v>
      </c>
      <c r="C1530" s="1" t="n">
        <v>45212</v>
      </c>
      <c r="D1530" t="inlineStr">
        <is>
          <t>VÄSTERNORRLANDS LÄN</t>
        </is>
      </c>
      <c r="E1530" t="inlineStr">
        <is>
          <t>ÖRNSKÖLDSVIK</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28602-2019</t>
        </is>
      </c>
      <c r="B1531" s="1" t="n">
        <v>43626</v>
      </c>
      <c r="C1531" s="1" t="n">
        <v>45212</v>
      </c>
      <c r="D1531" t="inlineStr">
        <is>
          <t>VÄSTERNORRLANDS LÄN</t>
        </is>
      </c>
      <c r="E1531" t="inlineStr">
        <is>
          <t>KRAMFORS</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28425-2019</t>
        </is>
      </c>
      <c r="B1532" s="1" t="n">
        <v>43626</v>
      </c>
      <c r="C1532" s="1" t="n">
        <v>45212</v>
      </c>
      <c r="D1532" t="inlineStr">
        <is>
          <t>VÄSTERNORRLANDS LÄN</t>
        </is>
      </c>
      <c r="E1532" t="inlineStr">
        <is>
          <t>ÖRNSKÖLDSVIK</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28516-2019</t>
        </is>
      </c>
      <c r="B1533" s="1" t="n">
        <v>43626</v>
      </c>
      <c r="C1533" s="1" t="n">
        <v>45212</v>
      </c>
      <c r="D1533" t="inlineStr">
        <is>
          <t>VÄSTERNORRLANDS LÄN</t>
        </is>
      </c>
      <c r="E1533" t="inlineStr">
        <is>
          <t>KRAMFORS</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28603-2019</t>
        </is>
      </c>
      <c r="B1534" s="1" t="n">
        <v>43626</v>
      </c>
      <c r="C1534" s="1" t="n">
        <v>45212</v>
      </c>
      <c r="D1534" t="inlineStr">
        <is>
          <t>VÄSTERNORRLANDS LÄN</t>
        </is>
      </c>
      <c r="E1534" t="inlineStr">
        <is>
          <t>KRAMFORS</t>
        </is>
      </c>
      <c r="G1534" t="n">
        <v>9.199999999999999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28855-2019</t>
        </is>
      </c>
      <c r="B1535" s="1" t="n">
        <v>43627</v>
      </c>
      <c r="C1535" s="1" t="n">
        <v>45212</v>
      </c>
      <c r="D1535" t="inlineStr">
        <is>
          <t>VÄSTERNORRLANDS LÄN</t>
        </is>
      </c>
      <c r="E1535" t="inlineStr">
        <is>
          <t>ÅNGE</t>
        </is>
      </c>
      <c r="G1535" t="n">
        <v>8.6</v>
      </c>
      <c r="H1535" t="n">
        <v>0</v>
      </c>
      <c r="I1535" t="n">
        <v>0</v>
      </c>
      <c r="J1535" t="n">
        <v>0</v>
      </c>
      <c r="K1535" t="n">
        <v>0</v>
      </c>
      <c r="L1535" t="n">
        <v>0</v>
      </c>
      <c r="M1535" t="n">
        <v>0</v>
      </c>
      <c r="N1535" t="n">
        <v>0</v>
      </c>
      <c r="O1535" t="n">
        <v>0</v>
      </c>
      <c r="P1535" t="n">
        <v>0</v>
      </c>
      <c r="Q1535" t="n">
        <v>0</v>
      </c>
      <c r="R1535" s="2" t="inlineStr"/>
    </row>
    <row r="1536" ht="15" customHeight="1">
      <c r="A1536" t="inlineStr">
        <is>
          <t>A 29551-2019</t>
        </is>
      </c>
      <c r="B1536" s="1" t="n">
        <v>43627</v>
      </c>
      <c r="C1536" s="1" t="n">
        <v>45212</v>
      </c>
      <c r="D1536" t="inlineStr">
        <is>
          <t>VÄSTERNORRLANDS LÄN</t>
        </is>
      </c>
      <c r="E1536" t="inlineStr">
        <is>
          <t>ÖRNSKÖLDSVIK</t>
        </is>
      </c>
      <c r="F1536" t="inlineStr">
        <is>
          <t>Holmen skog AB</t>
        </is>
      </c>
      <c r="G1536" t="n">
        <v>0.2</v>
      </c>
      <c r="H1536" t="n">
        <v>0</v>
      </c>
      <c r="I1536" t="n">
        <v>0</v>
      </c>
      <c r="J1536" t="n">
        <v>0</v>
      </c>
      <c r="K1536" t="n">
        <v>0</v>
      </c>
      <c r="L1536" t="n">
        <v>0</v>
      </c>
      <c r="M1536" t="n">
        <v>0</v>
      </c>
      <c r="N1536" t="n">
        <v>0</v>
      </c>
      <c r="O1536" t="n">
        <v>0</v>
      </c>
      <c r="P1536" t="n">
        <v>0</v>
      </c>
      <c r="Q1536" t="n">
        <v>0</v>
      </c>
      <c r="R1536" s="2" t="inlineStr"/>
    </row>
    <row r="1537" ht="15" customHeight="1">
      <c r="A1537" t="inlineStr">
        <is>
          <t>A 28856-2019</t>
        </is>
      </c>
      <c r="B1537" s="1" t="n">
        <v>43627</v>
      </c>
      <c r="C1537" s="1" t="n">
        <v>45212</v>
      </c>
      <c r="D1537" t="inlineStr">
        <is>
          <t>VÄSTERNORRLANDS LÄN</t>
        </is>
      </c>
      <c r="E1537" t="inlineStr">
        <is>
          <t>ÅNGE</t>
        </is>
      </c>
      <c r="G1537" t="n">
        <v>6.9</v>
      </c>
      <c r="H1537" t="n">
        <v>0</v>
      </c>
      <c r="I1537" t="n">
        <v>0</v>
      </c>
      <c r="J1537" t="n">
        <v>0</v>
      </c>
      <c r="K1537" t="n">
        <v>0</v>
      </c>
      <c r="L1537" t="n">
        <v>0</v>
      </c>
      <c r="M1537" t="n">
        <v>0</v>
      </c>
      <c r="N1537" t="n">
        <v>0</v>
      </c>
      <c r="O1537" t="n">
        <v>0</v>
      </c>
      <c r="P1537" t="n">
        <v>0</v>
      </c>
      <c r="Q1537" t="n">
        <v>0</v>
      </c>
      <c r="R1537" s="2" t="inlineStr"/>
    </row>
    <row r="1538" ht="15" customHeight="1">
      <c r="A1538" t="inlineStr">
        <is>
          <t>A 28792-2019</t>
        </is>
      </c>
      <c r="B1538" s="1" t="n">
        <v>43627</v>
      </c>
      <c r="C1538" s="1" t="n">
        <v>45212</v>
      </c>
      <c r="D1538" t="inlineStr">
        <is>
          <t>VÄSTERNORRLANDS LÄN</t>
        </is>
      </c>
      <c r="E1538" t="inlineStr">
        <is>
          <t>KRAMFORS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28857-2019</t>
        </is>
      </c>
      <c r="B1539" s="1" t="n">
        <v>43627</v>
      </c>
      <c r="C1539" s="1" t="n">
        <v>45212</v>
      </c>
      <c r="D1539" t="inlineStr">
        <is>
          <t>VÄSTERNORRLANDS LÄN</t>
        </is>
      </c>
      <c r="E1539" t="inlineStr">
        <is>
          <t>ÅNGE</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29393-2019</t>
        </is>
      </c>
      <c r="B1540" s="1" t="n">
        <v>43627</v>
      </c>
      <c r="C1540" s="1" t="n">
        <v>45212</v>
      </c>
      <c r="D1540" t="inlineStr">
        <is>
          <t>VÄSTERNORRLANDS LÄN</t>
        </is>
      </c>
      <c r="E1540" t="inlineStr">
        <is>
          <t>ÖRNSKÖLDSVIK</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28858-2019</t>
        </is>
      </c>
      <c r="B1541" s="1" t="n">
        <v>43627</v>
      </c>
      <c r="C1541" s="1" t="n">
        <v>45212</v>
      </c>
      <c r="D1541" t="inlineStr">
        <is>
          <t>VÄSTERNORRLANDS LÄN</t>
        </is>
      </c>
      <c r="E1541" t="inlineStr">
        <is>
          <t>ÅNGE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29163-2019</t>
        </is>
      </c>
      <c r="B1542" s="1" t="n">
        <v>43628</v>
      </c>
      <c r="C1542" s="1" t="n">
        <v>45212</v>
      </c>
      <c r="D1542" t="inlineStr">
        <is>
          <t>VÄSTERNORRLANDS LÄN</t>
        </is>
      </c>
      <c r="E1542" t="inlineStr">
        <is>
          <t>TIMRÅ</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29625-2019</t>
        </is>
      </c>
      <c r="B1543" s="1" t="n">
        <v>43628</v>
      </c>
      <c r="C1543" s="1" t="n">
        <v>45212</v>
      </c>
      <c r="D1543" t="inlineStr">
        <is>
          <t>VÄSTERNORRLANDS LÄN</t>
        </is>
      </c>
      <c r="E1543" t="inlineStr">
        <is>
          <t>ÖRNSKÖLDSVIK</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29698-2019</t>
        </is>
      </c>
      <c r="B1544" s="1" t="n">
        <v>43628</v>
      </c>
      <c r="C1544" s="1" t="n">
        <v>45212</v>
      </c>
      <c r="D1544" t="inlineStr">
        <is>
          <t>VÄSTERNORRLANDS LÄN</t>
        </is>
      </c>
      <c r="E1544" t="inlineStr">
        <is>
          <t>HÄRNÖSAND</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29141-2019</t>
        </is>
      </c>
      <c r="B1545" s="1" t="n">
        <v>43628</v>
      </c>
      <c r="C1545" s="1" t="n">
        <v>45212</v>
      </c>
      <c r="D1545" t="inlineStr">
        <is>
          <t>VÄSTERNORRLANDS LÄN</t>
        </is>
      </c>
      <c r="E1545" t="inlineStr">
        <is>
          <t>ÅNGE</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29621-2019</t>
        </is>
      </c>
      <c r="B1546" s="1" t="n">
        <v>43628</v>
      </c>
      <c r="C1546" s="1" t="n">
        <v>45212</v>
      </c>
      <c r="D1546" t="inlineStr">
        <is>
          <t>VÄSTERNORRLANDS LÄN</t>
        </is>
      </c>
      <c r="E1546" t="inlineStr">
        <is>
          <t>HÄRNÖSAND</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29168-2019</t>
        </is>
      </c>
      <c r="B1547" s="1" t="n">
        <v>43628</v>
      </c>
      <c r="C1547" s="1" t="n">
        <v>45212</v>
      </c>
      <c r="D1547" t="inlineStr">
        <is>
          <t>VÄSTERNORRLANDS LÄN</t>
        </is>
      </c>
      <c r="E1547" t="inlineStr">
        <is>
          <t>SUNDSVALL</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29829-2019</t>
        </is>
      </c>
      <c r="B1548" s="1" t="n">
        <v>43629</v>
      </c>
      <c r="C1548" s="1" t="n">
        <v>45212</v>
      </c>
      <c r="D1548" t="inlineStr">
        <is>
          <t>VÄSTERNORRLANDS LÄN</t>
        </is>
      </c>
      <c r="E1548" t="inlineStr">
        <is>
          <t>ÖRNSKÖLDSVIK</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29485-2019</t>
        </is>
      </c>
      <c r="B1549" s="1" t="n">
        <v>43629</v>
      </c>
      <c r="C1549" s="1" t="n">
        <v>45212</v>
      </c>
      <c r="D1549" t="inlineStr">
        <is>
          <t>VÄSTERNORRLANDS LÄN</t>
        </is>
      </c>
      <c r="E1549" t="inlineStr">
        <is>
          <t>TIMRÅ</t>
        </is>
      </c>
      <c r="G1549" t="n">
        <v>3.4</v>
      </c>
      <c r="H1549" t="n">
        <v>0</v>
      </c>
      <c r="I1549" t="n">
        <v>0</v>
      </c>
      <c r="J1549" t="n">
        <v>0</v>
      </c>
      <c r="K1549" t="n">
        <v>0</v>
      </c>
      <c r="L1549" t="n">
        <v>0</v>
      </c>
      <c r="M1549" t="n">
        <v>0</v>
      </c>
      <c r="N1549" t="n">
        <v>0</v>
      </c>
      <c r="O1549" t="n">
        <v>0</v>
      </c>
      <c r="P1549" t="n">
        <v>0</v>
      </c>
      <c r="Q1549" t="n">
        <v>0</v>
      </c>
      <c r="R1549" s="2" t="inlineStr"/>
    </row>
    <row r="1550" ht="15" customHeight="1">
      <c r="A1550" t="inlineStr">
        <is>
          <t>A 29486-2019</t>
        </is>
      </c>
      <c r="B1550" s="1" t="n">
        <v>43629</v>
      </c>
      <c r="C1550" s="1" t="n">
        <v>45212</v>
      </c>
      <c r="D1550" t="inlineStr">
        <is>
          <t>VÄSTERNORRLANDS LÄN</t>
        </is>
      </c>
      <c r="E1550" t="inlineStr">
        <is>
          <t>HÄRNÖSAND</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29838-2019</t>
        </is>
      </c>
      <c r="B1551" s="1" t="n">
        <v>43629</v>
      </c>
      <c r="C1551" s="1" t="n">
        <v>45212</v>
      </c>
      <c r="D1551" t="inlineStr">
        <is>
          <t>VÄSTERNORRLANDS LÄN</t>
        </is>
      </c>
      <c r="E1551" t="inlineStr">
        <is>
          <t>ÖRNSKÖLDSVIK</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29751-2019</t>
        </is>
      </c>
      <c r="B1552" s="1" t="n">
        <v>43630</v>
      </c>
      <c r="C1552" s="1" t="n">
        <v>45212</v>
      </c>
      <c r="D1552" t="inlineStr">
        <is>
          <t>VÄSTERNORRLANDS LÄN</t>
        </is>
      </c>
      <c r="E1552" t="inlineStr">
        <is>
          <t>TIMRÅ</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29985-2019</t>
        </is>
      </c>
      <c r="B1553" s="1" t="n">
        <v>43630</v>
      </c>
      <c r="C1553" s="1" t="n">
        <v>45212</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29978-2019</t>
        </is>
      </c>
      <c r="B1554" s="1" t="n">
        <v>43630</v>
      </c>
      <c r="C1554" s="1" t="n">
        <v>45212</v>
      </c>
      <c r="D1554" t="inlineStr">
        <is>
          <t>VÄSTERNORRLANDS LÄN</t>
        </is>
      </c>
      <c r="E1554" t="inlineStr">
        <is>
          <t>SUNDSVALL</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29587-2019</t>
        </is>
      </c>
      <c r="B1555" s="1" t="n">
        <v>43630</v>
      </c>
      <c r="C1555" s="1" t="n">
        <v>45212</v>
      </c>
      <c r="D1555" t="inlineStr">
        <is>
          <t>VÄSTERNORRLANDS LÄN</t>
        </is>
      </c>
      <c r="E1555" t="inlineStr">
        <is>
          <t>ÖRNSKÖLDSVIK</t>
        </is>
      </c>
      <c r="F1555" t="inlineStr">
        <is>
          <t>Holmen skog AB</t>
        </is>
      </c>
      <c r="G1555" t="n">
        <v>14.6</v>
      </c>
      <c r="H1555" t="n">
        <v>0</v>
      </c>
      <c r="I1555" t="n">
        <v>0</v>
      </c>
      <c r="J1555" t="n">
        <v>0</v>
      </c>
      <c r="K1555" t="n">
        <v>0</v>
      </c>
      <c r="L1555" t="n">
        <v>0</v>
      </c>
      <c r="M1555" t="n">
        <v>0</v>
      </c>
      <c r="N1555" t="n">
        <v>0</v>
      </c>
      <c r="O1555" t="n">
        <v>0</v>
      </c>
      <c r="P1555" t="n">
        <v>0</v>
      </c>
      <c r="Q1555" t="n">
        <v>0</v>
      </c>
      <c r="R1555" s="2" t="inlineStr"/>
    </row>
    <row r="1556" ht="15" customHeight="1">
      <c r="A1556" t="inlineStr">
        <is>
          <t>A 29772-2019</t>
        </is>
      </c>
      <c r="B1556" s="1" t="n">
        <v>43632</v>
      </c>
      <c r="C1556" s="1" t="n">
        <v>45212</v>
      </c>
      <c r="D1556" t="inlineStr">
        <is>
          <t>VÄSTERNORRLANDS LÄN</t>
        </is>
      </c>
      <c r="E1556" t="inlineStr">
        <is>
          <t>ÖRNSKÖLDSVIK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29786-2019</t>
        </is>
      </c>
      <c r="B1557" s="1" t="n">
        <v>43633</v>
      </c>
      <c r="C1557" s="1" t="n">
        <v>45212</v>
      </c>
      <c r="D1557" t="inlineStr">
        <is>
          <t>VÄSTERNORRLANDS LÄN</t>
        </is>
      </c>
      <c r="E1557" t="inlineStr">
        <is>
          <t>ÅNGE</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29794-2019</t>
        </is>
      </c>
      <c r="B1558" s="1" t="n">
        <v>43633</v>
      </c>
      <c r="C1558" s="1" t="n">
        <v>45212</v>
      </c>
      <c r="D1558" t="inlineStr">
        <is>
          <t>VÄSTERNORRLANDS LÄN</t>
        </is>
      </c>
      <c r="E1558" t="inlineStr">
        <is>
          <t>ÅNGE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29813-2019</t>
        </is>
      </c>
      <c r="B1559" s="1" t="n">
        <v>43633</v>
      </c>
      <c r="C1559" s="1" t="n">
        <v>45212</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30427-2019</t>
        </is>
      </c>
      <c r="B1560" s="1" t="n">
        <v>43633</v>
      </c>
      <c r="C1560" s="1" t="n">
        <v>45212</v>
      </c>
      <c r="D1560" t="inlineStr">
        <is>
          <t>VÄSTERNORRLANDS LÄN</t>
        </is>
      </c>
      <c r="E1560" t="inlineStr">
        <is>
          <t>ÖRNSKÖLDSVIK</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30423-2019</t>
        </is>
      </c>
      <c r="B1561" s="1" t="n">
        <v>43633</v>
      </c>
      <c r="C1561" s="1" t="n">
        <v>45212</v>
      </c>
      <c r="D1561" t="inlineStr">
        <is>
          <t>VÄSTERNORRLANDS LÄN</t>
        </is>
      </c>
      <c r="E1561" t="inlineStr">
        <is>
          <t>ÖRNSKÖLDSVIK</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30253-2019</t>
        </is>
      </c>
      <c r="B1562" s="1" t="n">
        <v>43634</v>
      </c>
      <c r="C1562" s="1" t="n">
        <v>45212</v>
      </c>
      <c r="D1562" t="inlineStr">
        <is>
          <t>VÄSTERNORRLANDS LÄN</t>
        </is>
      </c>
      <c r="E1562" t="inlineStr">
        <is>
          <t>SUNDSVALL</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30383-2019</t>
        </is>
      </c>
      <c r="B1563" s="1" t="n">
        <v>43634</v>
      </c>
      <c r="C1563" s="1" t="n">
        <v>45212</v>
      </c>
      <c r="D1563" t="inlineStr">
        <is>
          <t>VÄSTERNORRLANDS LÄN</t>
        </is>
      </c>
      <c r="E1563" t="inlineStr">
        <is>
          <t>SOLLEFTEÅ</t>
        </is>
      </c>
      <c r="F1563" t="inlineStr">
        <is>
          <t>SCA</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31214-2019</t>
        </is>
      </c>
      <c r="B1564" s="1" t="n">
        <v>43635</v>
      </c>
      <c r="C1564" s="1" t="n">
        <v>45212</v>
      </c>
      <c r="D1564" t="inlineStr">
        <is>
          <t>VÄSTERNORRLANDS LÄN</t>
        </is>
      </c>
      <c r="E1564" t="inlineStr">
        <is>
          <t>ÖRNSKÖLDSVIK</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30608-2019</t>
        </is>
      </c>
      <c r="B1565" s="1" t="n">
        <v>43635</v>
      </c>
      <c r="C1565" s="1" t="n">
        <v>45212</v>
      </c>
      <c r="D1565" t="inlineStr">
        <is>
          <t>VÄSTERNORRLANDS LÄN</t>
        </is>
      </c>
      <c r="E1565" t="inlineStr">
        <is>
          <t>SUNDSVALL</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30628-2019</t>
        </is>
      </c>
      <c r="B1566" s="1" t="n">
        <v>43635</v>
      </c>
      <c r="C1566" s="1" t="n">
        <v>45212</v>
      </c>
      <c r="D1566" t="inlineStr">
        <is>
          <t>VÄSTERNORRLANDS LÄN</t>
        </is>
      </c>
      <c r="E1566" t="inlineStr">
        <is>
          <t>SOLLEFTEÅ</t>
        </is>
      </c>
      <c r="F1566" t="inlineStr">
        <is>
          <t>SCA</t>
        </is>
      </c>
      <c r="G1566" t="n">
        <v>7.2</v>
      </c>
      <c r="H1566" t="n">
        <v>0</v>
      </c>
      <c r="I1566" t="n">
        <v>0</v>
      </c>
      <c r="J1566" t="n">
        <v>0</v>
      </c>
      <c r="K1566" t="n">
        <v>0</v>
      </c>
      <c r="L1566" t="n">
        <v>0</v>
      </c>
      <c r="M1566" t="n">
        <v>0</v>
      </c>
      <c r="N1566" t="n">
        <v>0</v>
      </c>
      <c r="O1566" t="n">
        <v>0</v>
      </c>
      <c r="P1566" t="n">
        <v>0</v>
      </c>
      <c r="Q1566" t="n">
        <v>0</v>
      </c>
      <c r="R1566" s="2" t="inlineStr"/>
    </row>
    <row r="1567" ht="15" customHeight="1">
      <c r="A1567" t="inlineStr">
        <is>
          <t>A 31217-2019</t>
        </is>
      </c>
      <c r="B1567" s="1" t="n">
        <v>43635</v>
      </c>
      <c r="C1567" s="1" t="n">
        <v>45212</v>
      </c>
      <c r="D1567" t="inlineStr">
        <is>
          <t>VÄSTERNORRLANDS LÄN</t>
        </is>
      </c>
      <c r="E1567" t="inlineStr">
        <is>
          <t>ÖRNSKÖLDSVIK</t>
        </is>
      </c>
      <c r="G1567" t="n">
        <v>12.5</v>
      </c>
      <c r="H1567" t="n">
        <v>0</v>
      </c>
      <c r="I1567" t="n">
        <v>0</v>
      </c>
      <c r="J1567" t="n">
        <v>0</v>
      </c>
      <c r="K1567" t="n">
        <v>0</v>
      </c>
      <c r="L1567" t="n">
        <v>0</v>
      </c>
      <c r="M1567" t="n">
        <v>0</v>
      </c>
      <c r="N1567" t="n">
        <v>0</v>
      </c>
      <c r="O1567" t="n">
        <v>0</v>
      </c>
      <c r="P1567" t="n">
        <v>0</v>
      </c>
      <c r="Q1567" t="n">
        <v>0</v>
      </c>
      <c r="R1567" s="2" t="inlineStr"/>
    </row>
    <row r="1568" ht="15" customHeight="1">
      <c r="A1568" t="inlineStr">
        <is>
          <t>A 30704-2019</t>
        </is>
      </c>
      <c r="B1568" s="1" t="n">
        <v>43636</v>
      </c>
      <c r="C1568" s="1" t="n">
        <v>45212</v>
      </c>
      <c r="D1568" t="inlineStr">
        <is>
          <t>VÄSTERNORRLANDS LÄN</t>
        </is>
      </c>
      <c r="E1568" t="inlineStr">
        <is>
          <t>ÖRNSKÖLDSVIK</t>
        </is>
      </c>
      <c r="F1568" t="inlineStr">
        <is>
          <t>Holmen skog AB</t>
        </is>
      </c>
      <c r="G1568" t="n">
        <v>5.5</v>
      </c>
      <c r="H1568" t="n">
        <v>0</v>
      </c>
      <c r="I1568" t="n">
        <v>0</v>
      </c>
      <c r="J1568" t="n">
        <v>0</v>
      </c>
      <c r="K1568" t="n">
        <v>0</v>
      </c>
      <c r="L1568" t="n">
        <v>0</v>
      </c>
      <c r="M1568" t="n">
        <v>0</v>
      </c>
      <c r="N1568" t="n">
        <v>0</v>
      </c>
      <c r="O1568" t="n">
        <v>0</v>
      </c>
      <c r="P1568" t="n">
        <v>0</v>
      </c>
      <c r="Q1568" t="n">
        <v>0</v>
      </c>
      <c r="R1568" s="2" t="inlineStr"/>
    </row>
    <row r="1569" ht="15" customHeight="1">
      <c r="A1569" t="inlineStr">
        <is>
          <t>A 31064-2019</t>
        </is>
      </c>
      <c r="B1569" s="1" t="n">
        <v>43636</v>
      </c>
      <c r="C1569" s="1" t="n">
        <v>45212</v>
      </c>
      <c r="D1569" t="inlineStr">
        <is>
          <t>VÄSTERNORRLANDS LÄN</t>
        </is>
      </c>
      <c r="E1569" t="inlineStr">
        <is>
          <t>SUNDSVALL</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30952-2019</t>
        </is>
      </c>
      <c r="B1570" s="1" t="n">
        <v>43637</v>
      </c>
      <c r="C1570" s="1" t="n">
        <v>45212</v>
      </c>
      <c r="D1570" t="inlineStr">
        <is>
          <t>VÄSTERNORRLANDS LÄN</t>
        </is>
      </c>
      <c r="E1570" t="inlineStr">
        <is>
          <t>ÖRNSKÖLDSVIK</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30985-2019</t>
        </is>
      </c>
      <c r="B1571" s="1" t="n">
        <v>43640</v>
      </c>
      <c r="C1571" s="1" t="n">
        <v>45212</v>
      </c>
      <c r="D1571" t="inlineStr">
        <is>
          <t>VÄSTERNORRLANDS LÄN</t>
        </is>
      </c>
      <c r="E1571" t="inlineStr">
        <is>
          <t>KRAMFORS</t>
        </is>
      </c>
      <c r="G1571" t="n">
        <v>7.1</v>
      </c>
      <c r="H1571" t="n">
        <v>0</v>
      </c>
      <c r="I1571" t="n">
        <v>0</v>
      </c>
      <c r="J1571" t="n">
        <v>0</v>
      </c>
      <c r="K1571" t="n">
        <v>0</v>
      </c>
      <c r="L1571" t="n">
        <v>0</v>
      </c>
      <c r="M1571" t="n">
        <v>0</v>
      </c>
      <c r="N1571" t="n">
        <v>0</v>
      </c>
      <c r="O1571" t="n">
        <v>0</v>
      </c>
      <c r="P1571" t="n">
        <v>0</v>
      </c>
      <c r="Q1571" t="n">
        <v>0</v>
      </c>
      <c r="R1571" s="2" t="inlineStr"/>
    </row>
    <row r="1572" ht="15" customHeight="1">
      <c r="A1572" t="inlineStr">
        <is>
          <t>A 31248-2019</t>
        </is>
      </c>
      <c r="B1572" s="1" t="n">
        <v>43640</v>
      </c>
      <c r="C1572" s="1" t="n">
        <v>45212</v>
      </c>
      <c r="D1572" t="inlineStr">
        <is>
          <t>VÄSTERNORRLANDS LÄN</t>
        </is>
      </c>
      <c r="E1572" t="inlineStr">
        <is>
          <t>HÄRNÖSAND</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31287-2019</t>
        </is>
      </c>
      <c r="B1573" s="1" t="n">
        <v>43640</v>
      </c>
      <c r="C1573" s="1" t="n">
        <v>45212</v>
      </c>
      <c r="D1573" t="inlineStr">
        <is>
          <t>VÄSTERNORRLANDS LÄN</t>
        </is>
      </c>
      <c r="E1573" t="inlineStr">
        <is>
          <t>HÄRNÖSAND</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31285-2019</t>
        </is>
      </c>
      <c r="B1574" s="1" t="n">
        <v>43640</v>
      </c>
      <c r="C1574" s="1" t="n">
        <v>45212</v>
      </c>
      <c r="D1574" t="inlineStr">
        <is>
          <t>VÄSTERNORRLANDS LÄN</t>
        </is>
      </c>
      <c r="E1574" t="inlineStr">
        <is>
          <t>SUNDSVALL</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31001-2019</t>
        </is>
      </c>
      <c r="B1575" s="1" t="n">
        <v>43640</v>
      </c>
      <c r="C1575" s="1" t="n">
        <v>45212</v>
      </c>
      <c r="D1575" t="inlineStr">
        <is>
          <t>VÄSTERNORRLANDS LÄN</t>
        </is>
      </c>
      <c r="E1575" t="inlineStr">
        <is>
          <t>ÅNGE</t>
        </is>
      </c>
      <c r="G1575" t="n">
        <v>0.2</v>
      </c>
      <c r="H1575" t="n">
        <v>0</v>
      </c>
      <c r="I1575" t="n">
        <v>0</v>
      </c>
      <c r="J1575" t="n">
        <v>0</v>
      </c>
      <c r="K1575" t="n">
        <v>0</v>
      </c>
      <c r="L1575" t="n">
        <v>0</v>
      </c>
      <c r="M1575" t="n">
        <v>0</v>
      </c>
      <c r="N1575" t="n">
        <v>0</v>
      </c>
      <c r="O1575" t="n">
        <v>0</v>
      </c>
      <c r="P1575" t="n">
        <v>0</v>
      </c>
      <c r="Q1575" t="n">
        <v>0</v>
      </c>
      <c r="R1575" s="2" t="inlineStr"/>
    </row>
    <row r="1576" ht="15" customHeight="1">
      <c r="A1576" t="inlineStr">
        <is>
          <t>A 31042-2019</t>
        </is>
      </c>
      <c r="B1576" s="1" t="n">
        <v>43640</v>
      </c>
      <c r="C1576" s="1" t="n">
        <v>45212</v>
      </c>
      <c r="D1576" t="inlineStr">
        <is>
          <t>VÄSTERNORRLANDS LÄN</t>
        </is>
      </c>
      <c r="E1576" t="inlineStr">
        <is>
          <t>ÖRNSKÖLDSVIK</t>
        </is>
      </c>
      <c r="F1576" t="inlineStr">
        <is>
          <t>Holmen skog AB</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31369-2019</t>
        </is>
      </c>
      <c r="B1577" s="1" t="n">
        <v>43641</v>
      </c>
      <c r="C1577" s="1" t="n">
        <v>45212</v>
      </c>
      <c r="D1577" t="inlineStr">
        <is>
          <t>VÄSTERNORRLANDS LÄN</t>
        </is>
      </c>
      <c r="E1577" t="inlineStr">
        <is>
          <t>ÖRNSKÖLDSVIK</t>
        </is>
      </c>
      <c r="F1577" t="inlineStr">
        <is>
          <t>Holmen skog AB</t>
        </is>
      </c>
      <c r="G1577" t="n">
        <v>8</v>
      </c>
      <c r="H1577" t="n">
        <v>0</v>
      </c>
      <c r="I1577" t="n">
        <v>0</v>
      </c>
      <c r="J1577" t="n">
        <v>0</v>
      </c>
      <c r="K1577" t="n">
        <v>0</v>
      </c>
      <c r="L1577" t="n">
        <v>0</v>
      </c>
      <c r="M1577" t="n">
        <v>0</v>
      </c>
      <c r="N1577" t="n">
        <v>0</v>
      </c>
      <c r="O1577" t="n">
        <v>0</v>
      </c>
      <c r="P1577" t="n">
        <v>0</v>
      </c>
      <c r="Q1577" t="n">
        <v>0</v>
      </c>
      <c r="R1577" s="2" t="inlineStr"/>
    </row>
    <row r="1578" ht="15" customHeight="1">
      <c r="A1578" t="inlineStr">
        <is>
          <t>A 31578-2019</t>
        </is>
      </c>
      <c r="B1578" s="1" t="n">
        <v>43641</v>
      </c>
      <c r="C1578" s="1" t="n">
        <v>45212</v>
      </c>
      <c r="D1578" t="inlineStr">
        <is>
          <t>VÄSTERNORRLANDS LÄN</t>
        </is>
      </c>
      <c r="E1578" t="inlineStr">
        <is>
          <t>SUNDSVALL</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31572-2019</t>
        </is>
      </c>
      <c r="B1579" s="1" t="n">
        <v>43641</v>
      </c>
      <c r="C1579" s="1" t="n">
        <v>45212</v>
      </c>
      <c r="D1579" t="inlineStr">
        <is>
          <t>VÄSTERNORRLANDS LÄN</t>
        </is>
      </c>
      <c r="E1579" t="inlineStr">
        <is>
          <t>SUNDSVALL</t>
        </is>
      </c>
      <c r="F1579" t="inlineStr">
        <is>
          <t>SCA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31804-2019</t>
        </is>
      </c>
      <c r="B1580" s="1" t="n">
        <v>43642</v>
      </c>
      <c r="C1580" s="1" t="n">
        <v>45212</v>
      </c>
      <c r="D1580" t="inlineStr">
        <is>
          <t>VÄSTERNORRLANDS LÄN</t>
        </is>
      </c>
      <c r="E1580" t="inlineStr">
        <is>
          <t>ÅNGE</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32184-2019</t>
        </is>
      </c>
      <c r="B1581" s="1" t="n">
        <v>43643</v>
      </c>
      <c r="C1581" s="1" t="n">
        <v>45212</v>
      </c>
      <c r="D1581" t="inlineStr">
        <is>
          <t>VÄSTERNORRLANDS LÄN</t>
        </is>
      </c>
      <c r="E1581" t="inlineStr">
        <is>
          <t>ÖRNSKÖLDSVIK</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32774-2019</t>
        </is>
      </c>
      <c r="B1582" s="1" t="n">
        <v>43643</v>
      </c>
      <c r="C1582" s="1" t="n">
        <v>45212</v>
      </c>
      <c r="D1582" t="inlineStr">
        <is>
          <t>VÄSTERNORRLANDS LÄN</t>
        </is>
      </c>
      <c r="E1582" t="inlineStr">
        <is>
          <t>ÖRNSKÖLDSVIK</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31944-2019</t>
        </is>
      </c>
      <c r="B1583" s="1" t="n">
        <v>43643</v>
      </c>
      <c r="C1583" s="1" t="n">
        <v>45212</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32202-2019</t>
        </is>
      </c>
      <c r="B1584" s="1" t="n">
        <v>43643</v>
      </c>
      <c r="C1584" s="1" t="n">
        <v>45212</v>
      </c>
      <c r="D1584" t="inlineStr">
        <is>
          <t>VÄSTERNORRLANDS LÄN</t>
        </is>
      </c>
      <c r="E1584" t="inlineStr">
        <is>
          <t>SOLLEFTEÅ</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33237-2019</t>
        </is>
      </c>
      <c r="B1585" s="1" t="n">
        <v>43643</v>
      </c>
      <c r="C1585" s="1" t="n">
        <v>45212</v>
      </c>
      <c r="D1585" t="inlineStr">
        <is>
          <t>VÄSTERNORRLANDS LÄN</t>
        </is>
      </c>
      <c r="E1585" t="inlineStr">
        <is>
          <t>ÖRNSKÖLDSVIK</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32203-2019</t>
        </is>
      </c>
      <c r="B1586" s="1" t="n">
        <v>43643</v>
      </c>
      <c r="C1586" s="1" t="n">
        <v>45212</v>
      </c>
      <c r="D1586" t="inlineStr">
        <is>
          <t>VÄSTERNORRLANDS LÄN</t>
        </is>
      </c>
      <c r="E1586" t="inlineStr">
        <is>
          <t>SOLLEFTEÅ</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33257-2019</t>
        </is>
      </c>
      <c r="B1587" s="1" t="n">
        <v>43643</v>
      </c>
      <c r="C1587" s="1" t="n">
        <v>45212</v>
      </c>
      <c r="D1587" t="inlineStr">
        <is>
          <t>VÄSTERNORRLANDS LÄN</t>
        </is>
      </c>
      <c r="E1587" t="inlineStr">
        <is>
          <t>ÖRNSKÖLDSVIK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31940-2019</t>
        </is>
      </c>
      <c r="B1588" s="1" t="n">
        <v>43643</v>
      </c>
      <c r="C1588" s="1" t="n">
        <v>45212</v>
      </c>
      <c r="D1588" t="inlineStr">
        <is>
          <t>VÄSTERNORRLANDS LÄN</t>
        </is>
      </c>
      <c r="E1588" t="inlineStr">
        <is>
          <t>ÖRNSKÖLDSVIK</t>
        </is>
      </c>
      <c r="G1588" t="n">
        <v>10.5</v>
      </c>
      <c r="H1588" t="n">
        <v>0</v>
      </c>
      <c r="I1588" t="n">
        <v>0</v>
      </c>
      <c r="J1588" t="n">
        <v>0</v>
      </c>
      <c r="K1588" t="n">
        <v>0</v>
      </c>
      <c r="L1588" t="n">
        <v>0</v>
      </c>
      <c r="M1588" t="n">
        <v>0</v>
      </c>
      <c r="N1588" t="n">
        <v>0</v>
      </c>
      <c r="O1588" t="n">
        <v>0</v>
      </c>
      <c r="P1588" t="n">
        <v>0</v>
      </c>
      <c r="Q1588" t="n">
        <v>0</v>
      </c>
      <c r="R1588" s="2" t="inlineStr"/>
    </row>
    <row r="1589" ht="15" customHeight="1">
      <c r="A1589" t="inlineStr">
        <is>
          <t>A 32207-2019</t>
        </is>
      </c>
      <c r="B1589" s="1" t="n">
        <v>43643</v>
      </c>
      <c r="C1589" s="1" t="n">
        <v>45212</v>
      </c>
      <c r="D1589" t="inlineStr">
        <is>
          <t>VÄSTERNORRLANDS LÄN</t>
        </is>
      </c>
      <c r="E1589" t="inlineStr">
        <is>
          <t>SUNDSVALL</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32259-2019</t>
        </is>
      </c>
      <c r="B1590" s="1" t="n">
        <v>43644</v>
      </c>
      <c r="C1590" s="1" t="n">
        <v>45212</v>
      </c>
      <c r="D1590" t="inlineStr">
        <is>
          <t>VÄSTERNORRLANDS LÄN</t>
        </is>
      </c>
      <c r="E1590" t="inlineStr">
        <is>
          <t>SUNDSVALL</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32331-2019</t>
        </is>
      </c>
      <c r="B1591" s="1" t="n">
        <v>43644</v>
      </c>
      <c r="C1591" s="1" t="n">
        <v>45212</v>
      </c>
      <c r="D1591" t="inlineStr">
        <is>
          <t>VÄSTERNORRLANDS LÄN</t>
        </is>
      </c>
      <c r="E1591" t="inlineStr">
        <is>
          <t>ÖRNSKÖLDSVIK</t>
        </is>
      </c>
      <c r="F1591" t="inlineStr">
        <is>
          <t>Holmen skog AB</t>
        </is>
      </c>
      <c r="G1591" t="n">
        <v>30.6</v>
      </c>
      <c r="H1591" t="n">
        <v>0</v>
      </c>
      <c r="I1591" t="n">
        <v>0</v>
      </c>
      <c r="J1591" t="n">
        <v>0</v>
      </c>
      <c r="K1591" t="n">
        <v>0</v>
      </c>
      <c r="L1591" t="n">
        <v>0</v>
      </c>
      <c r="M1591" t="n">
        <v>0</v>
      </c>
      <c r="N1591" t="n">
        <v>0</v>
      </c>
      <c r="O1591" t="n">
        <v>0</v>
      </c>
      <c r="P1591" t="n">
        <v>0</v>
      </c>
      <c r="Q1591" t="n">
        <v>0</v>
      </c>
      <c r="R1591" s="2" t="inlineStr"/>
    </row>
    <row r="1592" ht="15" customHeight="1">
      <c r="A1592" t="inlineStr">
        <is>
          <t>A 32466-2019</t>
        </is>
      </c>
      <c r="B1592" s="1" t="n">
        <v>43644</v>
      </c>
      <c r="C1592" s="1" t="n">
        <v>45212</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32268-2019</t>
        </is>
      </c>
      <c r="B1593" s="1" t="n">
        <v>43644</v>
      </c>
      <c r="C1593" s="1" t="n">
        <v>45212</v>
      </c>
      <c r="D1593" t="inlineStr">
        <is>
          <t>VÄSTERNORRLANDS LÄN</t>
        </is>
      </c>
      <c r="E1593" t="inlineStr">
        <is>
          <t>SUNDSVALL</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32249-2019</t>
        </is>
      </c>
      <c r="B1594" s="1" t="n">
        <v>43644</v>
      </c>
      <c r="C1594" s="1" t="n">
        <v>45212</v>
      </c>
      <c r="D1594" t="inlineStr">
        <is>
          <t>VÄSTERNORRLANDS LÄN</t>
        </is>
      </c>
      <c r="E1594" t="inlineStr">
        <is>
          <t>ÖRNSKÖLDSVIK</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32252-2019</t>
        </is>
      </c>
      <c r="B1595" s="1" t="n">
        <v>43644</v>
      </c>
      <c r="C1595" s="1" t="n">
        <v>45212</v>
      </c>
      <c r="D1595" t="inlineStr">
        <is>
          <t>VÄSTERNORRLANDS LÄN</t>
        </is>
      </c>
      <c r="E1595" t="inlineStr">
        <is>
          <t>ÖRNSKÖLDSVIK</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32740-2019</t>
        </is>
      </c>
      <c r="B1596" s="1" t="n">
        <v>43647</v>
      </c>
      <c r="C1596" s="1" t="n">
        <v>45212</v>
      </c>
      <c r="D1596" t="inlineStr">
        <is>
          <t>VÄSTERNORRLANDS LÄN</t>
        </is>
      </c>
      <c r="E1596" t="inlineStr">
        <is>
          <t>ÅNGE</t>
        </is>
      </c>
      <c r="F1596" t="inlineStr">
        <is>
          <t>SCA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33993-2019</t>
        </is>
      </c>
      <c r="B1597" s="1" t="n">
        <v>43647</v>
      </c>
      <c r="C1597" s="1" t="n">
        <v>45212</v>
      </c>
      <c r="D1597" t="inlineStr">
        <is>
          <t>VÄSTERNORRLANDS LÄN</t>
        </is>
      </c>
      <c r="E1597" t="inlineStr">
        <is>
          <t>SUNDSVALL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28804-2019</t>
        </is>
      </c>
      <c r="B1598" s="1" t="n">
        <v>43647</v>
      </c>
      <c r="C1598" s="1" t="n">
        <v>45212</v>
      </c>
      <c r="D1598" t="inlineStr">
        <is>
          <t>VÄSTERNORRLANDS LÄN</t>
        </is>
      </c>
      <c r="E1598" t="inlineStr">
        <is>
          <t>ÖRNSKÖLDSVIK</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32737-2019</t>
        </is>
      </c>
      <c r="B1599" s="1" t="n">
        <v>43647</v>
      </c>
      <c r="C1599" s="1" t="n">
        <v>45212</v>
      </c>
      <c r="D1599" t="inlineStr">
        <is>
          <t>VÄSTERNORRLANDS LÄN</t>
        </is>
      </c>
      <c r="E1599" t="inlineStr">
        <is>
          <t>KRAMFORS</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32744-2019</t>
        </is>
      </c>
      <c r="B1600" s="1" t="n">
        <v>43647</v>
      </c>
      <c r="C1600" s="1" t="n">
        <v>45212</v>
      </c>
      <c r="D1600" t="inlineStr">
        <is>
          <t>VÄSTERNORRLANDS LÄN</t>
        </is>
      </c>
      <c r="E1600" t="inlineStr">
        <is>
          <t>SOLLEFTEÅ</t>
        </is>
      </c>
      <c r="F1600" t="inlineStr">
        <is>
          <t>SCA</t>
        </is>
      </c>
      <c r="G1600" t="n">
        <v>33.3</v>
      </c>
      <c r="H1600" t="n">
        <v>0</v>
      </c>
      <c r="I1600" t="n">
        <v>0</v>
      </c>
      <c r="J1600" t="n">
        <v>0</v>
      </c>
      <c r="K1600" t="n">
        <v>0</v>
      </c>
      <c r="L1600" t="n">
        <v>0</v>
      </c>
      <c r="M1600" t="n">
        <v>0</v>
      </c>
      <c r="N1600" t="n">
        <v>0</v>
      </c>
      <c r="O1600" t="n">
        <v>0</v>
      </c>
      <c r="P1600" t="n">
        <v>0</v>
      </c>
      <c r="Q1600" t="n">
        <v>0</v>
      </c>
      <c r="R1600" s="2" t="inlineStr"/>
    </row>
    <row r="1601" ht="15" customHeight="1">
      <c r="A1601" t="inlineStr">
        <is>
          <t>A 34006-2019</t>
        </is>
      </c>
      <c r="B1601" s="1" t="n">
        <v>43647</v>
      </c>
      <c r="C1601" s="1" t="n">
        <v>45212</v>
      </c>
      <c r="D1601" t="inlineStr">
        <is>
          <t>VÄSTERNORRLANDS LÄN</t>
        </is>
      </c>
      <c r="E1601" t="inlineStr">
        <is>
          <t>SUNDSVALL</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32982-2019</t>
        </is>
      </c>
      <c r="B1602" s="1" t="n">
        <v>43648</v>
      </c>
      <c r="C1602" s="1" t="n">
        <v>45212</v>
      </c>
      <c r="D1602" t="inlineStr">
        <is>
          <t>VÄSTERNORRLANDS LÄN</t>
        </is>
      </c>
      <c r="E1602" t="inlineStr">
        <is>
          <t>TIMRÅ</t>
        </is>
      </c>
      <c r="F1602" t="inlineStr">
        <is>
          <t>SCA</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34846-2019</t>
        </is>
      </c>
      <c r="B1603" s="1" t="n">
        <v>43648</v>
      </c>
      <c r="C1603" s="1" t="n">
        <v>45212</v>
      </c>
      <c r="D1603" t="inlineStr">
        <is>
          <t>VÄSTERNORRLANDS LÄN</t>
        </is>
      </c>
      <c r="E1603" t="inlineStr">
        <is>
          <t>ÖRNSKÖLDSVIK</t>
        </is>
      </c>
      <c r="G1603" t="n">
        <v>5.3</v>
      </c>
      <c r="H1603" t="n">
        <v>0</v>
      </c>
      <c r="I1603" t="n">
        <v>0</v>
      </c>
      <c r="J1603" t="n">
        <v>0</v>
      </c>
      <c r="K1603" t="n">
        <v>0</v>
      </c>
      <c r="L1603" t="n">
        <v>0</v>
      </c>
      <c r="M1603" t="n">
        <v>0</v>
      </c>
      <c r="N1603" t="n">
        <v>0</v>
      </c>
      <c r="O1603" t="n">
        <v>0</v>
      </c>
      <c r="P1603" t="n">
        <v>0</v>
      </c>
      <c r="Q1603" t="n">
        <v>0</v>
      </c>
      <c r="R1603" s="2" t="inlineStr"/>
    </row>
    <row r="1604" ht="15" customHeight="1">
      <c r="A1604" t="inlineStr">
        <is>
          <t>A 33160-2019</t>
        </is>
      </c>
      <c r="B1604" s="1" t="n">
        <v>43649</v>
      </c>
      <c r="C1604" s="1" t="n">
        <v>45212</v>
      </c>
      <c r="D1604" t="inlineStr">
        <is>
          <t>VÄSTERNORRLANDS LÄN</t>
        </is>
      </c>
      <c r="E1604" t="inlineStr">
        <is>
          <t>ÖRNSKÖLDSVIK</t>
        </is>
      </c>
      <c r="F1604" t="inlineStr">
        <is>
          <t>Holmen skog AB</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33217-2019</t>
        </is>
      </c>
      <c r="B1605" s="1" t="n">
        <v>43649</v>
      </c>
      <c r="C1605" s="1" t="n">
        <v>45212</v>
      </c>
      <c r="D1605" t="inlineStr">
        <is>
          <t>VÄSTERNORRLANDS LÄN</t>
        </is>
      </c>
      <c r="E1605" t="inlineStr">
        <is>
          <t>SOLLEFTEÅ</t>
        </is>
      </c>
      <c r="G1605" t="n">
        <v>29.3</v>
      </c>
      <c r="H1605" t="n">
        <v>0</v>
      </c>
      <c r="I1605" t="n">
        <v>0</v>
      </c>
      <c r="J1605" t="n">
        <v>0</v>
      </c>
      <c r="K1605" t="n">
        <v>0</v>
      </c>
      <c r="L1605" t="n">
        <v>0</v>
      </c>
      <c r="M1605" t="n">
        <v>0</v>
      </c>
      <c r="N1605" t="n">
        <v>0</v>
      </c>
      <c r="O1605" t="n">
        <v>0</v>
      </c>
      <c r="P1605" t="n">
        <v>0</v>
      </c>
      <c r="Q1605" t="n">
        <v>0</v>
      </c>
      <c r="R1605" s="2" t="inlineStr"/>
    </row>
    <row r="1606" ht="15" customHeight="1">
      <c r="A1606" t="inlineStr">
        <is>
          <t>A 34863-2019</t>
        </is>
      </c>
      <c r="B1606" s="1" t="n">
        <v>43649</v>
      </c>
      <c r="C1606" s="1" t="n">
        <v>45212</v>
      </c>
      <c r="D1606" t="inlineStr">
        <is>
          <t>VÄSTERNORRLANDS LÄN</t>
        </is>
      </c>
      <c r="E1606" t="inlineStr">
        <is>
          <t>ÖRNSKÖLDSVIK</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33072-2019</t>
        </is>
      </c>
      <c r="B1607" s="1" t="n">
        <v>43649</v>
      </c>
      <c r="C1607" s="1" t="n">
        <v>45212</v>
      </c>
      <c r="D1607" t="inlineStr">
        <is>
          <t>VÄSTERNORRLANDS LÄN</t>
        </is>
      </c>
      <c r="E1607" t="inlineStr">
        <is>
          <t>ÖRNSKÖLDSVIK</t>
        </is>
      </c>
      <c r="F1607" t="inlineStr">
        <is>
          <t>Holmen skog AB</t>
        </is>
      </c>
      <c r="G1607" t="n">
        <v>11.1</v>
      </c>
      <c r="H1607" t="n">
        <v>0</v>
      </c>
      <c r="I1607" t="n">
        <v>0</v>
      </c>
      <c r="J1607" t="n">
        <v>0</v>
      </c>
      <c r="K1607" t="n">
        <v>0</v>
      </c>
      <c r="L1607" t="n">
        <v>0</v>
      </c>
      <c r="M1607" t="n">
        <v>0</v>
      </c>
      <c r="N1607" t="n">
        <v>0</v>
      </c>
      <c r="O1607" t="n">
        <v>0</v>
      </c>
      <c r="P1607" t="n">
        <v>0</v>
      </c>
      <c r="Q1607" t="n">
        <v>0</v>
      </c>
      <c r="R1607" s="2" t="inlineStr"/>
    </row>
    <row r="1608" ht="15" customHeight="1">
      <c r="A1608" t="inlineStr">
        <is>
          <t>A 33486-2019</t>
        </is>
      </c>
      <c r="B1608" s="1" t="n">
        <v>43650</v>
      </c>
      <c r="C1608" s="1" t="n">
        <v>45212</v>
      </c>
      <c r="D1608" t="inlineStr">
        <is>
          <t>VÄSTERNORRLANDS LÄN</t>
        </is>
      </c>
      <c r="E1608" t="inlineStr">
        <is>
          <t>SUNDSVALL</t>
        </is>
      </c>
      <c r="G1608" t="n">
        <v>3.5</v>
      </c>
      <c r="H1608" t="n">
        <v>0</v>
      </c>
      <c r="I1608" t="n">
        <v>0</v>
      </c>
      <c r="J1608" t="n">
        <v>0</v>
      </c>
      <c r="K1608" t="n">
        <v>0</v>
      </c>
      <c r="L1608" t="n">
        <v>0</v>
      </c>
      <c r="M1608" t="n">
        <v>0</v>
      </c>
      <c r="N1608" t="n">
        <v>0</v>
      </c>
      <c r="O1608" t="n">
        <v>0</v>
      </c>
      <c r="P1608" t="n">
        <v>0</v>
      </c>
      <c r="Q1608" t="n">
        <v>0</v>
      </c>
      <c r="R1608" s="2" t="inlineStr"/>
    </row>
    <row r="1609" ht="15" customHeight="1">
      <c r="A1609" t="inlineStr">
        <is>
          <t>A 33253-2019</t>
        </is>
      </c>
      <c r="B1609" s="1" t="n">
        <v>43650</v>
      </c>
      <c r="C1609" s="1" t="n">
        <v>45212</v>
      </c>
      <c r="D1609" t="inlineStr">
        <is>
          <t>VÄSTERNORRLANDS LÄN</t>
        </is>
      </c>
      <c r="E1609" t="inlineStr">
        <is>
          <t>ÖRNSKÖLDSVIK</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33471-2019</t>
        </is>
      </c>
      <c r="B1610" s="1" t="n">
        <v>43650</v>
      </c>
      <c r="C1610" s="1" t="n">
        <v>45212</v>
      </c>
      <c r="D1610" t="inlineStr">
        <is>
          <t>VÄSTERNORRLANDS LÄN</t>
        </is>
      </c>
      <c r="E1610" t="inlineStr">
        <is>
          <t>ÅNGE</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33470-2019</t>
        </is>
      </c>
      <c r="B1611" s="1" t="n">
        <v>43650</v>
      </c>
      <c r="C1611" s="1" t="n">
        <v>45212</v>
      </c>
      <c r="D1611" t="inlineStr">
        <is>
          <t>VÄSTERNORRLANDS LÄN</t>
        </is>
      </c>
      <c r="E1611" t="inlineStr">
        <is>
          <t>ÅNGE</t>
        </is>
      </c>
      <c r="F1611" t="inlineStr">
        <is>
          <t>SCA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34886-2019</t>
        </is>
      </c>
      <c r="B1612" s="1" t="n">
        <v>43650</v>
      </c>
      <c r="C1612" s="1" t="n">
        <v>45212</v>
      </c>
      <c r="D1612" t="inlineStr">
        <is>
          <t>VÄSTERNORRLANDS LÄN</t>
        </is>
      </c>
      <c r="E1612" t="inlineStr">
        <is>
          <t>SOLLEFTEÅ</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33799-2019</t>
        </is>
      </c>
      <c r="B1613" s="1" t="n">
        <v>43651</v>
      </c>
      <c r="C1613" s="1" t="n">
        <v>45212</v>
      </c>
      <c r="D1613" t="inlineStr">
        <is>
          <t>VÄSTERNORRLANDS LÄN</t>
        </is>
      </c>
      <c r="E1613" t="inlineStr">
        <is>
          <t>ÖRNSKÖLDSVIK</t>
        </is>
      </c>
      <c r="F1613" t="inlineStr">
        <is>
          <t>Holmen skog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33826-2019</t>
        </is>
      </c>
      <c r="B1614" s="1" t="n">
        <v>43651</v>
      </c>
      <c r="C1614" s="1" t="n">
        <v>45212</v>
      </c>
      <c r="D1614" t="inlineStr">
        <is>
          <t>VÄSTERNORRLANDS LÄN</t>
        </is>
      </c>
      <c r="E1614" t="inlineStr">
        <is>
          <t>SOLLEFTEÅ</t>
        </is>
      </c>
      <c r="F1614" t="inlineStr">
        <is>
          <t>SCA</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33835-2019</t>
        </is>
      </c>
      <c r="B1615" s="1" t="n">
        <v>43651</v>
      </c>
      <c r="C1615" s="1" t="n">
        <v>45212</v>
      </c>
      <c r="D1615" t="inlineStr">
        <is>
          <t>VÄSTERNORRLANDS LÄN</t>
        </is>
      </c>
      <c r="E1615" t="inlineStr">
        <is>
          <t>TIMRÅ</t>
        </is>
      </c>
      <c r="G1615" t="n">
        <v>6.2</v>
      </c>
      <c r="H1615" t="n">
        <v>0</v>
      </c>
      <c r="I1615" t="n">
        <v>0</v>
      </c>
      <c r="J1615" t="n">
        <v>0</v>
      </c>
      <c r="K1615" t="n">
        <v>0</v>
      </c>
      <c r="L1615" t="n">
        <v>0</v>
      </c>
      <c r="M1615" t="n">
        <v>0</v>
      </c>
      <c r="N1615" t="n">
        <v>0</v>
      </c>
      <c r="O1615" t="n">
        <v>0</v>
      </c>
      <c r="P1615" t="n">
        <v>0</v>
      </c>
      <c r="Q1615" t="n">
        <v>0</v>
      </c>
      <c r="R1615" s="2" t="inlineStr"/>
    </row>
    <row r="1616" ht="15" customHeight="1">
      <c r="A1616" t="inlineStr">
        <is>
          <t>A 35401-2019</t>
        </is>
      </c>
      <c r="B1616" s="1" t="n">
        <v>43651</v>
      </c>
      <c r="C1616" s="1" t="n">
        <v>45212</v>
      </c>
      <c r="D1616" t="inlineStr">
        <is>
          <t>VÄSTERNORRLANDS LÄN</t>
        </is>
      </c>
      <c r="E1616" t="inlineStr">
        <is>
          <t>ÖRNSKÖLDSVIK</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33833-2019</t>
        </is>
      </c>
      <c r="B1617" s="1" t="n">
        <v>43651</v>
      </c>
      <c r="C1617" s="1" t="n">
        <v>45212</v>
      </c>
      <c r="D1617" t="inlineStr">
        <is>
          <t>VÄSTERNORRLANDS LÄN</t>
        </is>
      </c>
      <c r="E1617" t="inlineStr">
        <is>
          <t>SOLLEFTEÅ</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33852-2019</t>
        </is>
      </c>
      <c r="B1618" s="1" t="n">
        <v>43651</v>
      </c>
      <c r="C1618" s="1" t="n">
        <v>45212</v>
      </c>
      <c r="D1618" t="inlineStr">
        <is>
          <t>VÄSTERNORRLANDS LÄN</t>
        </is>
      </c>
      <c r="E1618" t="inlineStr">
        <is>
          <t>SOLLEFTEÅ</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35449-2019</t>
        </is>
      </c>
      <c r="B1619" s="1" t="n">
        <v>43651</v>
      </c>
      <c r="C1619" s="1" t="n">
        <v>45212</v>
      </c>
      <c r="D1619" t="inlineStr">
        <is>
          <t>VÄSTERNORRLANDS LÄN</t>
        </is>
      </c>
      <c r="E1619" t="inlineStr">
        <is>
          <t>ÖRNSKÖLDSVIK</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33834-2019</t>
        </is>
      </c>
      <c r="B1620" s="1" t="n">
        <v>43651</v>
      </c>
      <c r="C1620" s="1" t="n">
        <v>45212</v>
      </c>
      <c r="D1620" t="inlineStr">
        <is>
          <t>VÄSTERNORRLANDS LÄN</t>
        </is>
      </c>
      <c r="E1620" t="inlineStr">
        <is>
          <t>TIMRÅ</t>
        </is>
      </c>
      <c r="G1620" t="n">
        <v>4.5</v>
      </c>
      <c r="H1620" t="n">
        <v>0</v>
      </c>
      <c r="I1620" t="n">
        <v>0</v>
      </c>
      <c r="J1620" t="n">
        <v>0</v>
      </c>
      <c r="K1620" t="n">
        <v>0</v>
      </c>
      <c r="L1620" t="n">
        <v>0</v>
      </c>
      <c r="M1620" t="n">
        <v>0</v>
      </c>
      <c r="N1620" t="n">
        <v>0</v>
      </c>
      <c r="O1620" t="n">
        <v>0</v>
      </c>
      <c r="P1620" t="n">
        <v>0</v>
      </c>
      <c r="Q1620" t="n">
        <v>0</v>
      </c>
      <c r="R1620" s="2" t="inlineStr"/>
    </row>
    <row r="1621" ht="15" customHeight="1">
      <c r="A1621" t="inlineStr">
        <is>
          <t>A 33872-2019</t>
        </is>
      </c>
      <c r="B1621" s="1" t="n">
        <v>43652</v>
      </c>
      <c r="C1621" s="1" t="n">
        <v>45212</v>
      </c>
      <c r="D1621" t="inlineStr">
        <is>
          <t>VÄSTERNORRLANDS LÄN</t>
        </is>
      </c>
      <c r="E1621" t="inlineStr">
        <is>
          <t>ÖRNSKÖLDSVIK</t>
        </is>
      </c>
      <c r="G1621" t="n">
        <v>13.1</v>
      </c>
      <c r="H1621" t="n">
        <v>0</v>
      </c>
      <c r="I1621" t="n">
        <v>0</v>
      </c>
      <c r="J1621" t="n">
        <v>0</v>
      </c>
      <c r="K1621" t="n">
        <v>0</v>
      </c>
      <c r="L1621" t="n">
        <v>0</v>
      </c>
      <c r="M1621" t="n">
        <v>0</v>
      </c>
      <c r="N1621" t="n">
        <v>0</v>
      </c>
      <c r="O1621" t="n">
        <v>0</v>
      </c>
      <c r="P1621" t="n">
        <v>0</v>
      </c>
      <c r="Q1621" t="n">
        <v>0</v>
      </c>
      <c r="R1621" s="2" t="inlineStr"/>
    </row>
    <row r="1622" ht="15" customHeight="1">
      <c r="A1622" t="inlineStr">
        <is>
          <t>A 33965-2019</t>
        </is>
      </c>
      <c r="B1622" s="1" t="n">
        <v>43654</v>
      </c>
      <c r="C1622" s="1" t="n">
        <v>45212</v>
      </c>
      <c r="D1622" t="inlineStr">
        <is>
          <t>VÄSTERNORRLANDS LÄN</t>
        </is>
      </c>
      <c r="E1622" t="inlineStr">
        <is>
          <t>KRAMFORS</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34135-2019</t>
        </is>
      </c>
      <c r="B1623" s="1" t="n">
        <v>43654</v>
      </c>
      <c r="C1623" s="1" t="n">
        <v>45212</v>
      </c>
      <c r="D1623" t="inlineStr">
        <is>
          <t>VÄSTERNORRLANDS LÄN</t>
        </is>
      </c>
      <c r="E1623" t="inlineStr">
        <is>
          <t>ÅNGE</t>
        </is>
      </c>
      <c r="G1623" t="n">
        <v>0.3</v>
      </c>
      <c r="H1623" t="n">
        <v>0</v>
      </c>
      <c r="I1623" t="n">
        <v>0</v>
      </c>
      <c r="J1623" t="n">
        <v>0</v>
      </c>
      <c r="K1623" t="n">
        <v>0</v>
      </c>
      <c r="L1623" t="n">
        <v>0</v>
      </c>
      <c r="M1623" t="n">
        <v>0</v>
      </c>
      <c r="N1623" t="n">
        <v>0</v>
      </c>
      <c r="O1623" t="n">
        <v>0</v>
      </c>
      <c r="P1623" t="n">
        <v>0</v>
      </c>
      <c r="Q1623" t="n">
        <v>0</v>
      </c>
      <c r="R1623" s="2" t="inlineStr"/>
      <c r="U1623">
        <f>HYPERLINK("https://klasma.github.io/Logging_2260/knärot/A 34135-2019 knärot.png", "A 34135-2019")</f>
        <v/>
      </c>
      <c r="V1623">
        <f>HYPERLINK("https://klasma.github.io/Logging_2260/klagomål/A 34135-2019 klagomål.docx", "A 34135-2019")</f>
        <v/>
      </c>
      <c r="W1623">
        <f>HYPERLINK("https://klasma.github.io/Logging_2260/klagomålsmail/A 34135-2019 klagomålsmail.docx", "A 34135-2019")</f>
        <v/>
      </c>
      <c r="X1623">
        <f>HYPERLINK("https://klasma.github.io/Logging_2260/tillsyn/A 34135-2019 tillsyn.docx", "A 34135-2019")</f>
        <v/>
      </c>
      <c r="Y1623">
        <f>HYPERLINK("https://klasma.github.io/Logging_2260/tillsynsmail/A 34135-2019 tillsynsmail.docx", "A 34135-2019")</f>
        <v/>
      </c>
    </row>
    <row r="1624" ht="15" customHeight="1">
      <c r="A1624" t="inlineStr">
        <is>
          <t>A 33914-2019</t>
        </is>
      </c>
      <c r="B1624" s="1" t="n">
        <v>43654</v>
      </c>
      <c r="C1624" s="1" t="n">
        <v>45212</v>
      </c>
      <c r="D1624" t="inlineStr">
        <is>
          <t>VÄSTERNORRLANDS LÄN</t>
        </is>
      </c>
      <c r="E1624" t="inlineStr">
        <is>
          <t>SOLLEFTEÅ</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34106-2019</t>
        </is>
      </c>
      <c r="B1625" s="1" t="n">
        <v>43654</v>
      </c>
      <c r="C1625" s="1" t="n">
        <v>45212</v>
      </c>
      <c r="D1625" t="inlineStr">
        <is>
          <t>VÄSTERNORRLANDS LÄN</t>
        </is>
      </c>
      <c r="E1625" t="inlineStr">
        <is>
          <t>TIMRÅ</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34136-2019</t>
        </is>
      </c>
      <c r="B1626" s="1" t="n">
        <v>43654</v>
      </c>
      <c r="C1626" s="1" t="n">
        <v>45212</v>
      </c>
      <c r="D1626" t="inlineStr">
        <is>
          <t>VÄSTERNORRLANDS LÄN</t>
        </is>
      </c>
      <c r="E1626" t="inlineStr">
        <is>
          <t>SUNDSVALL</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34113-2019</t>
        </is>
      </c>
      <c r="B1627" s="1" t="n">
        <v>43654</v>
      </c>
      <c r="C1627" s="1" t="n">
        <v>45212</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34229-2019</t>
        </is>
      </c>
      <c r="B1628" s="1" t="n">
        <v>43655</v>
      </c>
      <c r="C1628" s="1" t="n">
        <v>45212</v>
      </c>
      <c r="D1628" t="inlineStr">
        <is>
          <t>VÄSTERNORRLANDS LÄN</t>
        </is>
      </c>
      <c r="E1628" t="inlineStr">
        <is>
          <t>SOLLEFTEÅ</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34302-2019</t>
        </is>
      </c>
      <c r="B1629" s="1" t="n">
        <v>43655</v>
      </c>
      <c r="C1629" s="1" t="n">
        <v>45212</v>
      </c>
      <c r="D1629" t="inlineStr">
        <is>
          <t>VÄSTERNORRLANDS LÄN</t>
        </is>
      </c>
      <c r="E1629" t="inlineStr">
        <is>
          <t>SOLLEFTEÅ</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34311-2019</t>
        </is>
      </c>
      <c r="B1630" s="1" t="n">
        <v>43655</v>
      </c>
      <c r="C1630" s="1" t="n">
        <v>45212</v>
      </c>
      <c r="D1630" t="inlineStr">
        <is>
          <t>VÄSTERNORRLANDS LÄN</t>
        </is>
      </c>
      <c r="E1630" t="inlineStr">
        <is>
          <t>SOLLEFTEÅ</t>
        </is>
      </c>
      <c r="F1630" t="inlineStr">
        <is>
          <t>SCA</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34317-2019</t>
        </is>
      </c>
      <c r="B1631" s="1" t="n">
        <v>43656</v>
      </c>
      <c r="C1631" s="1" t="n">
        <v>45212</v>
      </c>
      <c r="D1631" t="inlineStr">
        <is>
          <t>VÄSTERNORRLANDS LÄN</t>
        </is>
      </c>
      <c r="E1631" t="inlineStr">
        <is>
          <t>ÖRNSKÖLDSVIK</t>
        </is>
      </c>
      <c r="F1631" t="inlineStr">
        <is>
          <t>Holmen skog AB</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34738-2019</t>
        </is>
      </c>
      <c r="B1632" s="1" t="n">
        <v>43657</v>
      </c>
      <c r="C1632" s="1" t="n">
        <v>45212</v>
      </c>
      <c r="D1632" t="inlineStr">
        <is>
          <t>VÄSTERNORRLANDS LÄN</t>
        </is>
      </c>
      <c r="E1632" t="inlineStr">
        <is>
          <t>SOLLEFTEÅ</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34677-2019</t>
        </is>
      </c>
      <c r="B1633" s="1" t="n">
        <v>43657</v>
      </c>
      <c r="C1633" s="1" t="n">
        <v>45212</v>
      </c>
      <c r="D1633" t="inlineStr">
        <is>
          <t>VÄSTERNORRLANDS LÄN</t>
        </is>
      </c>
      <c r="E1633" t="inlineStr">
        <is>
          <t>KRAMFORS</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34684-2019</t>
        </is>
      </c>
      <c r="B1634" s="1" t="n">
        <v>43657</v>
      </c>
      <c r="C1634" s="1" t="n">
        <v>45212</v>
      </c>
      <c r="D1634" t="inlineStr">
        <is>
          <t>VÄSTERNORRLANDS LÄN</t>
        </is>
      </c>
      <c r="E1634" t="inlineStr">
        <is>
          <t>ÖRNSKÖLDSVIK</t>
        </is>
      </c>
      <c r="F1634" t="inlineStr">
        <is>
          <t>Holmen skog AB</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36077-2019</t>
        </is>
      </c>
      <c r="B1635" s="1" t="n">
        <v>43657</v>
      </c>
      <c r="C1635" s="1" t="n">
        <v>45212</v>
      </c>
      <c r="D1635" t="inlineStr">
        <is>
          <t>VÄSTERNORRLANDS LÄN</t>
        </is>
      </c>
      <c r="E1635" t="inlineStr">
        <is>
          <t>SUNDSVALL</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34665-2019</t>
        </is>
      </c>
      <c r="B1636" s="1" t="n">
        <v>43657</v>
      </c>
      <c r="C1636" s="1" t="n">
        <v>45212</v>
      </c>
      <c r="D1636" t="inlineStr">
        <is>
          <t>VÄSTERNORRLANDS LÄN</t>
        </is>
      </c>
      <c r="E1636" t="inlineStr">
        <is>
          <t>ÖRNSKÖLDSVIK</t>
        </is>
      </c>
      <c r="F1636" t="inlineStr">
        <is>
          <t>Holmen skog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34694-2019</t>
        </is>
      </c>
      <c r="B1637" s="1" t="n">
        <v>43657</v>
      </c>
      <c r="C1637" s="1" t="n">
        <v>45212</v>
      </c>
      <c r="D1637" t="inlineStr">
        <is>
          <t>VÄSTERNORRLANDS LÄN</t>
        </is>
      </c>
      <c r="E1637" t="inlineStr">
        <is>
          <t>HÄRNÖSAND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36074-2019</t>
        </is>
      </c>
      <c r="B1638" s="1" t="n">
        <v>43657</v>
      </c>
      <c r="C1638" s="1" t="n">
        <v>45212</v>
      </c>
      <c r="D1638" t="inlineStr">
        <is>
          <t>VÄSTERNORRLANDS LÄN</t>
        </is>
      </c>
      <c r="E1638" t="inlineStr">
        <is>
          <t>SUNDSVALL</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34916-2019</t>
        </is>
      </c>
      <c r="B1639" s="1" t="n">
        <v>43658</v>
      </c>
      <c r="C1639" s="1" t="n">
        <v>45212</v>
      </c>
      <c r="D1639" t="inlineStr">
        <is>
          <t>VÄSTERNORRLANDS LÄN</t>
        </is>
      </c>
      <c r="E1639" t="inlineStr">
        <is>
          <t>SOLLEFTEÅ</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35171-2019</t>
        </is>
      </c>
      <c r="B1640" s="1" t="n">
        <v>43661</v>
      </c>
      <c r="C1640" s="1" t="n">
        <v>45212</v>
      </c>
      <c r="D1640" t="inlineStr">
        <is>
          <t>VÄSTERNORRLANDS LÄN</t>
        </is>
      </c>
      <c r="E1640" t="inlineStr">
        <is>
          <t>SUNDSVALL</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36278-2019</t>
        </is>
      </c>
      <c r="B1641" s="1" t="n">
        <v>43661</v>
      </c>
      <c r="C1641" s="1" t="n">
        <v>45212</v>
      </c>
      <c r="D1641" t="inlineStr">
        <is>
          <t>VÄSTERNORRLANDS LÄN</t>
        </is>
      </c>
      <c r="E1641" t="inlineStr">
        <is>
          <t>ÖRNSKÖLDSVIK</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35170-2019</t>
        </is>
      </c>
      <c r="B1642" s="1" t="n">
        <v>43661</v>
      </c>
      <c r="C1642" s="1" t="n">
        <v>45212</v>
      </c>
      <c r="D1642" t="inlineStr">
        <is>
          <t>VÄSTERNORRLANDS LÄN</t>
        </is>
      </c>
      <c r="E1642" t="inlineStr">
        <is>
          <t>SUNDSVALL</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35320-2019</t>
        </is>
      </c>
      <c r="B1643" s="1" t="n">
        <v>43662</v>
      </c>
      <c r="C1643" s="1" t="n">
        <v>45212</v>
      </c>
      <c r="D1643" t="inlineStr">
        <is>
          <t>VÄSTERNORRLANDS LÄN</t>
        </is>
      </c>
      <c r="E1643" t="inlineStr">
        <is>
          <t>SOLLEFTEÅ</t>
        </is>
      </c>
      <c r="F1643" t="inlineStr">
        <is>
          <t>SCA</t>
        </is>
      </c>
      <c r="G1643" t="n">
        <v>8</v>
      </c>
      <c r="H1643" t="n">
        <v>0</v>
      </c>
      <c r="I1643" t="n">
        <v>0</v>
      </c>
      <c r="J1643" t="n">
        <v>0</v>
      </c>
      <c r="K1643" t="n">
        <v>0</v>
      </c>
      <c r="L1643" t="n">
        <v>0</v>
      </c>
      <c r="M1643" t="n">
        <v>0</v>
      </c>
      <c r="N1643" t="n">
        <v>0</v>
      </c>
      <c r="O1643" t="n">
        <v>0</v>
      </c>
      <c r="P1643" t="n">
        <v>0</v>
      </c>
      <c r="Q1643" t="n">
        <v>0</v>
      </c>
      <c r="R1643" s="2" t="inlineStr"/>
    </row>
    <row r="1644" ht="15" customHeight="1">
      <c r="A1644" t="inlineStr">
        <is>
          <t>A 35671-2019</t>
        </is>
      </c>
      <c r="B1644" s="1" t="n">
        <v>43664</v>
      </c>
      <c r="C1644" s="1" t="n">
        <v>45212</v>
      </c>
      <c r="D1644" t="inlineStr">
        <is>
          <t>VÄSTERNORRLANDS LÄN</t>
        </is>
      </c>
      <c r="E1644" t="inlineStr">
        <is>
          <t>ÖRNSKÖLDSVIK</t>
        </is>
      </c>
      <c r="F1644" t="inlineStr">
        <is>
          <t>Holmen skog AB</t>
        </is>
      </c>
      <c r="G1644" t="n">
        <v>9.5</v>
      </c>
      <c r="H1644" t="n">
        <v>0</v>
      </c>
      <c r="I1644" t="n">
        <v>0</v>
      </c>
      <c r="J1644" t="n">
        <v>0</v>
      </c>
      <c r="K1644" t="n">
        <v>0</v>
      </c>
      <c r="L1644" t="n">
        <v>0</v>
      </c>
      <c r="M1644" t="n">
        <v>0</v>
      </c>
      <c r="N1644" t="n">
        <v>0</v>
      </c>
      <c r="O1644" t="n">
        <v>0</v>
      </c>
      <c r="P1644" t="n">
        <v>0</v>
      </c>
      <c r="Q1644" t="n">
        <v>0</v>
      </c>
      <c r="R1644" s="2" t="inlineStr"/>
    </row>
    <row r="1645" ht="15" customHeight="1">
      <c r="A1645" t="inlineStr">
        <is>
          <t>A 36438-2019</t>
        </is>
      </c>
      <c r="B1645" s="1" t="n">
        <v>43664</v>
      </c>
      <c r="C1645" s="1" t="n">
        <v>45212</v>
      </c>
      <c r="D1645" t="inlineStr">
        <is>
          <t>VÄSTERNORRLANDS LÄN</t>
        </is>
      </c>
      <c r="E1645" t="inlineStr">
        <is>
          <t>ÅNGE</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35877-2019</t>
        </is>
      </c>
      <c r="B1646" s="1" t="n">
        <v>43665</v>
      </c>
      <c r="C1646" s="1" t="n">
        <v>45212</v>
      </c>
      <c r="D1646" t="inlineStr">
        <is>
          <t>VÄSTERNORRLANDS LÄN</t>
        </is>
      </c>
      <c r="E1646" t="inlineStr">
        <is>
          <t>TIMRÅ</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35907-2019</t>
        </is>
      </c>
      <c r="B1647" s="1" t="n">
        <v>43665</v>
      </c>
      <c r="C1647" s="1" t="n">
        <v>45212</v>
      </c>
      <c r="D1647" t="inlineStr">
        <is>
          <t>VÄSTERNORRLANDS LÄN</t>
        </is>
      </c>
      <c r="E1647" t="inlineStr">
        <is>
          <t>ÖRNSKÖLDSVIK</t>
        </is>
      </c>
      <c r="F1647" t="inlineStr">
        <is>
          <t>Holmen skog AB</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35969-2019</t>
        </is>
      </c>
      <c r="B1648" s="1" t="n">
        <v>43665</v>
      </c>
      <c r="C1648" s="1" t="n">
        <v>45212</v>
      </c>
      <c r="D1648" t="inlineStr">
        <is>
          <t>VÄSTERNORRLANDS LÄN</t>
        </is>
      </c>
      <c r="E1648" t="inlineStr">
        <is>
          <t>SOLLEFTEÅ</t>
        </is>
      </c>
      <c r="F1648" t="inlineStr">
        <is>
          <t>SCA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35970-2019</t>
        </is>
      </c>
      <c r="B1649" s="1" t="n">
        <v>43665</v>
      </c>
      <c r="C1649" s="1" t="n">
        <v>45212</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35966-2019</t>
        </is>
      </c>
      <c r="B1650" s="1" t="n">
        <v>43665</v>
      </c>
      <c r="C1650" s="1" t="n">
        <v>45212</v>
      </c>
      <c r="D1650" t="inlineStr">
        <is>
          <t>VÄSTERNORRLANDS LÄN</t>
        </is>
      </c>
      <c r="E1650" t="inlineStr">
        <is>
          <t>SUNDSVALL</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36026-2019</t>
        </is>
      </c>
      <c r="B1651" s="1" t="n">
        <v>43668</v>
      </c>
      <c r="C1651" s="1" t="n">
        <v>45212</v>
      </c>
      <c r="D1651" t="inlineStr">
        <is>
          <t>VÄSTERNORRLANDS LÄN</t>
        </is>
      </c>
      <c r="E1651" t="inlineStr">
        <is>
          <t>SUNDSVALL</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36137-2019</t>
        </is>
      </c>
      <c r="B1652" s="1" t="n">
        <v>43668</v>
      </c>
      <c r="C1652" s="1" t="n">
        <v>45212</v>
      </c>
      <c r="D1652" t="inlineStr">
        <is>
          <t>VÄSTERNORRLANDS LÄN</t>
        </is>
      </c>
      <c r="E1652" t="inlineStr">
        <is>
          <t>SOLLEFTEÅ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36176-2019</t>
        </is>
      </c>
      <c r="B1653" s="1" t="n">
        <v>43668</v>
      </c>
      <c r="C1653" s="1" t="n">
        <v>45212</v>
      </c>
      <c r="D1653" t="inlineStr">
        <is>
          <t>VÄSTERNORRLANDS LÄN</t>
        </is>
      </c>
      <c r="E1653" t="inlineStr">
        <is>
          <t>TIMRÅ</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36486-2019</t>
        </is>
      </c>
      <c r="B1654" s="1" t="n">
        <v>43668</v>
      </c>
      <c r="C1654" s="1" t="n">
        <v>45212</v>
      </c>
      <c r="D1654" t="inlineStr">
        <is>
          <t>VÄSTERNORRLANDS LÄN</t>
        </is>
      </c>
      <c r="E1654" t="inlineStr">
        <is>
          <t>SOLLEFTEÅ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36293-2019</t>
        </is>
      </c>
      <c r="B1655" s="1" t="n">
        <v>43669</v>
      </c>
      <c r="C1655" s="1" t="n">
        <v>45212</v>
      </c>
      <c r="D1655" t="inlineStr">
        <is>
          <t>VÄSTERNORRLANDS LÄN</t>
        </is>
      </c>
      <c r="E1655" t="inlineStr">
        <is>
          <t>SOLLEFTEÅ</t>
        </is>
      </c>
      <c r="F1655" t="inlineStr">
        <is>
          <t>SCA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36311-2019</t>
        </is>
      </c>
      <c r="B1656" s="1" t="n">
        <v>43670</v>
      </c>
      <c r="C1656" s="1" t="n">
        <v>45212</v>
      </c>
      <c r="D1656" t="inlineStr">
        <is>
          <t>VÄSTERNORRLANDS LÄN</t>
        </is>
      </c>
      <c r="E1656" t="inlineStr">
        <is>
          <t>ÅNGE</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36631-2019</t>
        </is>
      </c>
      <c r="B1657" s="1" t="n">
        <v>43671</v>
      </c>
      <c r="C1657" s="1" t="n">
        <v>45212</v>
      </c>
      <c r="D1657" t="inlineStr">
        <is>
          <t>VÄSTERNORRLANDS LÄN</t>
        </is>
      </c>
      <c r="E1657" t="inlineStr">
        <is>
          <t>ÖRNSKÖLDSVIK</t>
        </is>
      </c>
      <c r="F1657" t="inlineStr">
        <is>
          <t>Holmen skog AB</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36711-2019</t>
        </is>
      </c>
      <c r="B1658" s="1" t="n">
        <v>43671</v>
      </c>
      <c r="C1658" s="1" t="n">
        <v>45212</v>
      </c>
      <c r="D1658" t="inlineStr">
        <is>
          <t>VÄSTERNORRLANDS LÄN</t>
        </is>
      </c>
      <c r="E1658" t="inlineStr">
        <is>
          <t>SOLLEFTEÅ</t>
        </is>
      </c>
      <c r="F1658" t="inlineStr">
        <is>
          <t>SCA</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36806-2019</t>
        </is>
      </c>
      <c r="B1659" s="1" t="n">
        <v>43672</v>
      </c>
      <c r="C1659" s="1" t="n">
        <v>45212</v>
      </c>
      <c r="D1659" t="inlineStr">
        <is>
          <t>VÄSTERNORRLANDS LÄN</t>
        </is>
      </c>
      <c r="E1659" t="inlineStr">
        <is>
          <t>TIMRÅ</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37070-2019</t>
        </is>
      </c>
      <c r="B1660" s="1" t="n">
        <v>43675</v>
      </c>
      <c r="C1660" s="1" t="n">
        <v>45212</v>
      </c>
      <c r="D1660" t="inlineStr">
        <is>
          <t>VÄSTERNORRLANDS LÄN</t>
        </is>
      </c>
      <c r="E1660" t="inlineStr">
        <is>
          <t>ÖRNSKÖLDSVIK</t>
        </is>
      </c>
      <c r="G1660" t="n">
        <v>13.5</v>
      </c>
      <c r="H1660" t="n">
        <v>0</v>
      </c>
      <c r="I1660" t="n">
        <v>0</v>
      </c>
      <c r="J1660" t="n">
        <v>0</v>
      </c>
      <c r="K1660" t="n">
        <v>0</v>
      </c>
      <c r="L1660" t="n">
        <v>0</v>
      </c>
      <c r="M1660" t="n">
        <v>0</v>
      </c>
      <c r="N1660" t="n">
        <v>0</v>
      </c>
      <c r="O1660" t="n">
        <v>0</v>
      </c>
      <c r="P1660" t="n">
        <v>0</v>
      </c>
      <c r="Q1660" t="n">
        <v>0</v>
      </c>
      <c r="R1660" s="2" t="inlineStr"/>
    </row>
    <row r="1661" ht="15" customHeight="1">
      <c r="A1661" t="inlineStr">
        <is>
          <t>A 37069-2019</t>
        </is>
      </c>
      <c r="B1661" s="1" t="n">
        <v>43676</v>
      </c>
      <c r="C1661" s="1" t="n">
        <v>45212</v>
      </c>
      <c r="D1661" t="inlineStr">
        <is>
          <t>VÄSTERNORRLANDS LÄN</t>
        </is>
      </c>
      <c r="E1661" t="inlineStr">
        <is>
          <t>SUNDSVALL</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37203-2019</t>
        </is>
      </c>
      <c r="B1662" s="1" t="n">
        <v>43677</v>
      </c>
      <c r="C1662" s="1" t="n">
        <v>45212</v>
      </c>
      <c r="D1662" t="inlineStr">
        <is>
          <t>VÄSTERNORRLANDS LÄN</t>
        </is>
      </c>
      <c r="E1662" t="inlineStr">
        <is>
          <t>ÖRNSKÖLDSVIK</t>
        </is>
      </c>
      <c r="F1662" t="inlineStr">
        <is>
          <t>Holmen skog AB</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37211-2019</t>
        </is>
      </c>
      <c r="B1663" s="1" t="n">
        <v>43677</v>
      </c>
      <c r="C1663" s="1" t="n">
        <v>45212</v>
      </c>
      <c r="D1663" t="inlineStr">
        <is>
          <t>VÄSTERNORRLANDS LÄN</t>
        </is>
      </c>
      <c r="E1663" t="inlineStr">
        <is>
          <t>ÖRNSKÖLDSVIK</t>
        </is>
      </c>
      <c r="F1663" t="inlineStr">
        <is>
          <t>Holmen skog AB</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37291-2019</t>
        </is>
      </c>
      <c r="B1664" s="1" t="n">
        <v>43677</v>
      </c>
      <c r="C1664" s="1" t="n">
        <v>45212</v>
      </c>
      <c r="D1664" t="inlineStr">
        <is>
          <t>VÄSTERNORRLANDS LÄN</t>
        </is>
      </c>
      <c r="E1664" t="inlineStr">
        <is>
          <t>SOLLEFTEÅ</t>
        </is>
      </c>
      <c r="G1664" t="n">
        <v>7.4</v>
      </c>
      <c r="H1664" t="n">
        <v>0</v>
      </c>
      <c r="I1664" t="n">
        <v>0</v>
      </c>
      <c r="J1664" t="n">
        <v>0</v>
      </c>
      <c r="K1664" t="n">
        <v>0</v>
      </c>
      <c r="L1664" t="n">
        <v>0</v>
      </c>
      <c r="M1664" t="n">
        <v>0</v>
      </c>
      <c r="N1664" t="n">
        <v>0</v>
      </c>
      <c r="O1664" t="n">
        <v>0</v>
      </c>
      <c r="P1664" t="n">
        <v>0</v>
      </c>
      <c r="Q1664" t="n">
        <v>0</v>
      </c>
      <c r="R1664" s="2" t="inlineStr"/>
    </row>
    <row r="1665" ht="15" customHeight="1">
      <c r="A1665" t="inlineStr">
        <is>
          <t>A 37201-2019</t>
        </is>
      </c>
      <c r="B1665" s="1" t="n">
        <v>43677</v>
      </c>
      <c r="C1665" s="1" t="n">
        <v>45212</v>
      </c>
      <c r="D1665" t="inlineStr">
        <is>
          <t>VÄSTERNORRLANDS LÄN</t>
        </is>
      </c>
      <c r="E1665" t="inlineStr">
        <is>
          <t>ÖRNSKÖLDSVIK</t>
        </is>
      </c>
      <c r="F1665" t="inlineStr">
        <is>
          <t>Holmen skog AB</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37202-2019</t>
        </is>
      </c>
      <c r="B1666" s="1" t="n">
        <v>43677</v>
      </c>
      <c r="C1666" s="1" t="n">
        <v>45212</v>
      </c>
      <c r="D1666" t="inlineStr">
        <is>
          <t>VÄSTERNORRLANDS LÄN</t>
        </is>
      </c>
      <c r="E1666" t="inlineStr">
        <is>
          <t>ÖRNSKÖLDSVIK</t>
        </is>
      </c>
      <c r="F1666" t="inlineStr">
        <is>
          <t>Holmen skog AB</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37210-2019</t>
        </is>
      </c>
      <c r="B1667" s="1" t="n">
        <v>43677</v>
      </c>
      <c r="C1667" s="1" t="n">
        <v>45212</v>
      </c>
      <c r="D1667" t="inlineStr">
        <is>
          <t>VÄSTERNORRLANDS LÄN</t>
        </is>
      </c>
      <c r="E1667" t="inlineStr">
        <is>
          <t>ÖRNSKÖLDSVIK</t>
        </is>
      </c>
      <c r="F1667" t="inlineStr">
        <is>
          <t>Holmen skog AB</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37292-2019</t>
        </is>
      </c>
      <c r="B1668" s="1" t="n">
        <v>43677</v>
      </c>
      <c r="C1668" s="1" t="n">
        <v>45212</v>
      </c>
      <c r="D1668" t="inlineStr">
        <is>
          <t>VÄSTERNORRLANDS LÄN</t>
        </is>
      </c>
      <c r="E1668" t="inlineStr">
        <is>
          <t>SOLLEFTEÅ</t>
        </is>
      </c>
      <c r="G1668" t="n">
        <v>7.8</v>
      </c>
      <c r="H1668" t="n">
        <v>0</v>
      </c>
      <c r="I1668" t="n">
        <v>0</v>
      </c>
      <c r="J1668" t="n">
        <v>0</v>
      </c>
      <c r="K1668" t="n">
        <v>0</v>
      </c>
      <c r="L1668" t="n">
        <v>0</v>
      </c>
      <c r="M1668" t="n">
        <v>0</v>
      </c>
      <c r="N1668" t="n">
        <v>0</v>
      </c>
      <c r="O1668" t="n">
        <v>0</v>
      </c>
      <c r="P1668" t="n">
        <v>0</v>
      </c>
      <c r="Q1668" t="n">
        <v>0</v>
      </c>
      <c r="R1668" s="2" t="inlineStr"/>
    </row>
    <row r="1669" ht="15" customHeight="1">
      <c r="A1669" t="inlineStr">
        <is>
          <t>A 37434-2019</t>
        </is>
      </c>
      <c r="B1669" s="1" t="n">
        <v>43678</v>
      </c>
      <c r="C1669" s="1" t="n">
        <v>45212</v>
      </c>
      <c r="D1669" t="inlineStr">
        <is>
          <t>VÄSTERNORRLANDS LÄN</t>
        </is>
      </c>
      <c r="E1669" t="inlineStr">
        <is>
          <t>SOLLEFTEÅ</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37378-2019</t>
        </is>
      </c>
      <c r="B1670" s="1" t="n">
        <v>43678</v>
      </c>
      <c r="C1670" s="1" t="n">
        <v>45212</v>
      </c>
      <c r="D1670" t="inlineStr">
        <is>
          <t>VÄSTERNORRLANDS LÄN</t>
        </is>
      </c>
      <c r="E1670" t="inlineStr">
        <is>
          <t>SUNDSVALL</t>
        </is>
      </c>
      <c r="G1670" t="n">
        <v>6.5</v>
      </c>
      <c r="H1670" t="n">
        <v>0</v>
      </c>
      <c r="I1670" t="n">
        <v>0</v>
      </c>
      <c r="J1670" t="n">
        <v>0</v>
      </c>
      <c r="K1670" t="n">
        <v>0</v>
      </c>
      <c r="L1670" t="n">
        <v>0</v>
      </c>
      <c r="M1670" t="n">
        <v>0</v>
      </c>
      <c r="N1670" t="n">
        <v>0</v>
      </c>
      <c r="O1670" t="n">
        <v>0</v>
      </c>
      <c r="P1670" t="n">
        <v>0</v>
      </c>
      <c r="Q1670" t="n">
        <v>0</v>
      </c>
      <c r="R1670" s="2" t="inlineStr"/>
    </row>
    <row r="1671" ht="15" customHeight="1">
      <c r="A1671" t="inlineStr">
        <is>
          <t>A 37745-2019</t>
        </is>
      </c>
      <c r="B1671" s="1" t="n">
        <v>43679</v>
      </c>
      <c r="C1671" s="1" t="n">
        <v>45212</v>
      </c>
      <c r="D1671" t="inlineStr">
        <is>
          <t>VÄSTERNORRLANDS LÄN</t>
        </is>
      </c>
      <c r="E1671" t="inlineStr">
        <is>
          <t>ÅNGE</t>
        </is>
      </c>
      <c r="G1671" t="n">
        <v>11.4</v>
      </c>
      <c r="H1671" t="n">
        <v>0</v>
      </c>
      <c r="I1671" t="n">
        <v>0</v>
      </c>
      <c r="J1671" t="n">
        <v>0</v>
      </c>
      <c r="K1671" t="n">
        <v>0</v>
      </c>
      <c r="L1671" t="n">
        <v>0</v>
      </c>
      <c r="M1671" t="n">
        <v>0</v>
      </c>
      <c r="N1671" t="n">
        <v>0</v>
      </c>
      <c r="O1671" t="n">
        <v>0</v>
      </c>
      <c r="P1671" t="n">
        <v>0</v>
      </c>
      <c r="Q1671" t="n">
        <v>0</v>
      </c>
      <c r="R1671" s="2" t="inlineStr"/>
    </row>
    <row r="1672" ht="15" customHeight="1">
      <c r="A1672" t="inlineStr">
        <is>
          <t>A 37721-2019</t>
        </is>
      </c>
      <c r="B1672" s="1" t="n">
        <v>43679</v>
      </c>
      <c r="C1672" s="1" t="n">
        <v>45212</v>
      </c>
      <c r="D1672" t="inlineStr">
        <is>
          <t>VÄSTERNORRLANDS LÄN</t>
        </is>
      </c>
      <c r="E1672" t="inlineStr">
        <is>
          <t>ÖRNSKÖLDSVIK</t>
        </is>
      </c>
      <c r="G1672" t="n">
        <v>15.3</v>
      </c>
      <c r="H1672" t="n">
        <v>0</v>
      </c>
      <c r="I1672" t="n">
        <v>0</v>
      </c>
      <c r="J1672" t="n">
        <v>0</v>
      </c>
      <c r="K1672" t="n">
        <v>0</v>
      </c>
      <c r="L1672" t="n">
        <v>0</v>
      </c>
      <c r="M1672" t="n">
        <v>0</v>
      </c>
      <c r="N1672" t="n">
        <v>0</v>
      </c>
      <c r="O1672" t="n">
        <v>0</v>
      </c>
      <c r="P1672" t="n">
        <v>0</v>
      </c>
      <c r="Q1672" t="n">
        <v>0</v>
      </c>
      <c r="R1672" s="2" t="inlineStr"/>
    </row>
    <row r="1673" ht="15" customHeight="1">
      <c r="A1673" t="inlineStr">
        <is>
          <t>A 37652-2019</t>
        </is>
      </c>
      <c r="B1673" s="1" t="n">
        <v>43679</v>
      </c>
      <c r="C1673" s="1" t="n">
        <v>45212</v>
      </c>
      <c r="D1673" t="inlineStr">
        <is>
          <t>VÄSTERNORRLANDS LÄN</t>
        </is>
      </c>
      <c r="E1673" t="inlineStr">
        <is>
          <t>SOLLEFTEÅ</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37718-2019</t>
        </is>
      </c>
      <c r="B1674" s="1" t="n">
        <v>43679</v>
      </c>
      <c r="C1674" s="1" t="n">
        <v>45212</v>
      </c>
      <c r="D1674" t="inlineStr">
        <is>
          <t>VÄSTERNORRLANDS LÄN</t>
        </is>
      </c>
      <c r="E1674" t="inlineStr">
        <is>
          <t>ÖRNSKÖLDSVIK</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37670-2019</t>
        </is>
      </c>
      <c r="B1675" s="1" t="n">
        <v>43679</v>
      </c>
      <c r="C1675" s="1" t="n">
        <v>45212</v>
      </c>
      <c r="D1675" t="inlineStr">
        <is>
          <t>VÄSTERNORRLANDS LÄN</t>
        </is>
      </c>
      <c r="E1675" t="inlineStr">
        <is>
          <t>SOLLEFTEÅ</t>
        </is>
      </c>
      <c r="G1675" t="n">
        <v>3.2</v>
      </c>
      <c r="H1675" t="n">
        <v>0</v>
      </c>
      <c r="I1675" t="n">
        <v>0</v>
      </c>
      <c r="J1675" t="n">
        <v>0</v>
      </c>
      <c r="K1675" t="n">
        <v>0</v>
      </c>
      <c r="L1675" t="n">
        <v>0</v>
      </c>
      <c r="M1675" t="n">
        <v>0</v>
      </c>
      <c r="N1675" t="n">
        <v>0</v>
      </c>
      <c r="O1675" t="n">
        <v>0</v>
      </c>
      <c r="P1675" t="n">
        <v>0</v>
      </c>
      <c r="Q1675" t="n">
        <v>0</v>
      </c>
      <c r="R1675" s="2" t="inlineStr"/>
    </row>
    <row r="1676" ht="15" customHeight="1">
      <c r="A1676" t="inlineStr">
        <is>
          <t>A 37887-2019</t>
        </is>
      </c>
      <c r="B1676" s="1" t="n">
        <v>43682</v>
      </c>
      <c r="C1676" s="1" t="n">
        <v>45212</v>
      </c>
      <c r="D1676" t="inlineStr">
        <is>
          <t>VÄSTERNORRLANDS LÄN</t>
        </is>
      </c>
      <c r="E1676" t="inlineStr">
        <is>
          <t>ÅNGE</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38074-2019</t>
        </is>
      </c>
      <c r="B1677" s="1" t="n">
        <v>43682</v>
      </c>
      <c r="C1677" s="1" t="n">
        <v>45212</v>
      </c>
      <c r="D1677" t="inlineStr">
        <is>
          <t>VÄSTERNORRLANDS LÄN</t>
        </is>
      </c>
      <c r="E1677" t="inlineStr">
        <is>
          <t>SOLLEFTEÅ</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38080-2019</t>
        </is>
      </c>
      <c r="B1678" s="1" t="n">
        <v>43682</v>
      </c>
      <c r="C1678" s="1" t="n">
        <v>45212</v>
      </c>
      <c r="D1678" t="inlineStr">
        <is>
          <t>VÄSTERNORRLANDS LÄN</t>
        </is>
      </c>
      <c r="E1678" t="inlineStr">
        <is>
          <t>SOLLEFTEÅ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37986-2019</t>
        </is>
      </c>
      <c r="B1679" s="1" t="n">
        <v>43682</v>
      </c>
      <c r="C1679" s="1" t="n">
        <v>45212</v>
      </c>
      <c r="D1679" t="inlineStr">
        <is>
          <t>VÄSTERNORRLANDS LÄN</t>
        </is>
      </c>
      <c r="E1679" t="inlineStr">
        <is>
          <t>KRAMFORS</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38083-2019</t>
        </is>
      </c>
      <c r="B1680" s="1" t="n">
        <v>43682</v>
      </c>
      <c r="C1680" s="1" t="n">
        <v>45212</v>
      </c>
      <c r="D1680" t="inlineStr">
        <is>
          <t>VÄSTERNORRLANDS LÄN</t>
        </is>
      </c>
      <c r="E1680" t="inlineStr">
        <is>
          <t>SOLLEFTEÅ</t>
        </is>
      </c>
      <c r="G1680" t="n">
        <v>9.6</v>
      </c>
      <c r="H1680" t="n">
        <v>0</v>
      </c>
      <c r="I1680" t="n">
        <v>0</v>
      </c>
      <c r="J1680" t="n">
        <v>0</v>
      </c>
      <c r="K1680" t="n">
        <v>0</v>
      </c>
      <c r="L1680" t="n">
        <v>0</v>
      </c>
      <c r="M1680" t="n">
        <v>0</v>
      </c>
      <c r="N1680" t="n">
        <v>0</v>
      </c>
      <c r="O1680" t="n">
        <v>0</v>
      </c>
      <c r="P1680" t="n">
        <v>0</v>
      </c>
      <c r="Q1680" t="n">
        <v>0</v>
      </c>
      <c r="R1680" s="2" t="inlineStr"/>
    </row>
    <row r="1681" ht="15" customHeight="1">
      <c r="A1681" t="inlineStr">
        <is>
          <t>A 37891-2019</t>
        </is>
      </c>
      <c r="B1681" s="1" t="n">
        <v>43682</v>
      </c>
      <c r="C1681" s="1" t="n">
        <v>45212</v>
      </c>
      <c r="D1681" t="inlineStr">
        <is>
          <t>VÄSTERNORRLANDS LÄN</t>
        </is>
      </c>
      <c r="E1681" t="inlineStr">
        <is>
          <t>SUNDSVALL</t>
        </is>
      </c>
      <c r="F1681" t="inlineStr">
        <is>
          <t>SCA</t>
        </is>
      </c>
      <c r="G1681" t="n">
        <v>40.1</v>
      </c>
      <c r="H1681" t="n">
        <v>0</v>
      </c>
      <c r="I1681" t="n">
        <v>0</v>
      </c>
      <c r="J1681" t="n">
        <v>0</v>
      </c>
      <c r="K1681" t="n">
        <v>0</v>
      </c>
      <c r="L1681" t="n">
        <v>0</v>
      </c>
      <c r="M1681" t="n">
        <v>0</v>
      </c>
      <c r="N1681" t="n">
        <v>0</v>
      </c>
      <c r="O1681" t="n">
        <v>0</v>
      </c>
      <c r="P1681" t="n">
        <v>0</v>
      </c>
      <c r="Q1681" t="n">
        <v>0</v>
      </c>
      <c r="R1681" s="2" t="inlineStr"/>
    </row>
    <row r="1682" ht="15" customHeight="1">
      <c r="A1682" t="inlineStr">
        <is>
          <t>A 38081-2019</t>
        </is>
      </c>
      <c r="B1682" s="1" t="n">
        <v>43682</v>
      </c>
      <c r="C1682" s="1" t="n">
        <v>45212</v>
      </c>
      <c r="D1682" t="inlineStr">
        <is>
          <t>VÄSTERNORRLANDS LÄN</t>
        </is>
      </c>
      <c r="E1682" t="inlineStr">
        <is>
          <t>SOLLEFTEÅ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37954-2019</t>
        </is>
      </c>
      <c r="B1683" s="1" t="n">
        <v>43683</v>
      </c>
      <c r="C1683" s="1" t="n">
        <v>45212</v>
      </c>
      <c r="D1683" t="inlineStr">
        <is>
          <t>VÄSTERNORRLANDS LÄN</t>
        </is>
      </c>
      <c r="E1683" t="inlineStr">
        <is>
          <t>ÅNGE</t>
        </is>
      </c>
      <c r="F1683" t="inlineStr">
        <is>
          <t>Sveaskog</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37907-2019</t>
        </is>
      </c>
      <c r="B1684" s="1" t="n">
        <v>43683</v>
      </c>
      <c r="C1684" s="1" t="n">
        <v>45212</v>
      </c>
      <c r="D1684" t="inlineStr">
        <is>
          <t>VÄSTERNORRLANDS LÄN</t>
        </is>
      </c>
      <c r="E1684" t="inlineStr">
        <is>
          <t>SUNDSVALL</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37914-2019</t>
        </is>
      </c>
      <c r="B1685" s="1" t="n">
        <v>43683</v>
      </c>
      <c r="C1685" s="1" t="n">
        <v>45212</v>
      </c>
      <c r="D1685" t="inlineStr">
        <is>
          <t>VÄSTERNORRLANDS LÄN</t>
        </is>
      </c>
      <c r="E1685" t="inlineStr">
        <is>
          <t>KRAMFORS</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38290-2019</t>
        </is>
      </c>
      <c r="B1686" s="1" t="n">
        <v>43684</v>
      </c>
      <c r="C1686" s="1" t="n">
        <v>45212</v>
      </c>
      <c r="D1686" t="inlineStr">
        <is>
          <t>VÄSTERNORRLANDS LÄN</t>
        </is>
      </c>
      <c r="E1686" t="inlineStr">
        <is>
          <t>SUNDSVALL</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38310-2019</t>
        </is>
      </c>
      <c r="B1687" s="1" t="n">
        <v>43684</v>
      </c>
      <c r="C1687" s="1" t="n">
        <v>45212</v>
      </c>
      <c r="D1687" t="inlineStr">
        <is>
          <t>VÄSTERNORRLANDS LÄN</t>
        </is>
      </c>
      <c r="E1687" t="inlineStr">
        <is>
          <t>ÅNGE</t>
        </is>
      </c>
      <c r="F1687" t="inlineStr">
        <is>
          <t>SCA</t>
        </is>
      </c>
      <c r="G1687" t="n">
        <v>6.1</v>
      </c>
      <c r="H1687" t="n">
        <v>0</v>
      </c>
      <c r="I1687" t="n">
        <v>0</v>
      </c>
      <c r="J1687" t="n">
        <v>0</v>
      </c>
      <c r="K1687" t="n">
        <v>0</v>
      </c>
      <c r="L1687" t="n">
        <v>0</v>
      </c>
      <c r="M1687" t="n">
        <v>0</v>
      </c>
      <c r="N1687" t="n">
        <v>0</v>
      </c>
      <c r="O1687" t="n">
        <v>0</v>
      </c>
      <c r="P1687" t="n">
        <v>0</v>
      </c>
      <c r="Q1687" t="n">
        <v>0</v>
      </c>
      <c r="R1687" s="2" t="inlineStr"/>
    </row>
    <row r="1688" ht="15" customHeight="1">
      <c r="A1688" t="inlineStr">
        <is>
          <t>A 38175-2019</t>
        </is>
      </c>
      <c r="B1688" s="1" t="n">
        <v>43684</v>
      </c>
      <c r="C1688" s="1" t="n">
        <v>45212</v>
      </c>
      <c r="D1688" t="inlineStr">
        <is>
          <t>VÄSTERNORRLANDS LÄN</t>
        </is>
      </c>
      <c r="E1688" t="inlineStr">
        <is>
          <t>ÖRNSKÖLDSVIK</t>
        </is>
      </c>
      <c r="F1688" t="inlineStr">
        <is>
          <t>Holmen skog AB</t>
        </is>
      </c>
      <c r="G1688" t="n">
        <v>44.3</v>
      </c>
      <c r="H1688" t="n">
        <v>0</v>
      </c>
      <c r="I1688" t="n">
        <v>0</v>
      </c>
      <c r="J1688" t="n">
        <v>0</v>
      </c>
      <c r="K1688" t="n">
        <v>0</v>
      </c>
      <c r="L1688" t="n">
        <v>0</v>
      </c>
      <c r="M1688" t="n">
        <v>0</v>
      </c>
      <c r="N1688" t="n">
        <v>0</v>
      </c>
      <c r="O1688" t="n">
        <v>0</v>
      </c>
      <c r="P1688" t="n">
        <v>0</v>
      </c>
      <c r="Q1688" t="n">
        <v>0</v>
      </c>
      <c r="R1688" s="2" t="inlineStr"/>
    </row>
    <row r="1689" ht="15" customHeight="1">
      <c r="A1689" t="inlineStr">
        <is>
          <t>A 38215-2019</t>
        </is>
      </c>
      <c r="B1689" s="1" t="n">
        <v>43684</v>
      </c>
      <c r="C1689" s="1" t="n">
        <v>45212</v>
      </c>
      <c r="D1689" t="inlineStr">
        <is>
          <t>VÄSTERNORRLANDS LÄN</t>
        </is>
      </c>
      <c r="E1689" t="inlineStr">
        <is>
          <t>ÅNGE</t>
        </is>
      </c>
      <c r="G1689" t="n">
        <v>5.6</v>
      </c>
      <c r="H1689" t="n">
        <v>0</v>
      </c>
      <c r="I1689" t="n">
        <v>0</v>
      </c>
      <c r="J1689" t="n">
        <v>0</v>
      </c>
      <c r="K1689" t="n">
        <v>0</v>
      </c>
      <c r="L1689" t="n">
        <v>0</v>
      </c>
      <c r="M1689" t="n">
        <v>0</v>
      </c>
      <c r="N1689" t="n">
        <v>0</v>
      </c>
      <c r="O1689" t="n">
        <v>0</v>
      </c>
      <c r="P1689" t="n">
        <v>0</v>
      </c>
      <c r="Q1689" t="n">
        <v>0</v>
      </c>
      <c r="R1689" s="2" t="inlineStr"/>
    </row>
    <row r="1690" ht="15" customHeight="1">
      <c r="A1690" t="inlineStr">
        <is>
          <t>A 38544-2019</t>
        </is>
      </c>
      <c r="B1690" s="1" t="n">
        <v>43684</v>
      </c>
      <c r="C1690" s="1" t="n">
        <v>45212</v>
      </c>
      <c r="D1690" t="inlineStr">
        <is>
          <t>VÄSTERNORRLANDS LÄN</t>
        </is>
      </c>
      <c r="E1690" t="inlineStr">
        <is>
          <t>SOLLEFTEÅ</t>
        </is>
      </c>
      <c r="G1690" t="n">
        <v>6.6</v>
      </c>
      <c r="H1690" t="n">
        <v>0</v>
      </c>
      <c r="I1690" t="n">
        <v>0</v>
      </c>
      <c r="J1690" t="n">
        <v>0</v>
      </c>
      <c r="K1690" t="n">
        <v>0</v>
      </c>
      <c r="L1690" t="n">
        <v>0</v>
      </c>
      <c r="M1690" t="n">
        <v>0</v>
      </c>
      <c r="N1690" t="n">
        <v>0</v>
      </c>
      <c r="O1690" t="n">
        <v>0</v>
      </c>
      <c r="P1690" t="n">
        <v>0</v>
      </c>
      <c r="Q1690" t="n">
        <v>0</v>
      </c>
      <c r="R1690" s="2" t="inlineStr"/>
    </row>
    <row r="1691" ht="15" customHeight="1">
      <c r="A1691" t="inlineStr">
        <is>
          <t>A 38222-2019</t>
        </is>
      </c>
      <c r="B1691" s="1" t="n">
        <v>43684</v>
      </c>
      <c r="C1691" s="1" t="n">
        <v>45212</v>
      </c>
      <c r="D1691" t="inlineStr">
        <is>
          <t>VÄSTERNORRLANDS LÄN</t>
        </is>
      </c>
      <c r="E1691" t="inlineStr">
        <is>
          <t>ÅNGE</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38252-2019</t>
        </is>
      </c>
      <c r="B1692" s="1" t="n">
        <v>43684</v>
      </c>
      <c r="C1692" s="1" t="n">
        <v>45212</v>
      </c>
      <c r="D1692" t="inlineStr">
        <is>
          <t>VÄSTERNORRLANDS LÄN</t>
        </is>
      </c>
      <c r="E1692" t="inlineStr">
        <is>
          <t>SOLLEFTEÅ</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38398-2019</t>
        </is>
      </c>
      <c r="B1693" s="1" t="n">
        <v>43685</v>
      </c>
      <c r="C1693" s="1" t="n">
        <v>45212</v>
      </c>
      <c r="D1693" t="inlineStr">
        <is>
          <t>VÄSTERNORRLANDS LÄN</t>
        </is>
      </c>
      <c r="E1693" t="inlineStr">
        <is>
          <t>HÄRNÖSAND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38566-2019</t>
        </is>
      </c>
      <c r="B1694" s="1" t="n">
        <v>43685</v>
      </c>
      <c r="C1694" s="1" t="n">
        <v>45212</v>
      </c>
      <c r="D1694" t="inlineStr">
        <is>
          <t>VÄSTERNORRLANDS LÄN</t>
        </is>
      </c>
      <c r="E1694" t="inlineStr">
        <is>
          <t>SOLLEFTEÅ</t>
        </is>
      </c>
      <c r="F1694" t="inlineStr">
        <is>
          <t>SCA</t>
        </is>
      </c>
      <c r="G1694" t="n">
        <v>15.1</v>
      </c>
      <c r="H1694" t="n">
        <v>0</v>
      </c>
      <c r="I1694" t="n">
        <v>0</v>
      </c>
      <c r="J1694" t="n">
        <v>0</v>
      </c>
      <c r="K1694" t="n">
        <v>0</v>
      </c>
      <c r="L1694" t="n">
        <v>0</v>
      </c>
      <c r="M1694" t="n">
        <v>0</v>
      </c>
      <c r="N1694" t="n">
        <v>0</v>
      </c>
      <c r="O1694" t="n">
        <v>0</v>
      </c>
      <c r="P1694" t="n">
        <v>0</v>
      </c>
      <c r="Q1694" t="n">
        <v>0</v>
      </c>
      <c r="R1694" s="2" t="inlineStr"/>
    </row>
    <row r="1695" ht="15" customHeight="1">
      <c r="A1695" t="inlineStr">
        <is>
          <t>A 38396-2019</t>
        </is>
      </c>
      <c r="B1695" s="1" t="n">
        <v>43685</v>
      </c>
      <c r="C1695" s="1" t="n">
        <v>45212</v>
      </c>
      <c r="D1695" t="inlineStr">
        <is>
          <t>VÄSTERNORRLANDS LÄN</t>
        </is>
      </c>
      <c r="E1695" t="inlineStr">
        <is>
          <t>HÄRNÖSAND</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38573-2019</t>
        </is>
      </c>
      <c r="B1696" s="1" t="n">
        <v>43685</v>
      </c>
      <c r="C1696" s="1" t="n">
        <v>45212</v>
      </c>
      <c r="D1696" t="inlineStr">
        <is>
          <t>VÄSTERNORRLANDS LÄN</t>
        </is>
      </c>
      <c r="E1696" t="inlineStr">
        <is>
          <t>ÅNGE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38388-2019</t>
        </is>
      </c>
      <c r="B1697" s="1" t="n">
        <v>43685</v>
      </c>
      <c r="C1697" s="1" t="n">
        <v>45212</v>
      </c>
      <c r="D1697" t="inlineStr">
        <is>
          <t>VÄSTERNORRLANDS LÄN</t>
        </is>
      </c>
      <c r="E1697" t="inlineStr">
        <is>
          <t>HÄRNÖSAND</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38494-2019</t>
        </is>
      </c>
      <c r="B1698" s="1" t="n">
        <v>43685</v>
      </c>
      <c r="C1698" s="1" t="n">
        <v>45212</v>
      </c>
      <c r="D1698" t="inlineStr">
        <is>
          <t>VÄSTERNORRLANDS LÄN</t>
        </is>
      </c>
      <c r="E1698" t="inlineStr">
        <is>
          <t>HÄRNÖSAND</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38762-2019</t>
        </is>
      </c>
      <c r="B1699" s="1" t="n">
        <v>43686</v>
      </c>
      <c r="C1699" s="1" t="n">
        <v>45212</v>
      </c>
      <c r="D1699" t="inlineStr">
        <is>
          <t>VÄSTERNORRLANDS LÄN</t>
        </is>
      </c>
      <c r="E1699" t="inlineStr">
        <is>
          <t>SOLLEFTEÅ</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38763-2019</t>
        </is>
      </c>
      <c r="B1700" s="1" t="n">
        <v>43686</v>
      </c>
      <c r="C1700" s="1" t="n">
        <v>45212</v>
      </c>
      <c r="D1700" t="inlineStr">
        <is>
          <t>VÄSTERNORRLANDS LÄN</t>
        </is>
      </c>
      <c r="E1700" t="inlineStr">
        <is>
          <t>SOLLEFTEÅ</t>
        </is>
      </c>
      <c r="F1700" t="inlineStr">
        <is>
          <t>SCA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39046-2019</t>
        </is>
      </c>
      <c r="B1701" s="1" t="n">
        <v>43689</v>
      </c>
      <c r="C1701" s="1" t="n">
        <v>45212</v>
      </c>
      <c r="D1701" t="inlineStr">
        <is>
          <t>VÄSTERNORRLANDS LÄN</t>
        </is>
      </c>
      <c r="E1701" t="inlineStr">
        <is>
          <t>ÖRNSKÖLDSVIK</t>
        </is>
      </c>
      <c r="F1701" t="inlineStr">
        <is>
          <t>Holmen skog AB</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39123-2019</t>
        </is>
      </c>
      <c r="B1702" s="1" t="n">
        <v>43689</v>
      </c>
      <c r="C1702" s="1" t="n">
        <v>45212</v>
      </c>
      <c r="D1702" t="inlineStr">
        <is>
          <t>VÄSTERNORRLANDS LÄN</t>
        </is>
      </c>
      <c r="E1702" t="inlineStr">
        <is>
          <t>SOLLEFTEÅ</t>
        </is>
      </c>
      <c r="G1702" t="n">
        <v>10.9</v>
      </c>
      <c r="H1702" t="n">
        <v>0</v>
      </c>
      <c r="I1702" t="n">
        <v>0</v>
      </c>
      <c r="J1702" t="n">
        <v>0</v>
      </c>
      <c r="K1702" t="n">
        <v>0</v>
      </c>
      <c r="L1702" t="n">
        <v>0</v>
      </c>
      <c r="M1702" t="n">
        <v>0</v>
      </c>
      <c r="N1702" t="n">
        <v>0</v>
      </c>
      <c r="O1702" t="n">
        <v>0</v>
      </c>
      <c r="P1702" t="n">
        <v>0</v>
      </c>
      <c r="Q1702" t="n">
        <v>0</v>
      </c>
      <c r="R1702" s="2" t="inlineStr"/>
    </row>
    <row r="1703" ht="15" customHeight="1">
      <c r="A1703" t="inlineStr">
        <is>
          <t>A 39768-2019</t>
        </is>
      </c>
      <c r="B1703" s="1" t="n">
        <v>43689</v>
      </c>
      <c r="C1703" s="1" t="n">
        <v>45212</v>
      </c>
      <c r="D1703" t="inlineStr">
        <is>
          <t>VÄSTERNORRLANDS LÄN</t>
        </is>
      </c>
      <c r="E1703" t="inlineStr">
        <is>
          <t>SOLLEFTEÅ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39857-2019</t>
        </is>
      </c>
      <c r="B1704" s="1" t="n">
        <v>43689</v>
      </c>
      <c r="C1704" s="1" t="n">
        <v>45212</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38813-2019</t>
        </is>
      </c>
      <c r="B1705" s="1" t="n">
        <v>43689</v>
      </c>
      <c r="C1705" s="1" t="n">
        <v>45212</v>
      </c>
      <c r="D1705" t="inlineStr">
        <is>
          <t>VÄSTERNORRLANDS LÄN</t>
        </is>
      </c>
      <c r="E1705" t="inlineStr">
        <is>
          <t>ÖRNSKÖLDSVIK</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39048-2019</t>
        </is>
      </c>
      <c r="B1706" s="1" t="n">
        <v>43689</v>
      </c>
      <c r="C1706" s="1" t="n">
        <v>45212</v>
      </c>
      <c r="D1706" t="inlineStr">
        <is>
          <t>VÄSTERNORRLANDS LÄN</t>
        </is>
      </c>
      <c r="E1706" t="inlineStr">
        <is>
          <t>ÖRNSKÖLDSVIK</t>
        </is>
      </c>
      <c r="F1706" t="inlineStr">
        <is>
          <t>Holmen skog AB</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39858-2019</t>
        </is>
      </c>
      <c r="B1707" s="1" t="n">
        <v>43689</v>
      </c>
      <c r="C1707" s="1" t="n">
        <v>45212</v>
      </c>
      <c r="D1707" t="inlineStr">
        <is>
          <t>VÄSTERNORRLANDS LÄN</t>
        </is>
      </c>
      <c r="E1707" t="inlineStr">
        <is>
          <t>ÖRNSKÖLDSVIK</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40294-2019</t>
        </is>
      </c>
      <c r="B1708" s="1" t="n">
        <v>43690</v>
      </c>
      <c r="C1708" s="1" t="n">
        <v>45212</v>
      </c>
      <c r="D1708" t="inlineStr">
        <is>
          <t>VÄSTERNORRLANDS LÄN</t>
        </is>
      </c>
      <c r="E1708" t="inlineStr">
        <is>
          <t>ÖRNSKÖLDSVIK</t>
        </is>
      </c>
      <c r="G1708" t="n">
        <v>8</v>
      </c>
      <c r="H1708" t="n">
        <v>0</v>
      </c>
      <c r="I1708" t="n">
        <v>0</v>
      </c>
      <c r="J1708" t="n">
        <v>0</v>
      </c>
      <c r="K1708" t="n">
        <v>0</v>
      </c>
      <c r="L1708" t="n">
        <v>0</v>
      </c>
      <c r="M1708" t="n">
        <v>0</v>
      </c>
      <c r="N1708" t="n">
        <v>0</v>
      </c>
      <c r="O1708" t="n">
        <v>0</v>
      </c>
      <c r="P1708" t="n">
        <v>0</v>
      </c>
      <c r="Q1708" t="n">
        <v>0</v>
      </c>
      <c r="R1708" s="2" t="inlineStr"/>
    </row>
    <row r="1709" ht="15" customHeight="1">
      <c r="A1709" t="inlineStr">
        <is>
          <t>A 39395-2019</t>
        </is>
      </c>
      <c r="B1709" s="1" t="n">
        <v>43690</v>
      </c>
      <c r="C1709" s="1" t="n">
        <v>45212</v>
      </c>
      <c r="D1709" t="inlineStr">
        <is>
          <t>VÄSTERNORRLANDS LÄN</t>
        </is>
      </c>
      <c r="E1709" t="inlineStr">
        <is>
          <t>KRAMFORS</t>
        </is>
      </c>
      <c r="F1709" t="inlineStr">
        <is>
          <t>SCA</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39403-2019</t>
        </is>
      </c>
      <c r="B1710" s="1" t="n">
        <v>43690</v>
      </c>
      <c r="C1710" s="1" t="n">
        <v>45212</v>
      </c>
      <c r="D1710" t="inlineStr">
        <is>
          <t>VÄSTERNORRLANDS LÄN</t>
        </is>
      </c>
      <c r="E1710" t="inlineStr">
        <is>
          <t>ÅNGE</t>
        </is>
      </c>
      <c r="F1710" t="inlineStr">
        <is>
          <t>SCA</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40421-2019</t>
        </is>
      </c>
      <c r="B1711" s="1" t="n">
        <v>43690</v>
      </c>
      <c r="C1711" s="1" t="n">
        <v>45212</v>
      </c>
      <c r="D1711" t="inlineStr">
        <is>
          <t>VÄSTERNORRLANDS LÄN</t>
        </is>
      </c>
      <c r="E1711" t="inlineStr">
        <is>
          <t>ÖRNSKÖLDSVIK</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39439-2019</t>
        </is>
      </c>
      <c r="B1712" s="1" t="n">
        <v>43691</v>
      </c>
      <c r="C1712" s="1" t="n">
        <v>45212</v>
      </c>
      <c r="D1712" t="inlineStr">
        <is>
          <t>VÄSTERNORRLANDS LÄN</t>
        </is>
      </c>
      <c r="E1712" t="inlineStr">
        <is>
          <t>ÖRNSKÖLDSVIK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40764-2019</t>
        </is>
      </c>
      <c r="B1713" s="1" t="n">
        <v>43692</v>
      </c>
      <c r="C1713" s="1" t="n">
        <v>45212</v>
      </c>
      <c r="D1713" t="inlineStr">
        <is>
          <t>VÄSTERNORRLANDS LÄN</t>
        </is>
      </c>
      <c r="E1713" t="inlineStr">
        <is>
          <t>SOLLEFTEÅ</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40769-2019</t>
        </is>
      </c>
      <c r="B1714" s="1" t="n">
        <v>43692</v>
      </c>
      <c r="C1714" s="1" t="n">
        <v>45212</v>
      </c>
      <c r="D1714" t="inlineStr">
        <is>
          <t>VÄSTERNORRLANDS LÄN</t>
        </is>
      </c>
      <c r="E1714" t="inlineStr">
        <is>
          <t>SOLLEFTEÅ</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40213-2019</t>
        </is>
      </c>
      <c r="B1715" s="1" t="n">
        <v>43693</v>
      </c>
      <c r="C1715" s="1" t="n">
        <v>45212</v>
      </c>
      <c r="D1715" t="inlineStr">
        <is>
          <t>VÄSTERNORRLANDS LÄN</t>
        </is>
      </c>
      <c r="E1715" t="inlineStr">
        <is>
          <t>ÖRNSKÖLDSVIK</t>
        </is>
      </c>
      <c r="F1715" t="inlineStr">
        <is>
          <t>Holmen skog AB</t>
        </is>
      </c>
      <c r="G1715" t="n">
        <v>4.8</v>
      </c>
      <c r="H1715" t="n">
        <v>0</v>
      </c>
      <c r="I1715" t="n">
        <v>0</v>
      </c>
      <c r="J1715" t="n">
        <v>0</v>
      </c>
      <c r="K1715" t="n">
        <v>0</v>
      </c>
      <c r="L1715" t="n">
        <v>0</v>
      </c>
      <c r="M1715" t="n">
        <v>0</v>
      </c>
      <c r="N1715" t="n">
        <v>0</v>
      </c>
      <c r="O1715" t="n">
        <v>0</v>
      </c>
      <c r="P1715" t="n">
        <v>0</v>
      </c>
      <c r="Q1715" t="n">
        <v>0</v>
      </c>
      <c r="R1715" s="2" t="inlineStr"/>
    </row>
    <row r="1716" ht="15" customHeight="1">
      <c r="A1716" t="inlineStr">
        <is>
          <t>A 41069-2019</t>
        </is>
      </c>
      <c r="B1716" s="1" t="n">
        <v>43693</v>
      </c>
      <c r="C1716" s="1" t="n">
        <v>45212</v>
      </c>
      <c r="D1716" t="inlineStr">
        <is>
          <t>VÄSTERNORRLANDS LÄN</t>
        </is>
      </c>
      <c r="E1716" t="inlineStr">
        <is>
          <t>SOLLEFTEÅ</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41340-2019</t>
        </is>
      </c>
      <c r="B1717" s="1" t="n">
        <v>43695</v>
      </c>
      <c r="C1717" s="1" t="n">
        <v>45212</v>
      </c>
      <c r="D1717" t="inlineStr">
        <is>
          <t>VÄSTERNORRLANDS LÄN</t>
        </is>
      </c>
      <c r="E1717" t="inlineStr">
        <is>
          <t>ÖRNSKÖLDSVIK</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41346-2019</t>
        </is>
      </c>
      <c r="B1718" s="1" t="n">
        <v>43695</v>
      </c>
      <c r="C1718" s="1" t="n">
        <v>45212</v>
      </c>
      <c r="D1718" t="inlineStr">
        <is>
          <t>VÄSTERNORRLANDS LÄN</t>
        </is>
      </c>
      <c r="E1718" t="inlineStr">
        <is>
          <t>ÖRNSKÖLDSVIK</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41331-2019</t>
        </is>
      </c>
      <c r="B1719" s="1" t="n">
        <v>43695</v>
      </c>
      <c r="C1719" s="1" t="n">
        <v>45212</v>
      </c>
      <c r="D1719" t="inlineStr">
        <is>
          <t>VÄSTERNORRLANDS LÄN</t>
        </is>
      </c>
      <c r="E1719" t="inlineStr">
        <is>
          <t>ÖRNSKÖLDSVIK</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41296-2019</t>
        </is>
      </c>
      <c r="B1720" s="1" t="n">
        <v>43695</v>
      </c>
      <c r="C1720" s="1" t="n">
        <v>45212</v>
      </c>
      <c r="D1720" t="inlineStr">
        <is>
          <t>VÄSTERNORRLANDS LÄN</t>
        </is>
      </c>
      <c r="E1720" t="inlineStr">
        <is>
          <t>ÖRNSKÖLDSVIK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40417-2019</t>
        </is>
      </c>
      <c r="B1721" s="1" t="n">
        <v>43696</v>
      </c>
      <c r="C1721" s="1" t="n">
        <v>45212</v>
      </c>
      <c r="D1721" t="inlineStr">
        <is>
          <t>VÄSTERNORRLANDS LÄN</t>
        </is>
      </c>
      <c r="E1721" t="inlineStr">
        <is>
          <t>ÖRNSKÖLDSVIK</t>
        </is>
      </c>
      <c r="F1721" t="inlineStr">
        <is>
          <t>Holmen skog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40481-2019</t>
        </is>
      </c>
      <c r="B1722" s="1" t="n">
        <v>43696</v>
      </c>
      <c r="C1722" s="1" t="n">
        <v>45212</v>
      </c>
      <c r="D1722" t="inlineStr">
        <is>
          <t>VÄSTERNORRLANDS LÄN</t>
        </is>
      </c>
      <c r="E1722" t="inlineStr">
        <is>
          <t>KRAMFORS</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40516-2019</t>
        </is>
      </c>
      <c r="B1723" s="1" t="n">
        <v>43696</v>
      </c>
      <c r="C1723" s="1" t="n">
        <v>45212</v>
      </c>
      <c r="D1723" t="inlineStr">
        <is>
          <t>VÄSTERNORRLANDS LÄN</t>
        </is>
      </c>
      <c r="E1723" t="inlineStr">
        <is>
          <t>KRAMFORS</t>
        </is>
      </c>
      <c r="G1723" t="n">
        <v>16.7</v>
      </c>
      <c r="H1723" t="n">
        <v>0</v>
      </c>
      <c r="I1723" t="n">
        <v>0</v>
      </c>
      <c r="J1723" t="n">
        <v>0</v>
      </c>
      <c r="K1723" t="n">
        <v>0</v>
      </c>
      <c r="L1723" t="n">
        <v>0</v>
      </c>
      <c r="M1723" t="n">
        <v>0</v>
      </c>
      <c r="N1723" t="n">
        <v>0</v>
      </c>
      <c r="O1723" t="n">
        <v>0</v>
      </c>
      <c r="P1723" t="n">
        <v>0</v>
      </c>
      <c r="Q1723" t="n">
        <v>0</v>
      </c>
      <c r="R1723" s="2" t="inlineStr"/>
    </row>
    <row r="1724" ht="15" customHeight="1">
      <c r="A1724" t="inlineStr">
        <is>
          <t>A 40549-2019</t>
        </is>
      </c>
      <c r="B1724" s="1" t="n">
        <v>43696</v>
      </c>
      <c r="C1724" s="1" t="n">
        <v>45212</v>
      </c>
      <c r="D1724" t="inlineStr">
        <is>
          <t>VÄSTERNORRLANDS LÄN</t>
        </is>
      </c>
      <c r="E1724" t="inlineStr">
        <is>
          <t>SUNDSVALL</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40619-2019</t>
        </is>
      </c>
      <c r="B1725" s="1" t="n">
        <v>43696</v>
      </c>
      <c r="C1725" s="1" t="n">
        <v>45212</v>
      </c>
      <c r="D1725" t="inlineStr">
        <is>
          <t>VÄSTERNORRLANDS LÄN</t>
        </is>
      </c>
      <c r="E1725" t="inlineStr">
        <is>
          <t>ÖRNSKÖLDSVIK</t>
        </is>
      </c>
      <c r="F1725" t="inlineStr">
        <is>
          <t>Holmen skog AB</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40682-2019</t>
        </is>
      </c>
      <c r="B1726" s="1" t="n">
        <v>43696</v>
      </c>
      <c r="C1726" s="1" t="n">
        <v>45212</v>
      </c>
      <c r="D1726" t="inlineStr">
        <is>
          <t>VÄSTERNORRLANDS LÄN</t>
        </is>
      </c>
      <c r="E1726" t="inlineStr">
        <is>
          <t>SOLLEFTEÅ</t>
        </is>
      </c>
      <c r="F1726" t="inlineStr">
        <is>
          <t>SCA</t>
        </is>
      </c>
      <c r="G1726" t="n">
        <v>7.1</v>
      </c>
      <c r="H1726" t="n">
        <v>0</v>
      </c>
      <c r="I1726" t="n">
        <v>0</v>
      </c>
      <c r="J1726" t="n">
        <v>0</v>
      </c>
      <c r="K1726" t="n">
        <v>0</v>
      </c>
      <c r="L1726" t="n">
        <v>0</v>
      </c>
      <c r="M1726" t="n">
        <v>0</v>
      </c>
      <c r="N1726" t="n">
        <v>0</v>
      </c>
      <c r="O1726" t="n">
        <v>0</v>
      </c>
      <c r="P1726" t="n">
        <v>0</v>
      </c>
      <c r="Q1726" t="n">
        <v>0</v>
      </c>
      <c r="R1726" s="2" t="inlineStr"/>
    </row>
    <row r="1727" ht="15" customHeight="1">
      <c r="A1727" t="inlineStr">
        <is>
          <t>A 40487-2019</t>
        </is>
      </c>
      <c r="B1727" s="1" t="n">
        <v>43696</v>
      </c>
      <c r="C1727" s="1" t="n">
        <v>45212</v>
      </c>
      <c r="D1727" t="inlineStr">
        <is>
          <t>VÄSTERNORRLANDS LÄN</t>
        </is>
      </c>
      <c r="E1727" t="inlineStr">
        <is>
          <t>SUNDSVALL</t>
        </is>
      </c>
      <c r="G1727" t="n">
        <v>9.300000000000001</v>
      </c>
      <c r="H1727" t="n">
        <v>0</v>
      </c>
      <c r="I1727" t="n">
        <v>0</v>
      </c>
      <c r="J1727" t="n">
        <v>0</v>
      </c>
      <c r="K1727" t="n">
        <v>0</v>
      </c>
      <c r="L1727" t="n">
        <v>0</v>
      </c>
      <c r="M1727" t="n">
        <v>0</v>
      </c>
      <c r="N1727" t="n">
        <v>0</v>
      </c>
      <c r="O1727" t="n">
        <v>0</v>
      </c>
      <c r="P1727" t="n">
        <v>0</v>
      </c>
      <c r="Q1727" t="n">
        <v>0</v>
      </c>
      <c r="R1727" s="2" t="inlineStr"/>
    </row>
    <row r="1728" ht="15" customHeight="1">
      <c r="A1728" t="inlineStr">
        <is>
          <t>A 40685-2019</t>
        </is>
      </c>
      <c r="B1728" s="1" t="n">
        <v>43696</v>
      </c>
      <c r="C1728" s="1" t="n">
        <v>45212</v>
      </c>
      <c r="D1728" t="inlineStr">
        <is>
          <t>VÄSTERNORRLANDS LÄN</t>
        </is>
      </c>
      <c r="E1728" t="inlineStr">
        <is>
          <t>SOLLEFTEÅ</t>
        </is>
      </c>
      <c r="F1728" t="inlineStr">
        <is>
          <t>SCA</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41510-2019</t>
        </is>
      </c>
      <c r="B1729" s="1" t="n">
        <v>43696</v>
      </c>
      <c r="C1729" s="1" t="n">
        <v>45212</v>
      </c>
      <c r="D1729" t="inlineStr">
        <is>
          <t>VÄSTERNORRLANDS LÄN</t>
        </is>
      </c>
      <c r="E1729" t="inlineStr">
        <is>
          <t>ÅNGE</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40480-2019</t>
        </is>
      </c>
      <c r="B1730" s="1" t="n">
        <v>43696</v>
      </c>
      <c r="C1730" s="1" t="n">
        <v>45212</v>
      </c>
      <c r="D1730" t="inlineStr">
        <is>
          <t>VÄSTERNORRLANDS LÄN</t>
        </is>
      </c>
      <c r="E1730" t="inlineStr">
        <is>
          <t>KRAMFORS</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40514-2019</t>
        </is>
      </c>
      <c r="B1731" s="1" t="n">
        <v>43696</v>
      </c>
      <c r="C1731" s="1" t="n">
        <v>45212</v>
      </c>
      <c r="D1731" t="inlineStr">
        <is>
          <t>VÄSTERNORRLANDS LÄN</t>
        </is>
      </c>
      <c r="E1731" t="inlineStr">
        <is>
          <t>SOLLEFTEÅ</t>
        </is>
      </c>
      <c r="F1731" t="inlineStr">
        <is>
          <t>SCA</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40526-2019</t>
        </is>
      </c>
      <c r="B1732" s="1" t="n">
        <v>43696</v>
      </c>
      <c r="C1732" s="1" t="n">
        <v>45212</v>
      </c>
      <c r="D1732" t="inlineStr">
        <is>
          <t>VÄSTERNORRLANDS LÄN</t>
        </is>
      </c>
      <c r="E1732" t="inlineStr">
        <is>
          <t>SUNDSVALL</t>
        </is>
      </c>
      <c r="F1732" t="inlineStr">
        <is>
          <t>SCA</t>
        </is>
      </c>
      <c r="G1732" t="n">
        <v>13.1</v>
      </c>
      <c r="H1732" t="n">
        <v>0</v>
      </c>
      <c r="I1732" t="n">
        <v>0</v>
      </c>
      <c r="J1732" t="n">
        <v>0</v>
      </c>
      <c r="K1732" t="n">
        <v>0</v>
      </c>
      <c r="L1732" t="n">
        <v>0</v>
      </c>
      <c r="M1732" t="n">
        <v>0</v>
      </c>
      <c r="N1732" t="n">
        <v>0</v>
      </c>
      <c r="O1732" t="n">
        <v>0</v>
      </c>
      <c r="P1732" t="n">
        <v>0</v>
      </c>
      <c r="Q1732" t="n">
        <v>0</v>
      </c>
      <c r="R1732" s="2" t="inlineStr"/>
    </row>
    <row r="1733" ht="15" customHeight="1">
      <c r="A1733" t="inlineStr">
        <is>
          <t>A 40544-2019</t>
        </is>
      </c>
      <c r="B1733" s="1" t="n">
        <v>43696</v>
      </c>
      <c r="C1733" s="1" t="n">
        <v>45212</v>
      </c>
      <c r="D1733" t="inlineStr">
        <is>
          <t>VÄSTERNORRLANDS LÄN</t>
        </is>
      </c>
      <c r="E1733" t="inlineStr">
        <is>
          <t>ÖRNSKÖLDSVIK</t>
        </is>
      </c>
      <c r="F1733" t="inlineStr">
        <is>
          <t>SCA</t>
        </is>
      </c>
      <c r="G1733" t="n">
        <v>4.1</v>
      </c>
      <c r="H1733" t="n">
        <v>0</v>
      </c>
      <c r="I1733" t="n">
        <v>0</v>
      </c>
      <c r="J1733" t="n">
        <v>0</v>
      </c>
      <c r="K1733" t="n">
        <v>0</v>
      </c>
      <c r="L1733" t="n">
        <v>0</v>
      </c>
      <c r="M1733" t="n">
        <v>0</v>
      </c>
      <c r="N1733" t="n">
        <v>0</v>
      </c>
      <c r="O1733" t="n">
        <v>0</v>
      </c>
      <c r="P1733" t="n">
        <v>0</v>
      </c>
      <c r="Q1733" t="n">
        <v>0</v>
      </c>
      <c r="R1733" s="2" t="inlineStr"/>
    </row>
    <row r="1734" ht="15" customHeight="1">
      <c r="A1734" t="inlineStr">
        <is>
          <t>A 40679-2019</t>
        </is>
      </c>
      <c r="B1734" s="1" t="n">
        <v>43696</v>
      </c>
      <c r="C1734" s="1" t="n">
        <v>45212</v>
      </c>
      <c r="D1734" t="inlineStr">
        <is>
          <t>VÄSTERNORRLANDS LÄN</t>
        </is>
      </c>
      <c r="E1734" t="inlineStr">
        <is>
          <t>SOLLEFTEÅ</t>
        </is>
      </c>
      <c r="F1734" t="inlineStr">
        <is>
          <t>SCA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40512-2019</t>
        </is>
      </c>
      <c r="B1735" s="1" t="n">
        <v>43696</v>
      </c>
      <c r="C1735" s="1" t="n">
        <v>45212</v>
      </c>
      <c r="D1735" t="inlineStr">
        <is>
          <t>VÄSTERNORRLANDS LÄN</t>
        </is>
      </c>
      <c r="E1735" t="inlineStr">
        <is>
          <t>SOLLEFTEÅ</t>
        </is>
      </c>
      <c r="F1735" t="inlineStr">
        <is>
          <t>SCA</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41480-2019</t>
        </is>
      </c>
      <c r="B1736" s="1" t="n">
        <v>43696</v>
      </c>
      <c r="C1736" s="1" t="n">
        <v>45212</v>
      </c>
      <c r="D1736" t="inlineStr">
        <is>
          <t>VÄSTERNORRLANDS LÄN</t>
        </is>
      </c>
      <c r="E1736" t="inlineStr">
        <is>
          <t>ÖRNSKÖLDSVIK</t>
        </is>
      </c>
      <c r="F1736" t="inlineStr">
        <is>
          <t>Kyrkan</t>
        </is>
      </c>
      <c r="G1736" t="n">
        <v>14.1</v>
      </c>
      <c r="H1736" t="n">
        <v>0</v>
      </c>
      <c r="I1736" t="n">
        <v>0</v>
      </c>
      <c r="J1736" t="n">
        <v>0</v>
      </c>
      <c r="K1736" t="n">
        <v>0</v>
      </c>
      <c r="L1736" t="n">
        <v>0</v>
      </c>
      <c r="M1736" t="n">
        <v>0</v>
      </c>
      <c r="N1736" t="n">
        <v>0</v>
      </c>
      <c r="O1736" t="n">
        <v>0</v>
      </c>
      <c r="P1736" t="n">
        <v>0</v>
      </c>
      <c r="Q1736" t="n">
        <v>0</v>
      </c>
      <c r="R1736" s="2" t="inlineStr"/>
    </row>
    <row r="1737" ht="15" customHeight="1">
      <c r="A1737" t="inlineStr">
        <is>
          <t>A 41828-2019</t>
        </is>
      </c>
      <c r="B1737" s="1" t="n">
        <v>43697</v>
      </c>
      <c r="C1737" s="1" t="n">
        <v>45212</v>
      </c>
      <c r="D1737" t="inlineStr">
        <is>
          <t>VÄSTERNORRLANDS LÄN</t>
        </is>
      </c>
      <c r="E1737" t="inlineStr">
        <is>
          <t>ÖRNSKÖLDSVIK</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41888-2019</t>
        </is>
      </c>
      <c r="B1738" s="1" t="n">
        <v>43697</v>
      </c>
      <c r="C1738" s="1" t="n">
        <v>45212</v>
      </c>
      <c r="D1738" t="inlineStr">
        <is>
          <t>VÄSTERNORRLANDS LÄN</t>
        </is>
      </c>
      <c r="E1738" t="inlineStr">
        <is>
          <t>HÄRNÖSAND</t>
        </is>
      </c>
      <c r="F1738" t="inlineStr">
        <is>
          <t>SCA</t>
        </is>
      </c>
      <c r="G1738" t="n">
        <v>13.8</v>
      </c>
      <c r="H1738" t="n">
        <v>0</v>
      </c>
      <c r="I1738" t="n">
        <v>0</v>
      </c>
      <c r="J1738" t="n">
        <v>0</v>
      </c>
      <c r="K1738" t="n">
        <v>0</v>
      </c>
      <c r="L1738" t="n">
        <v>0</v>
      </c>
      <c r="M1738" t="n">
        <v>0</v>
      </c>
      <c r="N1738" t="n">
        <v>0</v>
      </c>
      <c r="O1738" t="n">
        <v>0</v>
      </c>
      <c r="P1738" t="n">
        <v>0</v>
      </c>
      <c r="Q1738" t="n">
        <v>0</v>
      </c>
      <c r="R1738" s="2" t="inlineStr"/>
    </row>
    <row r="1739" ht="15" customHeight="1">
      <c r="A1739" t="inlineStr">
        <is>
          <t>A 41018-2019</t>
        </is>
      </c>
      <c r="B1739" s="1" t="n">
        <v>43697</v>
      </c>
      <c r="C1739" s="1" t="n">
        <v>45212</v>
      </c>
      <c r="D1739" t="inlineStr">
        <is>
          <t>VÄSTERNORRLANDS LÄN</t>
        </is>
      </c>
      <c r="E1739" t="inlineStr">
        <is>
          <t>ÅNGE</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41862-2019</t>
        </is>
      </c>
      <c r="B1740" s="1" t="n">
        <v>43697</v>
      </c>
      <c r="C1740" s="1" t="n">
        <v>45212</v>
      </c>
      <c r="D1740" t="inlineStr">
        <is>
          <t>VÄSTERNORRLANDS LÄN</t>
        </is>
      </c>
      <c r="E1740" t="inlineStr">
        <is>
          <t>ÖRNSKÖLDSVIK</t>
        </is>
      </c>
      <c r="G1740" t="n">
        <v>8.6</v>
      </c>
      <c r="H1740" t="n">
        <v>0</v>
      </c>
      <c r="I1740" t="n">
        <v>0</v>
      </c>
      <c r="J1740" t="n">
        <v>0</v>
      </c>
      <c r="K1740" t="n">
        <v>0</v>
      </c>
      <c r="L1740" t="n">
        <v>0</v>
      </c>
      <c r="M1740" t="n">
        <v>0</v>
      </c>
      <c r="N1740" t="n">
        <v>0</v>
      </c>
      <c r="O1740" t="n">
        <v>0</v>
      </c>
      <c r="P1740" t="n">
        <v>0</v>
      </c>
      <c r="Q1740" t="n">
        <v>0</v>
      </c>
      <c r="R1740" s="2" t="inlineStr"/>
    </row>
    <row r="1741" ht="15" customHeight="1">
      <c r="A1741" t="inlineStr">
        <is>
          <t>A 41900-2019</t>
        </is>
      </c>
      <c r="B1741" s="1" t="n">
        <v>43697</v>
      </c>
      <c r="C1741" s="1" t="n">
        <v>45212</v>
      </c>
      <c r="D1741" t="inlineStr">
        <is>
          <t>VÄSTERNORRLANDS LÄN</t>
        </is>
      </c>
      <c r="E1741" t="inlineStr">
        <is>
          <t>HÄRNÖSAND</t>
        </is>
      </c>
      <c r="F1741" t="inlineStr">
        <is>
          <t>SCA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40956-2019</t>
        </is>
      </c>
      <c r="B1742" s="1" t="n">
        <v>43697</v>
      </c>
      <c r="C1742" s="1" t="n">
        <v>45212</v>
      </c>
      <c r="D1742" t="inlineStr">
        <is>
          <t>VÄSTERNORRLANDS LÄN</t>
        </is>
      </c>
      <c r="E1742" t="inlineStr">
        <is>
          <t>TIMRÅ</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41861-2019</t>
        </is>
      </c>
      <c r="B1743" s="1" t="n">
        <v>43697</v>
      </c>
      <c r="C1743" s="1" t="n">
        <v>45212</v>
      </c>
      <c r="D1743" t="inlineStr">
        <is>
          <t>VÄSTERNORRLANDS LÄN</t>
        </is>
      </c>
      <c r="E1743" t="inlineStr">
        <is>
          <t>ÖRNSKÖLDSVIK</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41895-2019</t>
        </is>
      </c>
      <c r="B1744" s="1" t="n">
        <v>43697</v>
      </c>
      <c r="C1744" s="1" t="n">
        <v>45212</v>
      </c>
      <c r="D1744" t="inlineStr">
        <is>
          <t>VÄSTERNORRLANDS LÄN</t>
        </is>
      </c>
      <c r="E1744" t="inlineStr">
        <is>
          <t>SUNDSVALL</t>
        </is>
      </c>
      <c r="F1744" t="inlineStr">
        <is>
          <t>Kyrkan</t>
        </is>
      </c>
      <c r="G1744" t="n">
        <v>6.8</v>
      </c>
      <c r="H1744" t="n">
        <v>0</v>
      </c>
      <c r="I1744" t="n">
        <v>0</v>
      </c>
      <c r="J1744" t="n">
        <v>0</v>
      </c>
      <c r="K1744" t="n">
        <v>0</v>
      </c>
      <c r="L1744" t="n">
        <v>0</v>
      </c>
      <c r="M1744" t="n">
        <v>0</v>
      </c>
      <c r="N1744" t="n">
        <v>0</v>
      </c>
      <c r="O1744" t="n">
        <v>0</v>
      </c>
      <c r="P1744" t="n">
        <v>0</v>
      </c>
      <c r="Q1744" t="n">
        <v>0</v>
      </c>
      <c r="R1744" s="2" t="inlineStr"/>
    </row>
    <row r="1745" ht="15" customHeight="1">
      <c r="A1745" t="inlineStr">
        <is>
          <t>A 41136-2019</t>
        </is>
      </c>
      <c r="B1745" s="1" t="n">
        <v>43698</v>
      </c>
      <c r="C1745" s="1" t="n">
        <v>45212</v>
      </c>
      <c r="D1745" t="inlineStr">
        <is>
          <t>VÄSTERNORRLANDS LÄN</t>
        </is>
      </c>
      <c r="E1745" t="inlineStr">
        <is>
          <t>ÖRNSKÖLDSVIK</t>
        </is>
      </c>
      <c r="F1745" t="inlineStr">
        <is>
          <t>Holmen skog AB</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41075-2019</t>
        </is>
      </c>
      <c r="B1746" s="1" t="n">
        <v>43698</v>
      </c>
      <c r="C1746" s="1" t="n">
        <v>45212</v>
      </c>
      <c r="D1746" t="inlineStr">
        <is>
          <t>VÄSTERNORRLANDS LÄN</t>
        </is>
      </c>
      <c r="E1746" t="inlineStr">
        <is>
          <t>ÖRNSKÖLDSVIK</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41172-2019</t>
        </is>
      </c>
      <c r="B1747" s="1" t="n">
        <v>43698</v>
      </c>
      <c r="C1747" s="1" t="n">
        <v>45212</v>
      </c>
      <c r="D1747" t="inlineStr">
        <is>
          <t>VÄSTERNORRLANDS LÄN</t>
        </is>
      </c>
      <c r="E1747" t="inlineStr">
        <is>
          <t>ÖRNSKÖLDSVIK</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41841-2019</t>
        </is>
      </c>
      <c r="B1748" s="1" t="n">
        <v>43699</v>
      </c>
      <c r="C1748" s="1" t="n">
        <v>45212</v>
      </c>
      <c r="D1748" t="inlineStr">
        <is>
          <t>VÄSTERNORRLANDS LÄN</t>
        </is>
      </c>
      <c r="E1748" t="inlineStr">
        <is>
          <t>HÄRNÖSAND</t>
        </is>
      </c>
      <c r="F1748" t="inlineStr">
        <is>
          <t>Kyrkan</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42217-2019</t>
        </is>
      </c>
      <c r="B1749" s="1" t="n">
        <v>43699</v>
      </c>
      <c r="C1749" s="1" t="n">
        <v>45212</v>
      </c>
      <c r="D1749" t="inlineStr">
        <is>
          <t>VÄSTERNORRLANDS LÄN</t>
        </is>
      </c>
      <c r="E1749" t="inlineStr">
        <is>
          <t>SUNDSVALL</t>
        </is>
      </c>
      <c r="G1749" t="n">
        <v>10.7</v>
      </c>
      <c r="H1749" t="n">
        <v>0</v>
      </c>
      <c r="I1749" t="n">
        <v>0</v>
      </c>
      <c r="J1749" t="n">
        <v>0</v>
      </c>
      <c r="K1749" t="n">
        <v>0</v>
      </c>
      <c r="L1749" t="n">
        <v>0</v>
      </c>
      <c r="M1749" t="n">
        <v>0</v>
      </c>
      <c r="N1749" t="n">
        <v>0</v>
      </c>
      <c r="O1749" t="n">
        <v>0</v>
      </c>
      <c r="P1749" t="n">
        <v>0</v>
      </c>
      <c r="Q1749" t="n">
        <v>0</v>
      </c>
      <c r="R1749" s="2" t="inlineStr"/>
    </row>
    <row r="1750" ht="15" customHeight="1">
      <c r="A1750" t="inlineStr">
        <is>
          <t>A 41786-2019</t>
        </is>
      </c>
      <c r="B1750" s="1" t="n">
        <v>43699</v>
      </c>
      <c r="C1750" s="1" t="n">
        <v>45212</v>
      </c>
      <c r="D1750" t="inlineStr">
        <is>
          <t>VÄSTERNORRLANDS LÄN</t>
        </is>
      </c>
      <c r="E1750" t="inlineStr">
        <is>
          <t>SOLLEFTEÅ</t>
        </is>
      </c>
      <c r="F1750" t="inlineStr">
        <is>
          <t>SCA</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42453-2019</t>
        </is>
      </c>
      <c r="B1751" s="1" t="n">
        <v>43699</v>
      </c>
      <c r="C1751" s="1" t="n">
        <v>45212</v>
      </c>
      <c r="D1751" t="inlineStr">
        <is>
          <t>VÄSTERNORRLANDS LÄN</t>
        </is>
      </c>
      <c r="E1751" t="inlineStr">
        <is>
          <t>ÖRNSKÖLDSVIK</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42507-2019</t>
        </is>
      </c>
      <c r="B1752" s="1" t="n">
        <v>43699</v>
      </c>
      <c r="C1752" s="1" t="n">
        <v>45212</v>
      </c>
      <c r="D1752" t="inlineStr">
        <is>
          <t>VÄSTERNORRLANDS LÄN</t>
        </is>
      </c>
      <c r="E1752" t="inlineStr">
        <is>
          <t>ÖRNSKÖLDSVIK</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42066-2019</t>
        </is>
      </c>
      <c r="B1753" s="1" t="n">
        <v>43700</v>
      </c>
      <c r="C1753" s="1" t="n">
        <v>45212</v>
      </c>
      <c r="D1753" t="inlineStr">
        <is>
          <t>VÄSTERNORRLANDS LÄN</t>
        </is>
      </c>
      <c r="E1753" t="inlineStr">
        <is>
          <t>ÅNGE</t>
        </is>
      </c>
      <c r="F1753" t="inlineStr">
        <is>
          <t>SCA</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41901-2019</t>
        </is>
      </c>
      <c r="B1754" s="1" t="n">
        <v>43700</v>
      </c>
      <c r="C1754" s="1" t="n">
        <v>45212</v>
      </c>
      <c r="D1754" t="inlineStr">
        <is>
          <t>VÄSTERNORRLANDS LÄN</t>
        </is>
      </c>
      <c r="E1754" t="inlineStr">
        <is>
          <t>ÖRNSKÖLDSVIK</t>
        </is>
      </c>
      <c r="F1754" t="inlineStr">
        <is>
          <t>Holmen skog AB</t>
        </is>
      </c>
      <c r="G1754" t="n">
        <v>13.5</v>
      </c>
      <c r="H1754" t="n">
        <v>0</v>
      </c>
      <c r="I1754" t="n">
        <v>0</v>
      </c>
      <c r="J1754" t="n">
        <v>0</v>
      </c>
      <c r="K1754" t="n">
        <v>0</v>
      </c>
      <c r="L1754" t="n">
        <v>0</v>
      </c>
      <c r="M1754" t="n">
        <v>0</v>
      </c>
      <c r="N1754" t="n">
        <v>0</v>
      </c>
      <c r="O1754" t="n">
        <v>0</v>
      </c>
      <c r="P1754" t="n">
        <v>0</v>
      </c>
      <c r="Q1754" t="n">
        <v>0</v>
      </c>
      <c r="R1754" s="2" t="inlineStr"/>
    </row>
    <row r="1755" ht="15" customHeight="1">
      <c r="A1755" t="inlineStr">
        <is>
          <t>A 42375-2019</t>
        </is>
      </c>
      <c r="B1755" s="1" t="n">
        <v>43703</v>
      </c>
      <c r="C1755" s="1" t="n">
        <v>45212</v>
      </c>
      <c r="D1755" t="inlineStr">
        <is>
          <t>VÄSTERNORRLANDS LÄN</t>
        </is>
      </c>
      <c r="E1755" t="inlineStr">
        <is>
          <t>SUNDSVALL</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42372-2019</t>
        </is>
      </c>
      <c r="B1756" s="1" t="n">
        <v>43703</v>
      </c>
      <c r="C1756" s="1" t="n">
        <v>45212</v>
      </c>
      <c r="D1756" t="inlineStr">
        <is>
          <t>VÄSTERNORRLANDS LÄN</t>
        </is>
      </c>
      <c r="E1756" t="inlineStr">
        <is>
          <t>SUNDSVALL</t>
        </is>
      </c>
      <c r="G1756" t="n">
        <v>3.4</v>
      </c>
      <c r="H1756" t="n">
        <v>0</v>
      </c>
      <c r="I1756" t="n">
        <v>0</v>
      </c>
      <c r="J1756" t="n">
        <v>0</v>
      </c>
      <c r="K1756" t="n">
        <v>0</v>
      </c>
      <c r="L1756" t="n">
        <v>0</v>
      </c>
      <c r="M1756" t="n">
        <v>0</v>
      </c>
      <c r="N1756" t="n">
        <v>0</v>
      </c>
      <c r="O1756" t="n">
        <v>0</v>
      </c>
      <c r="P1756" t="n">
        <v>0</v>
      </c>
      <c r="Q1756" t="n">
        <v>0</v>
      </c>
      <c r="R1756" s="2" t="inlineStr"/>
    </row>
    <row r="1757" ht="15" customHeight="1">
      <c r="A1757" t="inlineStr">
        <is>
          <t>A 42417-2019</t>
        </is>
      </c>
      <c r="B1757" s="1" t="n">
        <v>43703</v>
      </c>
      <c r="C1757" s="1" t="n">
        <v>45212</v>
      </c>
      <c r="D1757" t="inlineStr">
        <is>
          <t>VÄSTERNORRLANDS LÄN</t>
        </is>
      </c>
      <c r="E1757" t="inlineStr">
        <is>
          <t>SOLLEFTEÅ</t>
        </is>
      </c>
      <c r="F1757" t="inlineStr">
        <is>
          <t>SCA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42305-2019</t>
        </is>
      </c>
      <c r="B1758" s="1" t="n">
        <v>43703</v>
      </c>
      <c r="C1758" s="1" t="n">
        <v>45212</v>
      </c>
      <c r="D1758" t="inlineStr">
        <is>
          <t>VÄSTERNORRLANDS LÄN</t>
        </is>
      </c>
      <c r="E1758" t="inlineStr">
        <is>
          <t>SUNDSVALL</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42361-2019</t>
        </is>
      </c>
      <c r="B1759" s="1" t="n">
        <v>43703</v>
      </c>
      <c r="C1759" s="1" t="n">
        <v>45212</v>
      </c>
      <c r="D1759" t="inlineStr">
        <is>
          <t>VÄSTERNORRLANDS LÄN</t>
        </is>
      </c>
      <c r="E1759" t="inlineStr">
        <is>
          <t>SUNDSVALL</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42792-2019</t>
        </is>
      </c>
      <c r="B1760" s="1" t="n">
        <v>43704</v>
      </c>
      <c r="C1760" s="1" t="n">
        <v>45212</v>
      </c>
      <c r="D1760" t="inlineStr">
        <is>
          <t>VÄSTERNORRLANDS LÄN</t>
        </is>
      </c>
      <c r="E1760" t="inlineStr">
        <is>
          <t>SOLLEFTEÅ</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42791-2019</t>
        </is>
      </c>
      <c r="B1761" s="1" t="n">
        <v>43704</v>
      </c>
      <c r="C1761" s="1" t="n">
        <v>45212</v>
      </c>
      <c r="D1761" t="inlineStr">
        <is>
          <t>VÄSTERNORRLANDS LÄN</t>
        </is>
      </c>
      <c r="E1761" t="inlineStr">
        <is>
          <t>SOLLEFTEÅ</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43193-2019</t>
        </is>
      </c>
      <c r="B1762" s="1" t="n">
        <v>43705</v>
      </c>
      <c r="C1762" s="1" t="n">
        <v>45212</v>
      </c>
      <c r="D1762" t="inlineStr">
        <is>
          <t>VÄSTERNORRLANDS LÄN</t>
        </is>
      </c>
      <c r="E1762" t="inlineStr">
        <is>
          <t>SUNDSVALL</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43201-2019</t>
        </is>
      </c>
      <c r="B1763" s="1" t="n">
        <v>43705</v>
      </c>
      <c r="C1763" s="1" t="n">
        <v>45212</v>
      </c>
      <c r="D1763" t="inlineStr">
        <is>
          <t>VÄSTERNORRLANDS LÄN</t>
        </is>
      </c>
      <c r="E1763" t="inlineStr">
        <is>
          <t>KRAMFORS</t>
        </is>
      </c>
      <c r="F1763" t="inlineStr">
        <is>
          <t>SCA</t>
        </is>
      </c>
      <c r="G1763" t="n">
        <v>16.6</v>
      </c>
      <c r="H1763" t="n">
        <v>0</v>
      </c>
      <c r="I1763" t="n">
        <v>0</v>
      </c>
      <c r="J1763" t="n">
        <v>0</v>
      </c>
      <c r="K1763" t="n">
        <v>0</v>
      </c>
      <c r="L1763" t="n">
        <v>0</v>
      </c>
      <c r="M1763" t="n">
        <v>0</v>
      </c>
      <c r="N1763" t="n">
        <v>0</v>
      </c>
      <c r="O1763" t="n">
        <v>0</v>
      </c>
      <c r="P1763" t="n">
        <v>0</v>
      </c>
      <c r="Q1763" t="n">
        <v>0</v>
      </c>
      <c r="R1763" s="2" t="inlineStr"/>
    </row>
    <row r="1764" ht="15" customHeight="1">
      <c r="A1764" t="inlineStr">
        <is>
          <t>A 43241-2019</t>
        </is>
      </c>
      <c r="B1764" s="1" t="n">
        <v>43706</v>
      </c>
      <c r="C1764" s="1" t="n">
        <v>45212</v>
      </c>
      <c r="D1764" t="inlineStr">
        <is>
          <t>VÄSTERNORRLANDS LÄN</t>
        </is>
      </c>
      <c r="E1764" t="inlineStr">
        <is>
          <t>ÅNGE</t>
        </is>
      </c>
      <c r="G1764" t="n">
        <v>8.1</v>
      </c>
      <c r="H1764" t="n">
        <v>0</v>
      </c>
      <c r="I1764" t="n">
        <v>0</v>
      </c>
      <c r="J1764" t="n">
        <v>0</v>
      </c>
      <c r="K1764" t="n">
        <v>0</v>
      </c>
      <c r="L1764" t="n">
        <v>0</v>
      </c>
      <c r="M1764" t="n">
        <v>0</v>
      </c>
      <c r="N1764" t="n">
        <v>0</v>
      </c>
      <c r="O1764" t="n">
        <v>0</v>
      </c>
      <c r="P1764" t="n">
        <v>0</v>
      </c>
      <c r="Q1764" t="n">
        <v>0</v>
      </c>
      <c r="R1764" s="2" t="inlineStr"/>
    </row>
    <row r="1765" ht="15" customHeight="1">
      <c r="A1765" t="inlineStr">
        <is>
          <t>A 43250-2019</t>
        </is>
      </c>
      <c r="B1765" s="1" t="n">
        <v>43706</v>
      </c>
      <c r="C1765" s="1" t="n">
        <v>45212</v>
      </c>
      <c r="D1765" t="inlineStr">
        <is>
          <t>VÄSTERNORRLANDS LÄN</t>
        </is>
      </c>
      <c r="E1765" t="inlineStr">
        <is>
          <t>ÅNGE</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43499-2019</t>
        </is>
      </c>
      <c r="B1766" s="1" t="n">
        <v>43706</v>
      </c>
      <c r="C1766" s="1" t="n">
        <v>45212</v>
      </c>
      <c r="D1766" t="inlineStr">
        <is>
          <t>VÄSTERNORRLANDS LÄN</t>
        </is>
      </c>
      <c r="E1766" t="inlineStr">
        <is>
          <t>SOLLEFTEÅ</t>
        </is>
      </c>
      <c r="G1766" t="n">
        <v>19.3</v>
      </c>
      <c r="H1766" t="n">
        <v>0</v>
      </c>
      <c r="I1766" t="n">
        <v>0</v>
      </c>
      <c r="J1766" t="n">
        <v>0</v>
      </c>
      <c r="K1766" t="n">
        <v>0</v>
      </c>
      <c r="L1766" t="n">
        <v>0</v>
      </c>
      <c r="M1766" t="n">
        <v>0</v>
      </c>
      <c r="N1766" t="n">
        <v>0</v>
      </c>
      <c r="O1766" t="n">
        <v>0</v>
      </c>
      <c r="P1766" t="n">
        <v>0</v>
      </c>
      <c r="Q1766" t="n">
        <v>0</v>
      </c>
      <c r="R1766" s="2" t="inlineStr"/>
    </row>
    <row r="1767" ht="15" customHeight="1">
      <c r="A1767" t="inlineStr">
        <is>
          <t>A 43517-2019</t>
        </is>
      </c>
      <c r="B1767" s="1" t="n">
        <v>43706</v>
      </c>
      <c r="C1767" s="1" t="n">
        <v>45212</v>
      </c>
      <c r="D1767" t="inlineStr">
        <is>
          <t>VÄSTERNORRLANDS LÄN</t>
        </is>
      </c>
      <c r="E1767" t="inlineStr">
        <is>
          <t>ÅNGE</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43236-2019</t>
        </is>
      </c>
      <c r="B1768" s="1" t="n">
        <v>43706</v>
      </c>
      <c r="C1768" s="1" t="n">
        <v>45212</v>
      </c>
      <c r="D1768" t="inlineStr">
        <is>
          <t>VÄSTERNORRLANDS LÄN</t>
        </is>
      </c>
      <c r="E1768" t="inlineStr">
        <is>
          <t>ÅNGE</t>
        </is>
      </c>
      <c r="G1768" t="n">
        <v>33.1</v>
      </c>
      <c r="H1768" t="n">
        <v>0</v>
      </c>
      <c r="I1768" t="n">
        <v>0</v>
      </c>
      <c r="J1768" t="n">
        <v>0</v>
      </c>
      <c r="K1768" t="n">
        <v>0</v>
      </c>
      <c r="L1768" t="n">
        <v>0</v>
      </c>
      <c r="M1768" t="n">
        <v>0</v>
      </c>
      <c r="N1768" t="n">
        <v>0</v>
      </c>
      <c r="O1768" t="n">
        <v>0</v>
      </c>
      <c r="P1768" t="n">
        <v>0</v>
      </c>
      <c r="Q1768" t="n">
        <v>0</v>
      </c>
      <c r="R1768" s="2" t="inlineStr"/>
    </row>
    <row r="1769" ht="15" customHeight="1">
      <c r="A1769" t="inlineStr">
        <is>
          <t>A 43242-2019</t>
        </is>
      </c>
      <c r="B1769" s="1" t="n">
        <v>43706</v>
      </c>
      <c r="C1769" s="1" t="n">
        <v>45212</v>
      </c>
      <c r="D1769" t="inlineStr">
        <is>
          <t>VÄSTERNORRLANDS LÄN</t>
        </is>
      </c>
      <c r="E1769" t="inlineStr">
        <is>
          <t>ÅNGE</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43254-2019</t>
        </is>
      </c>
      <c r="B1770" s="1" t="n">
        <v>43706</v>
      </c>
      <c r="C1770" s="1" t="n">
        <v>45212</v>
      </c>
      <c r="D1770" t="inlineStr">
        <is>
          <t>VÄSTERNORRLANDS LÄN</t>
        </is>
      </c>
      <c r="E1770" t="inlineStr">
        <is>
          <t>ÅNGE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43509-2019</t>
        </is>
      </c>
      <c r="B1771" s="1" t="n">
        <v>43706</v>
      </c>
      <c r="C1771" s="1" t="n">
        <v>45212</v>
      </c>
      <c r="D1771" t="inlineStr">
        <is>
          <t>VÄSTERNORRLANDS LÄN</t>
        </is>
      </c>
      <c r="E1771" t="inlineStr">
        <is>
          <t>ÅNGE</t>
        </is>
      </c>
      <c r="G1771" t="n">
        <v>4.2</v>
      </c>
      <c r="H1771" t="n">
        <v>0</v>
      </c>
      <c r="I1771" t="n">
        <v>0</v>
      </c>
      <c r="J1771" t="n">
        <v>0</v>
      </c>
      <c r="K1771" t="n">
        <v>0</v>
      </c>
      <c r="L1771" t="n">
        <v>0</v>
      </c>
      <c r="M1771" t="n">
        <v>0</v>
      </c>
      <c r="N1771" t="n">
        <v>0</v>
      </c>
      <c r="O1771" t="n">
        <v>0</v>
      </c>
      <c r="P1771" t="n">
        <v>0</v>
      </c>
      <c r="Q1771" t="n">
        <v>0</v>
      </c>
      <c r="R1771" s="2" t="inlineStr"/>
    </row>
    <row r="1772" ht="15" customHeight="1">
      <c r="A1772" t="inlineStr">
        <is>
          <t>A 43240-2019</t>
        </is>
      </c>
      <c r="B1772" s="1" t="n">
        <v>43706</v>
      </c>
      <c r="C1772" s="1" t="n">
        <v>45212</v>
      </c>
      <c r="D1772" t="inlineStr">
        <is>
          <t>VÄSTERNORRLANDS LÄN</t>
        </is>
      </c>
      <c r="E1772" t="inlineStr">
        <is>
          <t>ÅNGE</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43248-2019</t>
        </is>
      </c>
      <c r="B1773" s="1" t="n">
        <v>43706</v>
      </c>
      <c r="C1773" s="1" t="n">
        <v>45212</v>
      </c>
      <c r="D1773" t="inlineStr">
        <is>
          <t>VÄSTERNORRLANDS LÄN</t>
        </is>
      </c>
      <c r="E1773" t="inlineStr">
        <is>
          <t>ÅNGE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43769-2019</t>
        </is>
      </c>
      <c r="B1774" s="1" t="n">
        <v>43707</v>
      </c>
      <c r="C1774" s="1" t="n">
        <v>45212</v>
      </c>
      <c r="D1774" t="inlineStr">
        <is>
          <t>VÄSTERNORRLANDS LÄN</t>
        </is>
      </c>
      <c r="E1774" t="inlineStr">
        <is>
          <t>ÖRNSKÖLDSVIK</t>
        </is>
      </c>
      <c r="F1774" t="inlineStr">
        <is>
          <t>Holmen skog AB</t>
        </is>
      </c>
      <c r="G1774" t="n">
        <v>10.2</v>
      </c>
      <c r="H1774" t="n">
        <v>0</v>
      </c>
      <c r="I1774" t="n">
        <v>0</v>
      </c>
      <c r="J1774" t="n">
        <v>0</v>
      </c>
      <c r="K1774" t="n">
        <v>0</v>
      </c>
      <c r="L1774" t="n">
        <v>0</v>
      </c>
      <c r="M1774" t="n">
        <v>0</v>
      </c>
      <c r="N1774" t="n">
        <v>0</v>
      </c>
      <c r="O1774" t="n">
        <v>0</v>
      </c>
      <c r="P1774" t="n">
        <v>0</v>
      </c>
      <c r="Q1774" t="n">
        <v>0</v>
      </c>
      <c r="R1774" s="2" t="inlineStr"/>
    </row>
    <row r="1775" ht="15" customHeight="1">
      <c r="A1775" t="inlineStr">
        <is>
          <t>A 43796-2019</t>
        </is>
      </c>
      <c r="B1775" s="1" t="n">
        <v>43707</v>
      </c>
      <c r="C1775" s="1" t="n">
        <v>45212</v>
      </c>
      <c r="D1775" t="inlineStr">
        <is>
          <t>VÄSTERNORRLANDS LÄN</t>
        </is>
      </c>
      <c r="E1775" t="inlineStr">
        <is>
          <t>SUNDSVALL</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43895-2019</t>
        </is>
      </c>
      <c r="B1776" s="1" t="n">
        <v>43707</v>
      </c>
      <c r="C1776" s="1" t="n">
        <v>45212</v>
      </c>
      <c r="D1776" t="inlineStr">
        <is>
          <t>VÄSTERNORRLANDS LÄN</t>
        </is>
      </c>
      <c r="E1776" t="inlineStr">
        <is>
          <t>ÅNGE</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45018-2019</t>
        </is>
      </c>
      <c r="B1777" s="1" t="n">
        <v>43707</v>
      </c>
      <c r="C1777" s="1" t="n">
        <v>45212</v>
      </c>
      <c r="D1777" t="inlineStr">
        <is>
          <t>VÄSTERNORRLANDS LÄN</t>
        </is>
      </c>
      <c r="E1777" t="inlineStr">
        <is>
          <t>ÖRNSKÖLDSVIK</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45032-2019</t>
        </is>
      </c>
      <c r="B1778" s="1" t="n">
        <v>43707</v>
      </c>
      <c r="C1778" s="1" t="n">
        <v>45212</v>
      </c>
      <c r="D1778" t="inlineStr">
        <is>
          <t>VÄSTERNORRLANDS LÄN</t>
        </is>
      </c>
      <c r="E1778" t="inlineStr">
        <is>
          <t>SOLLEFTEÅ</t>
        </is>
      </c>
      <c r="G1778" t="n">
        <v>9.4</v>
      </c>
      <c r="H1778" t="n">
        <v>0</v>
      </c>
      <c r="I1778" t="n">
        <v>0</v>
      </c>
      <c r="J1778" t="n">
        <v>0</v>
      </c>
      <c r="K1778" t="n">
        <v>0</v>
      </c>
      <c r="L1778" t="n">
        <v>0</v>
      </c>
      <c r="M1778" t="n">
        <v>0</v>
      </c>
      <c r="N1778" t="n">
        <v>0</v>
      </c>
      <c r="O1778" t="n">
        <v>0</v>
      </c>
      <c r="P1778" t="n">
        <v>0</v>
      </c>
      <c r="Q1778" t="n">
        <v>0</v>
      </c>
      <c r="R1778" s="2" t="inlineStr"/>
    </row>
    <row r="1779" ht="15" customHeight="1">
      <c r="A1779" t="inlineStr">
        <is>
          <t>A 43880-2019</t>
        </is>
      </c>
      <c r="B1779" s="1" t="n">
        <v>43707</v>
      </c>
      <c r="C1779" s="1" t="n">
        <v>45212</v>
      </c>
      <c r="D1779" t="inlineStr">
        <is>
          <t>VÄSTERNORRLANDS LÄN</t>
        </is>
      </c>
      <c r="E1779" t="inlineStr">
        <is>
          <t>SUNDSVALL</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45012-2019</t>
        </is>
      </c>
      <c r="B1780" s="1" t="n">
        <v>43707</v>
      </c>
      <c r="C1780" s="1" t="n">
        <v>45212</v>
      </c>
      <c r="D1780" t="inlineStr">
        <is>
          <t>VÄSTERNORRLANDS LÄN</t>
        </is>
      </c>
      <c r="E1780" t="inlineStr">
        <is>
          <t>ÖRNSKÖLDSVIK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45040-2019</t>
        </is>
      </c>
      <c r="B1781" s="1" t="n">
        <v>43707</v>
      </c>
      <c r="C1781" s="1" t="n">
        <v>45212</v>
      </c>
      <c r="D1781" t="inlineStr">
        <is>
          <t>VÄSTERNORRLANDS LÄN</t>
        </is>
      </c>
      <c r="E1781" t="inlineStr">
        <is>
          <t>ÖRNSKÖLDSVIK</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43975-2019</t>
        </is>
      </c>
      <c r="B1782" s="1" t="n">
        <v>43708</v>
      </c>
      <c r="C1782" s="1" t="n">
        <v>45212</v>
      </c>
      <c r="D1782" t="inlineStr">
        <is>
          <t>VÄSTERNORRLANDS LÄN</t>
        </is>
      </c>
      <c r="E1782" t="inlineStr">
        <is>
          <t>TIMRÅ</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43973-2019</t>
        </is>
      </c>
      <c r="B1783" s="1" t="n">
        <v>43708</v>
      </c>
      <c r="C1783" s="1" t="n">
        <v>45212</v>
      </c>
      <c r="D1783" t="inlineStr">
        <is>
          <t>VÄSTERNORRLANDS LÄN</t>
        </is>
      </c>
      <c r="E1783" t="inlineStr">
        <is>
          <t>HÄRNÖSAND</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44232-2019</t>
        </is>
      </c>
      <c r="B1784" s="1" t="n">
        <v>43710</v>
      </c>
      <c r="C1784" s="1" t="n">
        <v>45212</v>
      </c>
      <c r="D1784" t="inlineStr">
        <is>
          <t>VÄSTERNORRLANDS LÄN</t>
        </is>
      </c>
      <c r="E1784" t="inlineStr">
        <is>
          <t>ÖRNSKÖLDSVIK</t>
        </is>
      </c>
      <c r="F1784" t="inlineStr">
        <is>
          <t>Holmen skog AB</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44325-2019</t>
        </is>
      </c>
      <c r="B1785" s="1" t="n">
        <v>43710</v>
      </c>
      <c r="C1785" s="1" t="n">
        <v>45212</v>
      </c>
      <c r="D1785" t="inlineStr">
        <is>
          <t>VÄSTERNORRLANDS LÄN</t>
        </is>
      </c>
      <c r="E1785" t="inlineStr">
        <is>
          <t>SUNDSVALL</t>
        </is>
      </c>
      <c r="F1785" t="inlineStr">
        <is>
          <t>SCA</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44317-2019</t>
        </is>
      </c>
      <c r="B1786" s="1" t="n">
        <v>43710</v>
      </c>
      <c r="C1786" s="1" t="n">
        <v>45212</v>
      </c>
      <c r="D1786" t="inlineStr">
        <is>
          <t>VÄSTERNORRLANDS LÄN</t>
        </is>
      </c>
      <c r="E1786" t="inlineStr">
        <is>
          <t>KRAMFORS</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44313-2019</t>
        </is>
      </c>
      <c r="B1787" s="1" t="n">
        <v>43710</v>
      </c>
      <c r="C1787" s="1" t="n">
        <v>45212</v>
      </c>
      <c r="D1787" t="inlineStr">
        <is>
          <t>VÄSTERNORRLANDS LÄN</t>
        </is>
      </c>
      <c r="E1787" t="inlineStr">
        <is>
          <t>ÅNGE</t>
        </is>
      </c>
      <c r="F1787" t="inlineStr">
        <is>
          <t>SCA</t>
        </is>
      </c>
      <c r="G1787" t="n">
        <v>8.9</v>
      </c>
      <c r="H1787" t="n">
        <v>0</v>
      </c>
      <c r="I1787" t="n">
        <v>0</v>
      </c>
      <c r="J1787" t="n">
        <v>0</v>
      </c>
      <c r="K1787" t="n">
        <v>0</v>
      </c>
      <c r="L1787" t="n">
        <v>0</v>
      </c>
      <c r="M1787" t="n">
        <v>0</v>
      </c>
      <c r="N1787" t="n">
        <v>0</v>
      </c>
      <c r="O1787" t="n">
        <v>0</v>
      </c>
      <c r="P1787" t="n">
        <v>0</v>
      </c>
      <c r="Q1787" t="n">
        <v>0</v>
      </c>
      <c r="R1787" s="2" t="inlineStr"/>
    </row>
    <row r="1788" ht="15" customHeight="1">
      <c r="A1788" t="inlineStr">
        <is>
          <t>A 44328-2019</t>
        </is>
      </c>
      <c r="B1788" s="1" t="n">
        <v>43710</v>
      </c>
      <c r="C1788" s="1" t="n">
        <v>45212</v>
      </c>
      <c r="D1788" t="inlineStr">
        <is>
          <t>VÄSTERNORRLANDS LÄN</t>
        </is>
      </c>
      <c r="E1788" t="inlineStr">
        <is>
          <t>KRAMFORS</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44246-2019</t>
        </is>
      </c>
      <c r="B1789" s="1" t="n">
        <v>43710</v>
      </c>
      <c r="C1789" s="1" t="n">
        <v>45212</v>
      </c>
      <c r="D1789" t="inlineStr">
        <is>
          <t>VÄSTERNORRLANDS LÄN</t>
        </is>
      </c>
      <c r="E1789" t="inlineStr">
        <is>
          <t>ÖRNSKÖLDSVIK</t>
        </is>
      </c>
      <c r="F1789" t="inlineStr">
        <is>
          <t>Holmen skog AB</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44321-2019</t>
        </is>
      </c>
      <c r="B1790" s="1" t="n">
        <v>43710</v>
      </c>
      <c r="C1790" s="1" t="n">
        <v>45212</v>
      </c>
      <c r="D1790" t="inlineStr">
        <is>
          <t>VÄSTERNORRLANDS LÄN</t>
        </is>
      </c>
      <c r="E1790" t="inlineStr">
        <is>
          <t>SUNDSVALL</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44416-2019</t>
        </is>
      </c>
      <c r="B1791" s="1" t="n">
        <v>43711</v>
      </c>
      <c r="C1791" s="1" t="n">
        <v>45212</v>
      </c>
      <c r="D1791" t="inlineStr">
        <is>
          <t>VÄSTERNORRLANDS LÄN</t>
        </is>
      </c>
      <c r="E1791" t="inlineStr">
        <is>
          <t>SUNDSVALL</t>
        </is>
      </c>
      <c r="G1791" t="n">
        <v>7.8</v>
      </c>
      <c r="H1791" t="n">
        <v>0</v>
      </c>
      <c r="I1791" t="n">
        <v>0</v>
      </c>
      <c r="J1791" t="n">
        <v>0</v>
      </c>
      <c r="K1791" t="n">
        <v>0</v>
      </c>
      <c r="L1791" t="n">
        <v>0</v>
      </c>
      <c r="M1791" t="n">
        <v>0</v>
      </c>
      <c r="N1791" t="n">
        <v>0</v>
      </c>
      <c r="O1791" t="n">
        <v>0</v>
      </c>
      <c r="P1791" t="n">
        <v>0</v>
      </c>
      <c r="Q1791" t="n">
        <v>0</v>
      </c>
      <c r="R1791" s="2" t="inlineStr"/>
    </row>
    <row r="1792" ht="15" customHeight="1">
      <c r="A1792" t="inlineStr">
        <is>
          <t>A 44608-2019</t>
        </is>
      </c>
      <c r="B1792" s="1" t="n">
        <v>43711</v>
      </c>
      <c r="C1792" s="1" t="n">
        <v>45212</v>
      </c>
      <c r="D1792" t="inlineStr">
        <is>
          <t>VÄSTERNORRLANDS LÄN</t>
        </is>
      </c>
      <c r="E1792" t="inlineStr">
        <is>
          <t>SUNDSVALL</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44610-2019</t>
        </is>
      </c>
      <c r="B1793" s="1" t="n">
        <v>43711</v>
      </c>
      <c r="C1793" s="1" t="n">
        <v>45212</v>
      </c>
      <c r="D1793" t="inlineStr">
        <is>
          <t>VÄSTERNORRLANDS LÄN</t>
        </is>
      </c>
      <c r="E1793" t="inlineStr">
        <is>
          <t>SUNDSVALL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44609-2019</t>
        </is>
      </c>
      <c r="B1794" s="1" t="n">
        <v>43711</v>
      </c>
      <c r="C1794" s="1" t="n">
        <v>45212</v>
      </c>
      <c r="D1794" t="inlineStr">
        <is>
          <t>VÄSTERNORRLANDS LÄN</t>
        </is>
      </c>
      <c r="E1794" t="inlineStr">
        <is>
          <t>SUNDSVALL</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44726-2019</t>
        </is>
      </c>
      <c r="B1795" s="1" t="n">
        <v>43712</v>
      </c>
      <c r="C1795" s="1" t="n">
        <v>45212</v>
      </c>
      <c r="D1795" t="inlineStr">
        <is>
          <t>VÄSTERNORRLANDS LÄN</t>
        </is>
      </c>
      <c r="E1795" t="inlineStr">
        <is>
          <t>ÖRNSKÖLDSVIK</t>
        </is>
      </c>
      <c r="F1795" t="inlineStr">
        <is>
          <t>Holmen skog AB</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44734-2019</t>
        </is>
      </c>
      <c r="B1796" s="1" t="n">
        <v>43712</v>
      </c>
      <c r="C1796" s="1" t="n">
        <v>45212</v>
      </c>
      <c r="D1796" t="inlineStr">
        <is>
          <t>VÄSTERNORRLANDS LÄN</t>
        </is>
      </c>
      <c r="E1796" t="inlineStr">
        <is>
          <t>ÖRNSKÖLDSVIK</t>
        </is>
      </c>
      <c r="F1796" t="inlineStr">
        <is>
          <t>Holmen skog AB</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44772-2019</t>
        </is>
      </c>
      <c r="B1797" s="1" t="n">
        <v>43712</v>
      </c>
      <c r="C1797" s="1" t="n">
        <v>45212</v>
      </c>
      <c r="D1797" t="inlineStr">
        <is>
          <t>VÄSTERNORRLANDS LÄN</t>
        </is>
      </c>
      <c r="E1797" t="inlineStr">
        <is>
          <t>KRAMFORS</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45952-2019</t>
        </is>
      </c>
      <c r="B1798" s="1" t="n">
        <v>43712</v>
      </c>
      <c r="C1798" s="1" t="n">
        <v>45212</v>
      </c>
      <c r="D1798" t="inlineStr">
        <is>
          <t>VÄSTERNORRLANDS LÄN</t>
        </is>
      </c>
      <c r="E1798" t="inlineStr">
        <is>
          <t>ÖRNSKÖLDSVIK</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45960-2019</t>
        </is>
      </c>
      <c r="B1799" s="1" t="n">
        <v>43712</v>
      </c>
      <c r="C1799" s="1" t="n">
        <v>45212</v>
      </c>
      <c r="D1799" t="inlineStr">
        <is>
          <t>VÄSTERNORRLANDS LÄN</t>
        </is>
      </c>
      <c r="E1799" t="inlineStr">
        <is>
          <t>SUNDSVALL</t>
        </is>
      </c>
      <c r="F1799" t="inlineStr">
        <is>
          <t>Kyrkan</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46195-2019</t>
        </is>
      </c>
      <c r="B1800" s="1" t="n">
        <v>43712</v>
      </c>
      <c r="C1800" s="1" t="n">
        <v>45212</v>
      </c>
      <c r="D1800" t="inlineStr">
        <is>
          <t>VÄSTERNORRLANDS LÄN</t>
        </is>
      </c>
      <c r="E1800" t="inlineStr">
        <is>
          <t>ÖRNSKÖLDSVIK</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44673-2019</t>
        </is>
      </c>
      <c r="B1801" s="1" t="n">
        <v>43712</v>
      </c>
      <c r="C1801" s="1" t="n">
        <v>45212</v>
      </c>
      <c r="D1801" t="inlineStr">
        <is>
          <t>VÄSTERNORRLANDS LÄN</t>
        </is>
      </c>
      <c r="E1801" t="inlineStr">
        <is>
          <t>TIMRÅ</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44888-2019</t>
        </is>
      </c>
      <c r="B1802" s="1" t="n">
        <v>43712</v>
      </c>
      <c r="C1802" s="1" t="n">
        <v>45212</v>
      </c>
      <c r="D1802" t="inlineStr">
        <is>
          <t>VÄSTERNORRLANDS LÄN</t>
        </is>
      </c>
      <c r="E1802" t="inlineStr">
        <is>
          <t>SOLLEFTEÅ</t>
        </is>
      </c>
      <c r="F1802" t="inlineStr">
        <is>
          <t>SCA</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45941-2019</t>
        </is>
      </c>
      <c r="B1803" s="1" t="n">
        <v>43712</v>
      </c>
      <c r="C1803" s="1" t="n">
        <v>45212</v>
      </c>
      <c r="D1803" t="inlineStr">
        <is>
          <t>VÄSTERNORRLANDS LÄN</t>
        </is>
      </c>
      <c r="E1803" t="inlineStr">
        <is>
          <t>SOLLEFTEÅ</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44619-2019</t>
        </is>
      </c>
      <c r="B1804" s="1" t="n">
        <v>43712</v>
      </c>
      <c r="C1804" s="1" t="n">
        <v>45212</v>
      </c>
      <c r="D1804" t="inlineStr">
        <is>
          <t>VÄSTERNORRLANDS LÄN</t>
        </is>
      </c>
      <c r="E1804" t="inlineStr">
        <is>
          <t>HÄRNÖSAND</t>
        </is>
      </c>
      <c r="G1804" t="n">
        <v>16.1</v>
      </c>
      <c r="H1804" t="n">
        <v>0</v>
      </c>
      <c r="I1804" t="n">
        <v>0</v>
      </c>
      <c r="J1804" t="n">
        <v>0</v>
      </c>
      <c r="K1804" t="n">
        <v>0</v>
      </c>
      <c r="L1804" t="n">
        <v>0</v>
      </c>
      <c r="M1804" t="n">
        <v>0</v>
      </c>
      <c r="N1804" t="n">
        <v>0</v>
      </c>
      <c r="O1804" t="n">
        <v>0</v>
      </c>
      <c r="P1804" t="n">
        <v>0</v>
      </c>
      <c r="Q1804" t="n">
        <v>0</v>
      </c>
      <c r="R1804" s="2" t="inlineStr"/>
    </row>
    <row r="1805" ht="15" customHeight="1">
      <c r="A1805" t="inlineStr">
        <is>
          <t>A 44728-2019</t>
        </is>
      </c>
      <c r="B1805" s="1" t="n">
        <v>43712</v>
      </c>
      <c r="C1805" s="1" t="n">
        <v>45212</v>
      </c>
      <c r="D1805" t="inlineStr">
        <is>
          <t>VÄSTERNORRLANDS LÄN</t>
        </is>
      </c>
      <c r="E1805" t="inlineStr">
        <is>
          <t>ÖRNSKÖLDSVIK</t>
        </is>
      </c>
      <c r="F1805" t="inlineStr">
        <is>
          <t>Holmen skog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44815-2019</t>
        </is>
      </c>
      <c r="B1806" s="1" t="n">
        <v>43712</v>
      </c>
      <c r="C1806" s="1" t="n">
        <v>45212</v>
      </c>
      <c r="D1806" t="inlineStr">
        <is>
          <t>VÄSTERNORRLANDS LÄN</t>
        </is>
      </c>
      <c r="E1806" t="inlineStr">
        <is>
          <t>SOLLEFTEÅ</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45964-2019</t>
        </is>
      </c>
      <c r="B1807" s="1" t="n">
        <v>43712</v>
      </c>
      <c r="C1807" s="1" t="n">
        <v>45212</v>
      </c>
      <c r="D1807" t="inlineStr">
        <is>
          <t>VÄSTERNORRLANDS LÄN</t>
        </is>
      </c>
      <c r="E1807" t="inlineStr">
        <is>
          <t>SUNDSVALL</t>
        </is>
      </c>
      <c r="F1807" t="inlineStr">
        <is>
          <t>Kyrkan</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45212-2019</t>
        </is>
      </c>
      <c r="B1808" s="1" t="n">
        <v>43713</v>
      </c>
      <c r="C1808" s="1" t="n">
        <v>45212</v>
      </c>
      <c r="D1808" t="inlineStr">
        <is>
          <t>VÄSTERNORRLANDS LÄN</t>
        </is>
      </c>
      <c r="E1808" t="inlineStr">
        <is>
          <t>HÄRNÖSAND</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44960-2019</t>
        </is>
      </c>
      <c r="B1809" s="1" t="n">
        <v>43713</v>
      </c>
      <c r="C1809" s="1" t="n">
        <v>45212</v>
      </c>
      <c r="D1809" t="inlineStr">
        <is>
          <t>VÄSTERNORRLANDS LÄN</t>
        </is>
      </c>
      <c r="E1809" t="inlineStr">
        <is>
          <t>SOLLEFTEÅ</t>
        </is>
      </c>
      <c r="G1809" t="n">
        <v>14.9</v>
      </c>
      <c r="H1809" t="n">
        <v>0</v>
      </c>
      <c r="I1809" t="n">
        <v>0</v>
      </c>
      <c r="J1809" t="n">
        <v>0</v>
      </c>
      <c r="K1809" t="n">
        <v>0</v>
      </c>
      <c r="L1809" t="n">
        <v>0</v>
      </c>
      <c r="M1809" t="n">
        <v>0</v>
      </c>
      <c r="N1809" t="n">
        <v>0</v>
      </c>
      <c r="O1809" t="n">
        <v>0</v>
      </c>
      <c r="P1809" t="n">
        <v>0</v>
      </c>
      <c r="Q1809" t="n">
        <v>0</v>
      </c>
      <c r="R1809" s="2" t="inlineStr"/>
    </row>
    <row r="1810" ht="15" customHeight="1">
      <c r="A1810" t="inlineStr">
        <is>
          <t>A 44971-2019</t>
        </is>
      </c>
      <c r="B1810" s="1" t="n">
        <v>43713</v>
      </c>
      <c r="C1810" s="1" t="n">
        <v>45212</v>
      </c>
      <c r="D1810" t="inlineStr">
        <is>
          <t>VÄSTERNORRLANDS LÄN</t>
        </is>
      </c>
      <c r="E1810" t="inlineStr">
        <is>
          <t>SUNDSVALL</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44922-2019</t>
        </is>
      </c>
      <c r="B1811" s="1" t="n">
        <v>43713</v>
      </c>
      <c r="C1811" s="1" t="n">
        <v>45212</v>
      </c>
      <c r="D1811" t="inlineStr">
        <is>
          <t>VÄSTERNORRLANDS LÄN</t>
        </is>
      </c>
      <c r="E1811" t="inlineStr">
        <is>
          <t>SUNDSVALL</t>
        </is>
      </c>
      <c r="F1811" t="inlineStr">
        <is>
          <t>Kommuner</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44967-2019</t>
        </is>
      </c>
      <c r="B1812" s="1" t="n">
        <v>43713</v>
      </c>
      <c r="C1812" s="1" t="n">
        <v>45212</v>
      </c>
      <c r="D1812" t="inlineStr">
        <is>
          <t>VÄSTERNORRLANDS LÄN</t>
        </is>
      </c>
      <c r="E1812" t="inlineStr">
        <is>
          <t>SUNDSVALL</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45074-2019</t>
        </is>
      </c>
      <c r="B1813" s="1" t="n">
        <v>43713</v>
      </c>
      <c r="C1813" s="1" t="n">
        <v>45212</v>
      </c>
      <c r="D1813" t="inlineStr">
        <is>
          <t>VÄSTERNORRLANDS LÄN</t>
        </is>
      </c>
      <c r="E1813" t="inlineStr">
        <is>
          <t>ÖRNSKÖLDSVIK</t>
        </is>
      </c>
      <c r="F1813" t="inlineStr">
        <is>
          <t>Holmen skog AB</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45274-2019</t>
        </is>
      </c>
      <c r="B1814" s="1" t="n">
        <v>43713</v>
      </c>
      <c r="C1814" s="1" t="n">
        <v>45212</v>
      </c>
      <c r="D1814" t="inlineStr">
        <is>
          <t>VÄSTERNORRLANDS LÄN</t>
        </is>
      </c>
      <c r="E1814" t="inlineStr">
        <is>
          <t>ÅNGE</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46033-2019</t>
        </is>
      </c>
      <c r="B1815" s="1" t="n">
        <v>43713</v>
      </c>
      <c r="C1815" s="1" t="n">
        <v>45212</v>
      </c>
      <c r="D1815" t="inlineStr">
        <is>
          <t>VÄSTERNORRLANDS LÄN</t>
        </is>
      </c>
      <c r="E1815" t="inlineStr">
        <is>
          <t>ÖRNSKÖLDSVIK</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45034-2019</t>
        </is>
      </c>
      <c r="B1816" s="1" t="n">
        <v>43713</v>
      </c>
      <c r="C1816" s="1" t="n">
        <v>45212</v>
      </c>
      <c r="D1816" t="inlineStr">
        <is>
          <t>VÄSTERNORRLANDS LÄN</t>
        </is>
      </c>
      <c r="E1816" t="inlineStr">
        <is>
          <t>ÖRNSKÖLDSVIK</t>
        </is>
      </c>
      <c r="F1816" t="inlineStr">
        <is>
          <t>Holmen skog AB</t>
        </is>
      </c>
      <c r="G1816" t="n">
        <v>5.5</v>
      </c>
      <c r="H1816" t="n">
        <v>0</v>
      </c>
      <c r="I1816" t="n">
        <v>0</v>
      </c>
      <c r="J1816" t="n">
        <v>0</v>
      </c>
      <c r="K1816" t="n">
        <v>0</v>
      </c>
      <c r="L1816" t="n">
        <v>0</v>
      </c>
      <c r="M1816" t="n">
        <v>0</v>
      </c>
      <c r="N1816" t="n">
        <v>0</v>
      </c>
      <c r="O1816" t="n">
        <v>0</v>
      </c>
      <c r="P1816" t="n">
        <v>0</v>
      </c>
      <c r="Q1816" t="n">
        <v>0</v>
      </c>
      <c r="R1816" s="2" t="inlineStr"/>
    </row>
    <row r="1817" ht="15" customHeight="1">
      <c r="A1817" t="inlineStr">
        <is>
          <t>A 45281-2019</t>
        </is>
      </c>
      <c r="B1817" s="1" t="n">
        <v>43714</v>
      </c>
      <c r="C1817" s="1" t="n">
        <v>45212</v>
      </c>
      <c r="D1817" t="inlineStr">
        <is>
          <t>VÄSTERNORRLANDS LÄN</t>
        </is>
      </c>
      <c r="E1817" t="inlineStr">
        <is>
          <t>ÖRNSKÖLDSVIK</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45286-2019</t>
        </is>
      </c>
      <c r="B1818" s="1" t="n">
        <v>43714</v>
      </c>
      <c r="C1818" s="1" t="n">
        <v>45212</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45278-2019</t>
        </is>
      </c>
      <c r="B1819" s="1" t="n">
        <v>43714</v>
      </c>
      <c r="C1819" s="1" t="n">
        <v>45212</v>
      </c>
      <c r="D1819" t="inlineStr">
        <is>
          <t>VÄSTERNORRLANDS LÄN</t>
        </is>
      </c>
      <c r="E1819" t="inlineStr">
        <is>
          <t>ÖRNSKÖLDSVIK</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45288-2019</t>
        </is>
      </c>
      <c r="B1820" s="1" t="n">
        <v>43714</v>
      </c>
      <c r="C1820" s="1" t="n">
        <v>45212</v>
      </c>
      <c r="D1820" t="inlineStr">
        <is>
          <t>VÄSTERNORRLANDS LÄN</t>
        </is>
      </c>
      <c r="E1820" t="inlineStr">
        <is>
          <t>ÖRNSKÖLDSVIK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45537-2019</t>
        </is>
      </c>
      <c r="B1821" s="1" t="n">
        <v>43714</v>
      </c>
      <c r="C1821" s="1" t="n">
        <v>45212</v>
      </c>
      <c r="D1821" t="inlineStr">
        <is>
          <t>VÄSTERNORRLANDS LÄN</t>
        </is>
      </c>
      <c r="E1821" t="inlineStr">
        <is>
          <t>SOLLEFTEÅ</t>
        </is>
      </c>
      <c r="F1821" t="inlineStr">
        <is>
          <t>SCA</t>
        </is>
      </c>
      <c r="G1821" t="n">
        <v>35.1</v>
      </c>
      <c r="H1821" t="n">
        <v>0</v>
      </c>
      <c r="I1821" t="n">
        <v>0</v>
      </c>
      <c r="J1821" t="n">
        <v>0</v>
      </c>
      <c r="K1821" t="n">
        <v>0</v>
      </c>
      <c r="L1821" t="n">
        <v>0</v>
      </c>
      <c r="M1821" t="n">
        <v>0</v>
      </c>
      <c r="N1821" t="n">
        <v>0</v>
      </c>
      <c r="O1821" t="n">
        <v>0</v>
      </c>
      <c r="P1821" t="n">
        <v>0</v>
      </c>
      <c r="Q1821" t="n">
        <v>0</v>
      </c>
      <c r="R1821" s="2" t="inlineStr"/>
    </row>
    <row r="1822" ht="15" customHeight="1">
      <c r="A1822" t="inlineStr">
        <is>
          <t>A 45280-2019</t>
        </is>
      </c>
      <c r="B1822" s="1" t="n">
        <v>43714</v>
      </c>
      <c r="C1822" s="1" t="n">
        <v>45212</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45285-2019</t>
        </is>
      </c>
      <c r="B1823" s="1" t="n">
        <v>43714</v>
      </c>
      <c r="C1823" s="1" t="n">
        <v>45212</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46560-2019</t>
        </is>
      </c>
      <c r="B1824" s="1" t="n">
        <v>43717</v>
      </c>
      <c r="C1824" s="1" t="n">
        <v>45212</v>
      </c>
      <c r="D1824" t="inlineStr">
        <is>
          <t>VÄSTERNORRLANDS LÄN</t>
        </is>
      </c>
      <c r="E1824" t="inlineStr">
        <is>
          <t>ÖRNSKÖLDSVIK</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46527-2019</t>
        </is>
      </c>
      <c r="B1825" s="1" t="n">
        <v>43717</v>
      </c>
      <c r="C1825" s="1" t="n">
        <v>45212</v>
      </c>
      <c r="D1825" t="inlineStr">
        <is>
          <t>VÄSTERNORRLANDS LÄN</t>
        </is>
      </c>
      <c r="E1825" t="inlineStr">
        <is>
          <t>KRAMFORS</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46583-2019</t>
        </is>
      </c>
      <c r="B1826" s="1" t="n">
        <v>43717</v>
      </c>
      <c r="C1826" s="1" t="n">
        <v>45212</v>
      </c>
      <c r="D1826" t="inlineStr">
        <is>
          <t>VÄSTERNORRLANDS LÄN</t>
        </is>
      </c>
      <c r="E1826" t="inlineStr">
        <is>
          <t>KRAMFORS</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46063-2019</t>
        </is>
      </c>
      <c r="B1827" s="1" t="n">
        <v>43718</v>
      </c>
      <c r="C1827" s="1" t="n">
        <v>45212</v>
      </c>
      <c r="D1827" t="inlineStr">
        <is>
          <t>VÄSTERNORRLANDS LÄN</t>
        </is>
      </c>
      <c r="E1827" t="inlineStr">
        <is>
          <t>ÖRNSKÖLDSVIK</t>
        </is>
      </c>
      <c r="F1827" t="inlineStr">
        <is>
          <t>Holmen skog AB</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46114-2019</t>
        </is>
      </c>
      <c r="B1828" s="1" t="n">
        <v>43718</v>
      </c>
      <c r="C1828" s="1" t="n">
        <v>45212</v>
      </c>
      <c r="D1828" t="inlineStr">
        <is>
          <t>VÄSTERNORRLANDS LÄN</t>
        </is>
      </c>
      <c r="E1828" t="inlineStr">
        <is>
          <t>ÖRNSKÖLDSVIK</t>
        </is>
      </c>
      <c r="F1828" t="inlineStr">
        <is>
          <t>Holmen skog AB</t>
        </is>
      </c>
      <c r="G1828" t="n">
        <v>3</v>
      </c>
      <c r="H1828" t="n">
        <v>0</v>
      </c>
      <c r="I1828" t="n">
        <v>0</v>
      </c>
      <c r="J1828" t="n">
        <v>0</v>
      </c>
      <c r="K1828" t="n">
        <v>0</v>
      </c>
      <c r="L1828" t="n">
        <v>0</v>
      </c>
      <c r="M1828" t="n">
        <v>0</v>
      </c>
      <c r="N1828" t="n">
        <v>0</v>
      </c>
      <c r="O1828" t="n">
        <v>0</v>
      </c>
      <c r="P1828" t="n">
        <v>0</v>
      </c>
      <c r="Q1828" t="n">
        <v>0</v>
      </c>
      <c r="R1828" s="2" t="inlineStr"/>
    </row>
    <row r="1829" ht="15" customHeight="1">
      <c r="A1829" t="inlineStr">
        <is>
          <t>A 46345-2019</t>
        </is>
      </c>
      <c r="B1829" s="1" t="n">
        <v>43718</v>
      </c>
      <c r="C1829" s="1" t="n">
        <v>45212</v>
      </c>
      <c r="D1829" t="inlineStr">
        <is>
          <t>VÄSTERNORRLANDS LÄN</t>
        </is>
      </c>
      <c r="E1829" t="inlineStr">
        <is>
          <t>SOLLEFTEÅ</t>
        </is>
      </c>
      <c r="F1829" t="inlineStr">
        <is>
          <t>SCA</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45953-2019</t>
        </is>
      </c>
      <c r="B1830" s="1" t="n">
        <v>43718</v>
      </c>
      <c r="C1830" s="1" t="n">
        <v>45212</v>
      </c>
      <c r="D1830" t="inlineStr">
        <is>
          <t>VÄSTERNORRLANDS LÄN</t>
        </is>
      </c>
      <c r="E1830" t="inlineStr">
        <is>
          <t>HÄRNÖSAND</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46439-2019</t>
        </is>
      </c>
      <c r="B1831" s="1" t="n">
        <v>43719</v>
      </c>
      <c r="C1831" s="1" t="n">
        <v>45212</v>
      </c>
      <c r="D1831" t="inlineStr">
        <is>
          <t>VÄSTERNORRLANDS LÄN</t>
        </is>
      </c>
      <c r="E1831" t="inlineStr">
        <is>
          <t>ÖRNSKÖLDSVIK</t>
        </is>
      </c>
      <c r="F1831" t="inlineStr">
        <is>
          <t>Holmen skog AB</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46956-2019</t>
        </is>
      </c>
      <c r="B1832" s="1" t="n">
        <v>43719</v>
      </c>
      <c r="C1832" s="1" t="n">
        <v>45212</v>
      </c>
      <c r="D1832" t="inlineStr">
        <is>
          <t>VÄSTERNORRLANDS LÄN</t>
        </is>
      </c>
      <c r="E1832" t="inlineStr">
        <is>
          <t>SOLLEFTEÅ</t>
        </is>
      </c>
      <c r="G1832" t="n">
        <v>18.1</v>
      </c>
      <c r="H1832" t="n">
        <v>0</v>
      </c>
      <c r="I1832" t="n">
        <v>0</v>
      </c>
      <c r="J1832" t="n">
        <v>0</v>
      </c>
      <c r="K1832" t="n">
        <v>0</v>
      </c>
      <c r="L1832" t="n">
        <v>0</v>
      </c>
      <c r="M1832" t="n">
        <v>0</v>
      </c>
      <c r="N1832" t="n">
        <v>0</v>
      </c>
      <c r="O1832" t="n">
        <v>0</v>
      </c>
      <c r="P1832" t="n">
        <v>0</v>
      </c>
      <c r="Q1832" t="n">
        <v>0</v>
      </c>
      <c r="R1832" s="2" t="inlineStr"/>
    </row>
    <row r="1833" ht="15" customHeight="1">
      <c r="A1833" t="inlineStr">
        <is>
          <t>A 46649-2019</t>
        </is>
      </c>
      <c r="B1833" s="1" t="n">
        <v>43719</v>
      </c>
      <c r="C1833" s="1" t="n">
        <v>45212</v>
      </c>
      <c r="D1833" t="inlineStr">
        <is>
          <t>VÄSTERNORRLANDS LÄN</t>
        </is>
      </c>
      <c r="E1833" t="inlineStr">
        <is>
          <t>HÄRNÖSAND</t>
        </is>
      </c>
      <c r="F1833" t="inlineStr">
        <is>
          <t>Kyrkan</t>
        </is>
      </c>
      <c r="G1833" t="n">
        <v>10.1</v>
      </c>
      <c r="H1833" t="n">
        <v>0</v>
      </c>
      <c r="I1833" t="n">
        <v>0</v>
      </c>
      <c r="J1833" t="n">
        <v>0</v>
      </c>
      <c r="K1833" t="n">
        <v>0</v>
      </c>
      <c r="L1833" t="n">
        <v>0</v>
      </c>
      <c r="M1833" t="n">
        <v>0</v>
      </c>
      <c r="N1833" t="n">
        <v>0</v>
      </c>
      <c r="O1833" t="n">
        <v>0</v>
      </c>
      <c r="P1833" t="n">
        <v>0</v>
      </c>
      <c r="Q1833" t="n">
        <v>0</v>
      </c>
      <c r="R1833" s="2" t="inlineStr"/>
    </row>
    <row r="1834" ht="15" customHeight="1">
      <c r="A1834" t="inlineStr">
        <is>
          <t>A 47076-2019</t>
        </is>
      </c>
      <c r="B1834" s="1" t="n">
        <v>43720</v>
      </c>
      <c r="C1834" s="1" t="n">
        <v>45212</v>
      </c>
      <c r="D1834" t="inlineStr">
        <is>
          <t>VÄSTERNORRLANDS LÄN</t>
        </is>
      </c>
      <c r="E1834" t="inlineStr">
        <is>
          <t>SUNDSVALL</t>
        </is>
      </c>
      <c r="F1834" t="inlineStr">
        <is>
          <t>SCA</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47151-2019</t>
        </is>
      </c>
      <c r="B1835" s="1" t="n">
        <v>43720</v>
      </c>
      <c r="C1835" s="1" t="n">
        <v>45212</v>
      </c>
      <c r="D1835" t="inlineStr">
        <is>
          <t>VÄSTERNORRLANDS LÄN</t>
        </is>
      </c>
      <c r="E1835" t="inlineStr">
        <is>
          <t>ÖRNSKÖLDSVIK</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47235-2019</t>
        </is>
      </c>
      <c r="B1836" s="1" t="n">
        <v>43721</v>
      </c>
      <c r="C1836" s="1" t="n">
        <v>45212</v>
      </c>
      <c r="D1836" t="inlineStr">
        <is>
          <t>VÄSTERNORRLANDS LÄN</t>
        </is>
      </c>
      <c r="E1836" t="inlineStr">
        <is>
          <t>ÖRNSKÖLDSVIK</t>
        </is>
      </c>
      <c r="F1836" t="inlineStr">
        <is>
          <t>Holmen skog AB</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47366-2019</t>
        </is>
      </c>
      <c r="B1837" s="1" t="n">
        <v>43721</v>
      </c>
      <c r="C1837" s="1" t="n">
        <v>45212</v>
      </c>
      <c r="D1837" t="inlineStr">
        <is>
          <t>VÄSTERNORRLANDS LÄN</t>
        </is>
      </c>
      <c r="E1837" t="inlineStr">
        <is>
          <t>SOLLEFTEÅ</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47198-2019</t>
        </is>
      </c>
      <c r="B1838" s="1" t="n">
        <v>43721</v>
      </c>
      <c r="C1838" s="1" t="n">
        <v>45212</v>
      </c>
      <c r="D1838" t="inlineStr">
        <is>
          <t>VÄSTERNORRLANDS LÄN</t>
        </is>
      </c>
      <c r="E1838" t="inlineStr">
        <is>
          <t>ÖRNSKÖLDSVIK</t>
        </is>
      </c>
      <c r="F1838" t="inlineStr">
        <is>
          <t>Holmen skog AB</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47764-2019</t>
        </is>
      </c>
      <c r="B1839" s="1" t="n">
        <v>43724</v>
      </c>
      <c r="C1839" s="1" t="n">
        <v>45212</v>
      </c>
      <c r="D1839" t="inlineStr">
        <is>
          <t>VÄSTERNORRLANDS LÄN</t>
        </is>
      </c>
      <c r="E1839" t="inlineStr">
        <is>
          <t>SOLLEFTEÅ</t>
        </is>
      </c>
      <c r="F1839" t="inlineStr">
        <is>
          <t>Kyrkan</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47807-2019</t>
        </is>
      </c>
      <c r="B1840" s="1" t="n">
        <v>43724</v>
      </c>
      <c r="C1840" s="1" t="n">
        <v>45212</v>
      </c>
      <c r="D1840" t="inlineStr">
        <is>
          <t>VÄSTERNORRLANDS LÄN</t>
        </is>
      </c>
      <c r="E1840" t="inlineStr">
        <is>
          <t>SUNDSVALL</t>
        </is>
      </c>
      <c r="F1840" t="inlineStr">
        <is>
          <t>SCA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47454-2019</t>
        </is>
      </c>
      <c r="B1841" s="1" t="n">
        <v>43724</v>
      </c>
      <c r="C1841" s="1" t="n">
        <v>45212</v>
      </c>
      <c r="D1841" t="inlineStr">
        <is>
          <t>VÄSTERNORRLANDS LÄN</t>
        </is>
      </c>
      <c r="E1841" t="inlineStr">
        <is>
          <t>HÄRNÖSAND</t>
        </is>
      </c>
      <c r="F1841" t="inlineStr">
        <is>
          <t>Övriga statliga verk och myndigheter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47809-2019</t>
        </is>
      </c>
      <c r="B1842" s="1" t="n">
        <v>43724</v>
      </c>
      <c r="C1842" s="1" t="n">
        <v>45212</v>
      </c>
      <c r="D1842" t="inlineStr">
        <is>
          <t>VÄSTERNORRLANDS LÄN</t>
        </is>
      </c>
      <c r="E1842" t="inlineStr">
        <is>
          <t>SUNDSVALL</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47832-2019</t>
        </is>
      </c>
      <c r="B1843" s="1" t="n">
        <v>43724</v>
      </c>
      <c r="C1843" s="1" t="n">
        <v>45212</v>
      </c>
      <c r="D1843" t="inlineStr">
        <is>
          <t>VÄSTERNORRLANDS LÄN</t>
        </is>
      </c>
      <c r="E1843" t="inlineStr">
        <is>
          <t>KRAMFORS</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47656-2019</t>
        </is>
      </c>
      <c r="B1844" s="1" t="n">
        <v>43724</v>
      </c>
      <c r="C1844" s="1" t="n">
        <v>45212</v>
      </c>
      <c r="D1844" t="inlineStr">
        <is>
          <t>VÄSTERNORRLANDS LÄN</t>
        </is>
      </c>
      <c r="E1844" t="inlineStr">
        <is>
          <t>TIMRÅ</t>
        </is>
      </c>
      <c r="G1844" t="n">
        <v>8</v>
      </c>
      <c r="H1844" t="n">
        <v>0</v>
      </c>
      <c r="I1844" t="n">
        <v>0</v>
      </c>
      <c r="J1844" t="n">
        <v>0</v>
      </c>
      <c r="K1844" t="n">
        <v>0</v>
      </c>
      <c r="L1844" t="n">
        <v>0</v>
      </c>
      <c r="M1844" t="n">
        <v>0</v>
      </c>
      <c r="N1844" t="n">
        <v>0</v>
      </c>
      <c r="O1844" t="n">
        <v>0</v>
      </c>
      <c r="P1844" t="n">
        <v>0</v>
      </c>
      <c r="Q1844" t="n">
        <v>0</v>
      </c>
      <c r="R1844" s="2" t="inlineStr"/>
    </row>
    <row r="1845" ht="15" customHeight="1">
      <c r="A1845" t="inlineStr">
        <is>
          <t>A 47709-2019</t>
        </is>
      </c>
      <c r="B1845" s="1" t="n">
        <v>43724</v>
      </c>
      <c r="C1845" s="1" t="n">
        <v>45212</v>
      </c>
      <c r="D1845" t="inlineStr">
        <is>
          <t>VÄSTERNORRLANDS LÄN</t>
        </is>
      </c>
      <c r="E1845" t="inlineStr">
        <is>
          <t>ÖRNSKÖLDSVIK</t>
        </is>
      </c>
      <c r="G1845" t="n">
        <v>9.1</v>
      </c>
      <c r="H1845" t="n">
        <v>0</v>
      </c>
      <c r="I1845" t="n">
        <v>0</v>
      </c>
      <c r="J1845" t="n">
        <v>0</v>
      </c>
      <c r="K1845" t="n">
        <v>0</v>
      </c>
      <c r="L1845" t="n">
        <v>0</v>
      </c>
      <c r="M1845" t="n">
        <v>0</v>
      </c>
      <c r="N1845" t="n">
        <v>0</v>
      </c>
      <c r="O1845" t="n">
        <v>0</v>
      </c>
      <c r="P1845" t="n">
        <v>0</v>
      </c>
      <c r="Q1845" t="n">
        <v>0</v>
      </c>
      <c r="R1845" s="2" t="inlineStr"/>
    </row>
    <row r="1846" ht="15" customHeight="1">
      <c r="A1846" t="inlineStr">
        <is>
          <t>A 47720-2019</t>
        </is>
      </c>
      <c r="B1846" s="1" t="n">
        <v>43724</v>
      </c>
      <c r="C1846" s="1" t="n">
        <v>45212</v>
      </c>
      <c r="D1846" t="inlineStr">
        <is>
          <t>VÄSTERNORRLANDS LÄN</t>
        </is>
      </c>
      <c r="E1846" t="inlineStr">
        <is>
          <t>HÄRNÖSAND</t>
        </is>
      </c>
      <c r="G1846" t="n">
        <v>4.6</v>
      </c>
      <c r="H1846" t="n">
        <v>0</v>
      </c>
      <c r="I1846" t="n">
        <v>0</v>
      </c>
      <c r="J1846" t="n">
        <v>0</v>
      </c>
      <c r="K1846" t="n">
        <v>0</v>
      </c>
      <c r="L1846" t="n">
        <v>0</v>
      </c>
      <c r="M1846" t="n">
        <v>0</v>
      </c>
      <c r="N1846" t="n">
        <v>0</v>
      </c>
      <c r="O1846" t="n">
        <v>0</v>
      </c>
      <c r="P1846" t="n">
        <v>0</v>
      </c>
      <c r="Q1846" t="n">
        <v>0</v>
      </c>
      <c r="R1846" s="2" t="inlineStr"/>
    </row>
    <row r="1847" ht="15" customHeight="1">
      <c r="A1847" t="inlineStr">
        <is>
          <t>A 47768-2019</t>
        </is>
      </c>
      <c r="B1847" s="1" t="n">
        <v>43724</v>
      </c>
      <c r="C1847" s="1" t="n">
        <v>45212</v>
      </c>
      <c r="D1847" t="inlineStr">
        <is>
          <t>VÄSTERNORRLANDS LÄN</t>
        </is>
      </c>
      <c r="E1847" t="inlineStr">
        <is>
          <t>SOLLEFTEÅ</t>
        </is>
      </c>
      <c r="F1847" t="inlineStr">
        <is>
          <t>Kyrkan</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48187-2019</t>
        </is>
      </c>
      <c r="B1848" s="1" t="n">
        <v>43725</v>
      </c>
      <c r="C1848" s="1" t="n">
        <v>45212</v>
      </c>
      <c r="D1848" t="inlineStr">
        <is>
          <t>VÄSTERNORRLANDS LÄN</t>
        </is>
      </c>
      <c r="E1848" t="inlineStr">
        <is>
          <t>ÖRNSKÖLDSVIK</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48131-2019</t>
        </is>
      </c>
      <c r="B1849" s="1" t="n">
        <v>43725</v>
      </c>
      <c r="C1849" s="1" t="n">
        <v>45212</v>
      </c>
      <c r="D1849" t="inlineStr">
        <is>
          <t>VÄSTERNORRLANDS LÄN</t>
        </is>
      </c>
      <c r="E1849" t="inlineStr">
        <is>
          <t>HÄRNÖSAND</t>
        </is>
      </c>
      <c r="F1849" t="inlineStr">
        <is>
          <t>SCA</t>
        </is>
      </c>
      <c r="G1849" t="n">
        <v>5.5</v>
      </c>
      <c r="H1849" t="n">
        <v>0</v>
      </c>
      <c r="I1849" t="n">
        <v>0</v>
      </c>
      <c r="J1849" t="n">
        <v>0</v>
      </c>
      <c r="K1849" t="n">
        <v>0</v>
      </c>
      <c r="L1849" t="n">
        <v>0</v>
      </c>
      <c r="M1849" t="n">
        <v>0</v>
      </c>
      <c r="N1849" t="n">
        <v>0</v>
      </c>
      <c r="O1849" t="n">
        <v>0</v>
      </c>
      <c r="P1849" t="n">
        <v>0</v>
      </c>
      <c r="Q1849" t="n">
        <v>0</v>
      </c>
      <c r="R1849" s="2" t="inlineStr"/>
    </row>
    <row r="1850" ht="15" customHeight="1">
      <c r="A1850" t="inlineStr">
        <is>
          <t>A 48350-2019</t>
        </is>
      </c>
      <c r="B1850" s="1" t="n">
        <v>43726</v>
      </c>
      <c r="C1850" s="1" t="n">
        <v>45212</v>
      </c>
      <c r="D1850" t="inlineStr">
        <is>
          <t>VÄSTERNORRLANDS LÄN</t>
        </is>
      </c>
      <c r="E1850" t="inlineStr">
        <is>
          <t>ÖRNSKÖLDSVIK</t>
        </is>
      </c>
      <c r="F1850" t="inlineStr">
        <is>
          <t>Holmen skog AB</t>
        </is>
      </c>
      <c r="G1850" t="n">
        <v>35.7</v>
      </c>
      <c r="H1850" t="n">
        <v>0</v>
      </c>
      <c r="I1850" t="n">
        <v>0</v>
      </c>
      <c r="J1850" t="n">
        <v>0</v>
      </c>
      <c r="K1850" t="n">
        <v>0</v>
      </c>
      <c r="L1850" t="n">
        <v>0</v>
      </c>
      <c r="M1850" t="n">
        <v>0</v>
      </c>
      <c r="N1850" t="n">
        <v>0</v>
      </c>
      <c r="O1850" t="n">
        <v>0</v>
      </c>
      <c r="P1850" t="n">
        <v>0</v>
      </c>
      <c r="Q1850" t="n">
        <v>0</v>
      </c>
      <c r="R1850" s="2" t="inlineStr"/>
    </row>
    <row r="1851" ht="15" customHeight="1">
      <c r="A1851" t="inlineStr">
        <is>
          <t>A 48420-2019</t>
        </is>
      </c>
      <c r="B1851" s="1" t="n">
        <v>43726</v>
      </c>
      <c r="C1851" s="1" t="n">
        <v>45212</v>
      </c>
      <c r="D1851" t="inlineStr">
        <is>
          <t>VÄSTERNORRLANDS LÄN</t>
        </is>
      </c>
      <c r="E1851" t="inlineStr">
        <is>
          <t>ÖRNSKÖLDSVIK</t>
        </is>
      </c>
      <c r="G1851" t="n">
        <v>0.3</v>
      </c>
      <c r="H1851" t="n">
        <v>0</v>
      </c>
      <c r="I1851" t="n">
        <v>0</v>
      </c>
      <c r="J1851" t="n">
        <v>0</v>
      </c>
      <c r="K1851" t="n">
        <v>0</v>
      </c>
      <c r="L1851" t="n">
        <v>0</v>
      </c>
      <c r="M1851" t="n">
        <v>0</v>
      </c>
      <c r="N1851" t="n">
        <v>0</v>
      </c>
      <c r="O1851" t="n">
        <v>0</v>
      </c>
      <c r="P1851" t="n">
        <v>0</v>
      </c>
      <c r="Q1851" t="n">
        <v>0</v>
      </c>
      <c r="R1851" s="2" t="inlineStr"/>
    </row>
    <row r="1852" ht="15" customHeight="1">
      <c r="A1852" t="inlineStr">
        <is>
          <t>A 48165-2019</t>
        </is>
      </c>
      <c r="B1852" s="1" t="n">
        <v>43726</v>
      </c>
      <c r="C1852" s="1" t="n">
        <v>45212</v>
      </c>
      <c r="D1852" t="inlineStr">
        <is>
          <t>VÄSTERNORRLANDS LÄN</t>
        </is>
      </c>
      <c r="E1852" t="inlineStr">
        <is>
          <t>ÖRNSKÖLDSVIK</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48340-2019</t>
        </is>
      </c>
      <c r="B1853" s="1" t="n">
        <v>43726</v>
      </c>
      <c r="C1853" s="1" t="n">
        <v>45212</v>
      </c>
      <c r="D1853" t="inlineStr">
        <is>
          <t>VÄSTERNORRLANDS LÄN</t>
        </is>
      </c>
      <c r="E1853" t="inlineStr">
        <is>
          <t>ÖRNSKÖLDSVIK</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48799-2019</t>
        </is>
      </c>
      <c r="B1854" s="1" t="n">
        <v>43727</v>
      </c>
      <c r="C1854" s="1" t="n">
        <v>45212</v>
      </c>
      <c r="D1854" t="inlineStr">
        <is>
          <t>VÄSTERNORRLANDS LÄN</t>
        </is>
      </c>
      <c r="E1854" t="inlineStr">
        <is>
          <t>HÄRNÖSAND</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48715-2019</t>
        </is>
      </c>
      <c r="B1855" s="1" t="n">
        <v>43727</v>
      </c>
      <c r="C1855" s="1" t="n">
        <v>45212</v>
      </c>
      <c r="D1855" t="inlineStr">
        <is>
          <t>VÄSTERNORRLANDS LÄN</t>
        </is>
      </c>
      <c r="E1855" t="inlineStr">
        <is>
          <t>SUNDSVALL</t>
        </is>
      </c>
      <c r="F1855" t="inlineStr">
        <is>
          <t>SCA</t>
        </is>
      </c>
      <c r="G1855" t="n">
        <v>76.40000000000001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48751-2019</t>
        </is>
      </c>
      <c r="B1856" s="1" t="n">
        <v>43727</v>
      </c>
      <c r="C1856" s="1" t="n">
        <v>45212</v>
      </c>
      <c r="D1856" t="inlineStr">
        <is>
          <t>VÄSTERNORRLANDS LÄN</t>
        </is>
      </c>
      <c r="E1856" t="inlineStr">
        <is>
          <t>ÖRNSKÖLDSVIK</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48783-2019</t>
        </is>
      </c>
      <c r="B1857" s="1" t="n">
        <v>43727</v>
      </c>
      <c r="C1857" s="1" t="n">
        <v>45212</v>
      </c>
      <c r="D1857" t="inlineStr">
        <is>
          <t>VÄSTERNORRLANDS LÄN</t>
        </is>
      </c>
      <c r="E1857" t="inlineStr">
        <is>
          <t>ÖRNSKÖLDSVIK</t>
        </is>
      </c>
      <c r="F1857" t="inlineStr">
        <is>
          <t>Holmen skog AB</t>
        </is>
      </c>
      <c r="G1857" t="n">
        <v>10.4</v>
      </c>
      <c r="H1857" t="n">
        <v>0</v>
      </c>
      <c r="I1857" t="n">
        <v>0</v>
      </c>
      <c r="J1857" t="n">
        <v>0</v>
      </c>
      <c r="K1857" t="n">
        <v>0</v>
      </c>
      <c r="L1857" t="n">
        <v>0</v>
      </c>
      <c r="M1857" t="n">
        <v>0</v>
      </c>
      <c r="N1857" t="n">
        <v>0</v>
      </c>
      <c r="O1857" t="n">
        <v>0</v>
      </c>
      <c r="P1857" t="n">
        <v>0</v>
      </c>
      <c r="Q1857" t="n">
        <v>0</v>
      </c>
      <c r="R1857" s="2" t="inlineStr"/>
    </row>
    <row r="1858" ht="15" customHeight="1">
      <c r="A1858" t="inlineStr">
        <is>
          <t>A 48531-2019</t>
        </is>
      </c>
      <c r="B1858" s="1" t="n">
        <v>43727</v>
      </c>
      <c r="C1858" s="1" t="n">
        <v>45212</v>
      </c>
      <c r="D1858" t="inlineStr">
        <is>
          <t>VÄSTERNORRLANDS LÄN</t>
        </is>
      </c>
      <c r="E1858" t="inlineStr">
        <is>
          <t>ÖRNSKÖLDSVIK</t>
        </is>
      </c>
      <c r="F1858" t="inlineStr">
        <is>
          <t>Holmen skog AB</t>
        </is>
      </c>
      <c r="G1858" t="n">
        <v>8.1</v>
      </c>
      <c r="H1858" t="n">
        <v>0</v>
      </c>
      <c r="I1858" t="n">
        <v>0</v>
      </c>
      <c r="J1858" t="n">
        <v>0</v>
      </c>
      <c r="K1858" t="n">
        <v>0</v>
      </c>
      <c r="L1858" t="n">
        <v>0</v>
      </c>
      <c r="M1858" t="n">
        <v>0</v>
      </c>
      <c r="N1858" t="n">
        <v>0</v>
      </c>
      <c r="O1858" t="n">
        <v>0</v>
      </c>
      <c r="P1858" t="n">
        <v>0</v>
      </c>
      <c r="Q1858" t="n">
        <v>0</v>
      </c>
      <c r="R1858" s="2" t="inlineStr"/>
    </row>
    <row r="1859" ht="15" customHeight="1">
      <c r="A1859" t="inlineStr">
        <is>
          <t>A 49137-2019</t>
        </is>
      </c>
      <c r="B1859" s="1" t="n">
        <v>43727</v>
      </c>
      <c r="C1859" s="1" t="n">
        <v>45212</v>
      </c>
      <c r="D1859" t="inlineStr">
        <is>
          <t>VÄSTERNORRLANDS LÄN</t>
        </is>
      </c>
      <c r="E1859" t="inlineStr">
        <is>
          <t>KRAMFORS</t>
        </is>
      </c>
      <c r="G1859" t="n">
        <v>14.2</v>
      </c>
      <c r="H1859" t="n">
        <v>0</v>
      </c>
      <c r="I1859" t="n">
        <v>0</v>
      </c>
      <c r="J1859" t="n">
        <v>0</v>
      </c>
      <c r="K1859" t="n">
        <v>0</v>
      </c>
      <c r="L1859" t="n">
        <v>0</v>
      </c>
      <c r="M1859" t="n">
        <v>0</v>
      </c>
      <c r="N1859" t="n">
        <v>0</v>
      </c>
      <c r="O1859" t="n">
        <v>0</v>
      </c>
      <c r="P1859" t="n">
        <v>0</v>
      </c>
      <c r="Q1859" t="n">
        <v>0</v>
      </c>
      <c r="R1859" s="2" t="inlineStr"/>
    </row>
    <row r="1860" ht="15" customHeight="1">
      <c r="A1860" t="inlineStr">
        <is>
          <t>A 48855-2019</t>
        </is>
      </c>
      <c r="B1860" s="1" t="n">
        <v>43728</v>
      </c>
      <c r="C1860" s="1" t="n">
        <v>45212</v>
      </c>
      <c r="D1860" t="inlineStr">
        <is>
          <t>VÄSTERNORRLANDS LÄN</t>
        </is>
      </c>
      <c r="E1860" t="inlineStr">
        <is>
          <t>ÖRNSKÖLDSVIK</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48958-2019</t>
        </is>
      </c>
      <c r="B1861" s="1" t="n">
        <v>43728</v>
      </c>
      <c r="C1861" s="1" t="n">
        <v>45212</v>
      </c>
      <c r="D1861" t="inlineStr">
        <is>
          <t>VÄSTERNORRLANDS LÄN</t>
        </is>
      </c>
      <c r="E1861" t="inlineStr">
        <is>
          <t>ÅNGE</t>
        </is>
      </c>
      <c r="F1861" t="inlineStr">
        <is>
          <t>SCA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48964-2019</t>
        </is>
      </c>
      <c r="B1862" s="1" t="n">
        <v>43728</v>
      </c>
      <c r="C1862" s="1" t="n">
        <v>45212</v>
      </c>
      <c r="D1862" t="inlineStr">
        <is>
          <t>VÄSTERNORRLANDS LÄN</t>
        </is>
      </c>
      <c r="E1862" t="inlineStr">
        <is>
          <t>TIMRÅ</t>
        </is>
      </c>
      <c r="G1862" t="n">
        <v>7.8</v>
      </c>
      <c r="H1862" t="n">
        <v>0</v>
      </c>
      <c r="I1862" t="n">
        <v>0</v>
      </c>
      <c r="J1862" t="n">
        <v>0</v>
      </c>
      <c r="K1862" t="n">
        <v>0</v>
      </c>
      <c r="L1862" t="n">
        <v>0</v>
      </c>
      <c r="M1862" t="n">
        <v>0</v>
      </c>
      <c r="N1862" t="n">
        <v>0</v>
      </c>
      <c r="O1862" t="n">
        <v>0</v>
      </c>
      <c r="P1862" t="n">
        <v>0</v>
      </c>
      <c r="Q1862" t="n">
        <v>0</v>
      </c>
      <c r="R1862" s="2" t="inlineStr"/>
    </row>
    <row r="1863" ht="15" customHeight="1">
      <c r="A1863" t="inlineStr">
        <is>
          <t>A 49188-2019</t>
        </is>
      </c>
      <c r="B1863" s="1" t="n">
        <v>43728</v>
      </c>
      <c r="C1863" s="1" t="n">
        <v>45212</v>
      </c>
      <c r="D1863" t="inlineStr">
        <is>
          <t>VÄSTERNORRLANDS LÄN</t>
        </is>
      </c>
      <c r="E1863" t="inlineStr">
        <is>
          <t>KRAMFORS</t>
        </is>
      </c>
      <c r="F1863" t="inlineStr">
        <is>
          <t>Kommuner</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49054-2019</t>
        </is>
      </c>
      <c r="B1864" s="1" t="n">
        <v>43731</v>
      </c>
      <c r="C1864" s="1" t="n">
        <v>45212</v>
      </c>
      <c r="D1864" t="inlineStr">
        <is>
          <t>VÄSTERNORRLANDS LÄN</t>
        </is>
      </c>
      <c r="E1864" t="inlineStr">
        <is>
          <t>ÖRNSKÖLDSVIK</t>
        </is>
      </c>
      <c r="F1864" t="inlineStr">
        <is>
          <t>Holmen skog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49381-2019</t>
        </is>
      </c>
      <c r="B1865" s="1" t="n">
        <v>43731</v>
      </c>
      <c r="C1865" s="1" t="n">
        <v>45212</v>
      </c>
      <c r="D1865" t="inlineStr">
        <is>
          <t>VÄSTERNORRLANDS LÄN</t>
        </is>
      </c>
      <c r="E1865" t="inlineStr">
        <is>
          <t>SOLLEFTEÅ</t>
        </is>
      </c>
      <c r="F1865" t="inlineStr">
        <is>
          <t>SCA</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49380-2019</t>
        </is>
      </c>
      <c r="B1866" s="1" t="n">
        <v>43731</v>
      </c>
      <c r="C1866" s="1" t="n">
        <v>45212</v>
      </c>
      <c r="D1866" t="inlineStr">
        <is>
          <t>VÄSTERNORRLANDS LÄN</t>
        </is>
      </c>
      <c r="E1866" t="inlineStr">
        <is>
          <t>SOLLEFTEÅ</t>
        </is>
      </c>
      <c r="F1866" t="inlineStr">
        <is>
          <t>SCA</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49674-2019</t>
        </is>
      </c>
      <c r="B1867" s="1" t="n">
        <v>43732</v>
      </c>
      <c r="C1867" s="1" t="n">
        <v>45212</v>
      </c>
      <c r="D1867" t="inlineStr">
        <is>
          <t>VÄSTERNORRLANDS LÄN</t>
        </is>
      </c>
      <c r="E1867" t="inlineStr">
        <is>
          <t>SOLLEFTEÅ</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49676-2019</t>
        </is>
      </c>
      <c r="B1868" s="1" t="n">
        <v>43732</v>
      </c>
      <c r="C1868" s="1" t="n">
        <v>45212</v>
      </c>
      <c r="D1868" t="inlineStr">
        <is>
          <t>VÄSTERNORRLANDS LÄN</t>
        </is>
      </c>
      <c r="E1868" t="inlineStr">
        <is>
          <t>SUNDSVALL</t>
        </is>
      </c>
      <c r="F1868" t="inlineStr">
        <is>
          <t>SCA</t>
        </is>
      </c>
      <c r="G1868" t="n">
        <v>13.3</v>
      </c>
      <c r="H1868" t="n">
        <v>0</v>
      </c>
      <c r="I1868" t="n">
        <v>0</v>
      </c>
      <c r="J1868" t="n">
        <v>0</v>
      </c>
      <c r="K1868" t="n">
        <v>0</v>
      </c>
      <c r="L1868" t="n">
        <v>0</v>
      </c>
      <c r="M1868" t="n">
        <v>0</v>
      </c>
      <c r="N1868" t="n">
        <v>0</v>
      </c>
      <c r="O1868" t="n">
        <v>0</v>
      </c>
      <c r="P1868" t="n">
        <v>0</v>
      </c>
      <c r="Q1868" t="n">
        <v>0</v>
      </c>
      <c r="R1868" s="2" t="inlineStr"/>
    </row>
    <row r="1869" ht="15" customHeight="1">
      <c r="A1869" t="inlineStr">
        <is>
          <t>A 51028-2019</t>
        </is>
      </c>
      <c r="B1869" s="1" t="n">
        <v>43732</v>
      </c>
      <c r="C1869" s="1" t="n">
        <v>45212</v>
      </c>
      <c r="D1869" t="inlineStr">
        <is>
          <t>VÄSTERNORRLANDS LÄN</t>
        </is>
      </c>
      <c r="E1869" t="inlineStr">
        <is>
          <t>ÖRNSKÖLDSVIK</t>
        </is>
      </c>
      <c r="G1869" t="n">
        <v>3</v>
      </c>
      <c r="H1869" t="n">
        <v>0</v>
      </c>
      <c r="I1869" t="n">
        <v>0</v>
      </c>
      <c r="J1869" t="n">
        <v>0</v>
      </c>
      <c r="K1869" t="n">
        <v>0</v>
      </c>
      <c r="L1869" t="n">
        <v>0</v>
      </c>
      <c r="M1869" t="n">
        <v>0</v>
      </c>
      <c r="N1869" t="n">
        <v>0</v>
      </c>
      <c r="O1869" t="n">
        <v>0</v>
      </c>
      <c r="P1869" t="n">
        <v>0</v>
      </c>
      <c r="Q1869" t="n">
        <v>0</v>
      </c>
      <c r="R1869" s="2" t="inlineStr"/>
    </row>
    <row r="1870" ht="15" customHeight="1">
      <c r="A1870" t="inlineStr">
        <is>
          <t>A 49490-2019</t>
        </is>
      </c>
      <c r="B1870" s="1" t="n">
        <v>43732</v>
      </c>
      <c r="C1870" s="1" t="n">
        <v>45212</v>
      </c>
      <c r="D1870" t="inlineStr">
        <is>
          <t>VÄSTERNORRLANDS LÄN</t>
        </is>
      </c>
      <c r="E1870" t="inlineStr">
        <is>
          <t>KRAMFORS</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49978-2019</t>
        </is>
      </c>
      <c r="B1871" s="1" t="n">
        <v>43733</v>
      </c>
      <c r="C1871" s="1" t="n">
        <v>45212</v>
      </c>
      <c r="D1871" t="inlineStr">
        <is>
          <t>VÄSTERNORRLANDS LÄN</t>
        </is>
      </c>
      <c r="E1871" t="inlineStr">
        <is>
          <t>SUNDSVALL</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49990-2019</t>
        </is>
      </c>
      <c r="B1872" s="1" t="n">
        <v>43733</v>
      </c>
      <c r="C1872" s="1" t="n">
        <v>45212</v>
      </c>
      <c r="D1872" t="inlineStr">
        <is>
          <t>VÄSTERNORRLANDS LÄN</t>
        </is>
      </c>
      <c r="E1872" t="inlineStr">
        <is>
          <t>SUNDSVALL</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49984-2019</t>
        </is>
      </c>
      <c r="B1873" s="1" t="n">
        <v>43733</v>
      </c>
      <c r="C1873" s="1" t="n">
        <v>45212</v>
      </c>
      <c r="D1873" t="inlineStr">
        <is>
          <t>VÄSTERNORRLANDS LÄN</t>
        </is>
      </c>
      <c r="E1873" t="inlineStr">
        <is>
          <t>SUNDSVALL</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50283-2019</t>
        </is>
      </c>
      <c r="B1874" s="1" t="n">
        <v>43734</v>
      </c>
      <c r="C1874" s="1" t="n">
        <v>45212</v>
      </c>
      <c r="D1874" t="inlineStr">
        <is>
          <t>VÄSTERNORRLANDS LÄN</t>
        </is>
      </c>
      <c r="E1874" t="inlineStr">
        <is>
          <t>SOLLEFTEÅ</t>
        </is>
      </c>
      <c r="F1874" t="inlineStr">
        <is>
          <t>SCA</t>
        </is>
      </c>
      <c r="G1874" t="n">
        <v>10.6</v>
      </c>
      <c r="H1874" t="n">
        <v>0</v>
      </c>
      <c r="I1874" t="n">
        <v>0</v>
      </c>
      <c r="J1874" t="n">
        <v>0</v>
      </c>
      <c r="K1874" t="n">
        <v>0</v>
      </c>
      <c r="L1874" t="n">
        <v>0</v>
      </c>
      <c r="M1874" t="n">
        <v>0</v>
      </c>
      <c r="N1874" t="n">
        <v>0</v>
      </c>
      <c r="O1874" t="n">
        <v>0</v>
      </c>
      <c r="P1874" t="n">
        <v>0</v>
      </c>
      <c r="Q1874" t="n">
        <v>0</v>
      </c>
      <c r="R1874" s="2" t="inlineStr"/>
    </row>
    <row r="1875" ht="15" customHeight="1">
      <c r="A1875" t="inlineStr">
        <is>
          <t>A 51890-2019</t>
        </is>
      </c>
      <c r="B1875" s="1" t="n">
        <v>43734</v>
      </c>
      <c r="C1875" s="1" t="n">
        <v>45212</v>
      </c>
      <c r="D1875" t="inlineStr">
        <is>
          <t>VÄSTERNORRLANDS LÄN</t>
        </is>
      </c>
      <c r="E1875" t="inlineStr">
        <is>
          <t>KRAMFORS</t>
        </is>
      </c>
      <c r="F1875" t="inlineStr">
        <is>
          <t>Kommuner</t>
        </is>
      </c>
      <c r="G1875" t="n">
        <v>6.1</v>
      </c>
      <c r="H1875" t="n">
        <v>0</v>
      </c>
      <c r="I1875" t="n">
        <v>0</v>
      </c>
      <c r="J1875" t="n">
        <v>0</v>
      </c>
      <c r="K1875" t="n">
        <v>0</v>
      </c>
      <c r="L1875" t="n">
        <v>0</v>
      </c>
      <c r="M1875" t="n">
        <v>0</v>
      </c>
      <c r="N1875" t="n">
        <v>0</v>
      </c>
      <c r="O1875" t="n">
        <v>0</v>
      </c>
      <c r="P1875" t="n">
        <v>0</v>
      </c>
      <c r="Q1875" t="n">
        <v>0</v>
      </c>
      <c r="R1875" s="2" t="inlineStr"/>
    </row>
    <row r="1876" ht="15" customHeight="1">
      <c r="A1876" t="inlineStr">
        <is>
          <t>A 50054-2019</t>
        </is>
      </c>
      <c r="B1876" s="1" t="n">
        <v>43734</v>
      </c>
      <c r="C1876" s="1" t="n">
        <v>45212</v>
      </c>
      <c r="D1876" t="inlineStr">
        <is>
          <t>VÄSTERNORRLANDS LÄN</t>
        </is>
      </c>
      <c r="E1876" t="inlineStr">
        <is>
          <t>ÖRNSKÖLDSVIK</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50278-2019</t>
        </is>
      </c>
      <c r="B1877" s="1" t="n">
        <v>43734</v>
      </c>
      <c r="C1877" s="1" t="n">
        <v>45212</v>
      </c>
      <c r="D1877" t="inlineStr">
        <is>
          <t>VÄSTERNORRLANDS LÄN</t>
        </is>
      </c>
      <c r="E1877" t="inlineStr">
        <is>
          <t>ÅNGE</t>
        </is>
      </c>
      <c r="F1877" t="inlineStr">
        <is>
          <t>SCA</t>
        </is>
      </c>
      <c r="G1877" t="n">
        <v>8.5</v>
      </c>
      <c r="H1877" t="n">
        <v>0</v>
      </c>
      <c r="I1877" t="n">
        <v>0</v>
      </c>
      <c r="J1877" t="n">
        <v>0</v>
      </c>
      <c r="K1877" t="n">
        <v>0</v>
      </c>
      <c r="L1877" t="n">
        <v>0</v>
      </c>
      <c r="M1877" t="n">
        <v>0</v>
      </c>
      <c r="N1877" t="n">
        <v>0</v>
      </c>
      <c r="O1877" t="n">
        <v>0</v>
      </c>
      <c r="P1877" t="n">
        <v>0</v>
      </c>
      <c r="Q1877" t="n">
        <v>0</v>
      </c>
      <c r="R1877" s="2" t="inlineStr"/>
    </row>
    <row r="1878" ht="15" customHeight="1">
      <c r="A1878" t="inlineStr">
        <is>
          <t>A 50042-2019</t>
        </is>
      </c>
      <c r="B1878" s="1" t="n">
        <v>43734</v>
      </c>
      <c r="C1878" s="1" t="n">
        <v>45212</v>
      </c>
      <c r="D1878" t="inlineStr">
        <is>
          <t>VÄSTERNORRLANDS LÄN</t>
        </is>
      </c>
      <c r="E1878" t="inlineStr">
        <is>
          <t>ÖRNSKÖLDSVIK</t>
        </is>
      </c>
      <c r="F1878" t="inlineStr">
        <is>
          <t>Holmen skog AB</t>
        </is>
      </c>
      <c r="G1878" t="n">
        <v>6.2</v>
      </c>
      <c r="H1878" t="n">
        <v>0</v>
      </c>
      <c r="I1878" t="n">
        <v>0</v>
      </c>
      <c r="J1878" t="n">
        <v>0</v>
      </c>
      <c r="K1878" t="n">
        <v>0</v>
      </c>
      <c r="L1878" t="n">
        <v>0</v>
      </c>
      <c r="M1878" t="n">
        <v>0</v>
      </c>
      <c r="N1878" t="n">
        <v>0</v>
      </c>
      <c r="O1878" t="n">
        <v>0</v>
      </c>
      <c r="P1878" t="n">
        <v>0</v>
      </c>
      <c r="Q1878" t="n">
        <v>0</v>
      </c>
      <c r="R1878" s="2" t="inlineStr"/>
    </row>
    <row r="1879" ht="15" customHeight="1">
      <c r="A1879" t="inlineStr">
        <is>
          <t>A 50068-2019</t>
        </is>
      </c>
      <c r="B1879" s="1" t="n">
        <v>43734</v>
      </c>
      <c r="C1879" s="1" t="n">
        <v>45212</v>
      </c>
      <c r="D1879" t="inlineStr">
        <is>
          <t>VÄSTERNORRLANDS LÄN</t>
        </is>
      </c>
      <c r="E1879" t="inlineStr">
        <is>
          <t>ÖRNSKÖLDSVIK</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50118-2019</t>
        </is>
      </c>
      <c r="B1880" s="1" t="n">
        <v>43734</v>
      </c>
      <c r="C1880" s="1" t="n">
        <v>45212</v>
      </c>
      <c r="D1880" t="inlineStr">
        <is>
          <t>VÄSTERNORRLANDS LÄN</t>
        </is>
      </c>
      <c r="E1880" t="inlineStr">
        <is>
          <t>SUNDSVALL</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50280-2019</t>
        </is>
      </c>
      <c r="B1881" s="1" t="n">
        <v>43734</v>
      </c>
      <c r="C1881" s="1" t="n">
        <v>45212</v>
      </c>
      <c r="D1881" t="inlineStr">
        <is>
          <t>VÄSTERNORRLANDS LÄN</t>
        </is>
      </c>
      <c r="E1881" t="inlineStr">
        <is>
          <t>ÅNGE</t>
        </is>
      </c>
      <c r="F1881" t="inlineStr">
        <is>
          <t>SCA</t>
        </is>
      </c>
      <c r="G1881" t="n">
        <v>7.7</v>
      </c>
      <c r="H1881" t="n">
        <v>0</v>
      </c>
      <c r="I1881" t="n">
        <v>0</v>
      </c>
      <c r="J1881" t="n">
        <v>0</v>
      </c>
      <c r="K1881" t="n">
        <v>0</v>
      </c>
      <c r="L1881" t="n">
        <v>0</v>
      </c>
      <c r="M1881" t="n">
        <v>0</v>
      </c>
      <c r="N1881" t="n">
        <v>0</v>
      </c>
      <c r="O1881" t="n">
        <v>0</v>
      </c>
      <c r="P1881" t="n">
        <v>0</v>
      </c>
      <c r="Q1881" t="n">
        <v>0</v>
      </c>
      <c r="R1881" s="2" t="inlineStr"/>
    </row>
    <row r="1882" ht="15" customHeight="1">
      <c r="A1882" t="inlineStr">
        <is>
          <t>A 50605-2019</t>
        </is>
      </c>
      <c r="B1882" s="1" t="n">
        <v>43735</v>
      </c>
      <c r="C1882" s="1" t="n">
        <v>45212</v>
      </c>
      <c r="D1882" t="inlineStr">
        <is>
          <t>VÄSTERNORRLANDS LÄN</t>
        </is>
      </c>
      <c r="E1882" t="inlineStr">
        <is>
          <t>SUNDSVALL</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50352-2019</t>
        </is>
      </c>
      <c r="B1883" s="1" t="n">
        <v>43735</v>
      </c>
      <c r="C1883" s="1" t="n">
        <v>45212</v>
      </c>
      <c r="D1883" t="inlineStr">
        <is>
          <t>VÄSTERNORRLANDS LÄN</t>
        </is>
      </c>
      <c r="E1883" t="inlineStr">
        <is>
          <t>ÅNGE</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50513-2019</t>
        </is>
      </c>
      <c r="B1884" s="1" t="n">
        <v>43735</v>
      </c>
      <c r="C1884" s="1" t="n">
        <v>45212</v>
      </c>
      <c r="D1884" t="inlineStr">
        <is>
          <t>VÄSTERNORRLANDS LÄN</t>
        </is>
      </c>
      <c r="E1884" t="inlineStr">
        <is>
          <t>SOLLEFTEÅ</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50530-2019</t>
        </is>
      </c>
      <c r="B1885" s="1" t="n">
        <v>43735</v>
      </c>
      <c r="C1885" s="1" t="n">
        <v>45212</v>
      </c>
      <c r="D1885" t="inlineStr">
        <is>
          <t>VÄSTERNORRLANDS LÄN</t>
        </is>
      </c>
      <c r="E1885" t="inlineStr">
        <is>
          <t>SUNDSVALL</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50552-2019</t>
        </is>
      </c>
      <c r="B1886" s="1" t="n">
        <v>43735</v>
      </c>
      <c r="C1886" s="1" t="n">
        <v>45212</v>
      </c>
      <c r="D1886" t="inlineStr">
        <is>
          <t>VÄSTERNORRLANDS LÄN</t>
        </is>
      </c>
      <c r="E1886" t="inlineStr">
        <is>
          <t>ÖRNSKÖLDSVIK</t>
        </is>
      </c>
      <c r="F1886" t="inlineStr">
        <is>
          <t>Holmen skog AB</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50604-2019</t>
        </is>
      </c>
      <c r="B1887" s="1" t="n">
        <v>43735</v>
      </c>
      <c r="C1887" s="1" t="n">
        <v>45212</v>
      </c>
      <c r="D1887" t="inlineStr">
        <is>
          <t>VÄSTERNORRLANDS LÄN</t>
        </is>
      </c>
      <c r="E1887" t="inlineStr">
        <is>
          <t>TIMRÅ</t>
        </is>
      </c>
      <c r="G1887" t="n">
        <v>7.7</v>
      </c>
      <c r="H1887" t="n">
        <v>0</v>
      </c>
      <c r="I1887" t="n">
        <v>0</v>
      </c>
      <c r="J1887" t="n">
        <v>0</v>
      </c>
      <c r="K1887" t="n">
        <v>0</v>
      </c>
      <c r="L1887" t="n">
        <v>0</v>
      </c>
      <c r="M1887" t="n">
        <v>0</v>
      </c>
      <c r="N1887" t="n">
        <v>0</v>
      </c>
      <c r="O1887" t="n">
        <v>0</v>
      </c>
      <c r="P1887" t="n">
        <v>0</v>
      </c>
      <c r="Q1887" t="n">
        <v>0</v>
      </c>
      <c r="R1887" s="2" t="inlineStr"/>
    </row>
    <row r="1888" ht="15" customHeight="1">
      <c r="A1888" t="inlineStr">
        <is>
          <t>A 50555-2019</t>
        </is>
      </c>
      <c r="B1888" s="1" t="n">
        <v>43735</v>
      </c>
      <c r="C1888" s="1" t="n">
        <v>45212</v>
      </c>
      <c r="D1888" t="inlineStr">
        <is>
          <t>VÄSTERNORRLANDS LÄN</t>
        </is>
      </c>
      <c r="E1888" t="inlineStr">
        <is>
          <t>ÖRNSKÖLDSVIK</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50668-2019</t>
        </is>
      </c>
      <c r="B1889" s="1" t="n">
        <v>43737</v>
      </c>
      <c r="C1889" s="1" t="n">
        <v>45212</v>
      </c>
      <c r="D1889" t="inlineStr">
        <is>
          <t>VÄSTERNORRLANDS LÄN</t>
        </is>
      </c>
      <c r="E1889" t="inlineStr">
        <is>
          <t>SOLLEFTEÅ</t>
        </is>
      </c>
      <c r="F1889" t="inlineStr">
        <is>
          <t>SCA</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50999-2019</t>
        </is>
      </c>
      <c r="B1890" s="1" t="n">
        <v>43738</v>
      </c>
      <c r="C1890" s="1" t="n">
        <v>45212</v>
      </c>
      <c r="D1890" t="inlineStr">
        <is>
          <t>VÄSTERNORRLANDS LÄN</t>
        </is>
      </c>
      <c r="E1890" t="inlineStr">
        <is>
          <t>SOLLEFTEÅ</t>
        </is>
      </c>
      <c r="F1890" t="inlineStr">
        <is>
          <t>SCA</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51072-2019</t>
        </is>
      </c>
      <c r="B1891" s="1" t="n">
        <v>43738</v>
      </c>
      <c r="C1891" s="1" t="n">
        <v>45212</v>
      </c>
      <c r="D1891" t="inlineStr">
        <is>
          <t>VÄSTERNORRLANDS LÄN</t>
        </is>
      </c>
      <c r="E1891" t="inlineStr">
        <is>
          <t>SUNDSVALL</t>
        </is>
      </c>
      <c r="F1891" t="inlineStr">
        <is>
          <t>Kommuner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50965-2019</t>
        </is>
      </c>
      <c r="B1892" s="1" t="n">
        <v>43738</v>
      </c>
      <c r="C1892" s="1" t="n">
        <v>45212</v>
      </c>
      <c r="D1892" t="inlineStr">
        <is>
          <t>VÄSTERNORRLANDS LÄN</t>
        </is>
      </c>
      <c r="E1892" t="inlineStr">
        <is>
          <t>SUNDSVALL</t>
        </is>
      </c>
      <c r="G1892" t="n">
        <v>7.8</v>
      </c>
      <c r="H1892" t="n">
        <v>0</v>
      </c>
      <c r="I1892" t="n">
        <v>0</v>
      </c>
      <c r="J1892" t="n">
        <v>0</v>
      </c>
      <c r="K1892" t="n">
        <v>0</v>
      </c>
      <c r="L1892" t="n">
        <v>0</v>
      </c>
      <c r="M1892" t="n">
        <v>0</v>
      </c>
      <c r="N1892" t="n">
        <v>0</v>
      </c>
      <c r="O1892" t="n">
        <v>0</v>
      </c>
      <c r="P1892" t="n">
        <v>0</v>
      </c>
      <c r="Q1892" t="n">
        <v>0</v>
      </c>
      <c r="R1892" s="2" t="inlineStr"/>
    </row>
    <row r="1893" ht="15" customHeight="1">
      <c r="A1893" t="inlineStr">
        <is>
          <t>A 50997-2019</t>
        </is>
      </c>
      <c r="B1893" s="1" t="n">
        <v>43738</v>
      </c>
      <c r="C1893" s="1" t="n">
        <v>45212</v>
      </c>
      <c r="D1893" t="inlineStr">
        <is>
          <t>VÄSTERNORRLANDS LÄN</t>
        </is>
      </c>
      <c r="E1893" t="inlineStr">
        <is>
          <t>ÅNGE</t>
        </is>
      </c>
      <c r="F1893" t="inlineStr">
        <is>
          <t>SCA</t>
        </is>
      </c>
      <c r="G1893" t="n">
        <v>9.699999999999999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50992-2019</t>
        </is>
      </c>
      <c r="B1894" s="1" t="n">
        <v>43738</v>
      </c>
      <c r="C1894" s="1" t="n">
        <v>45212</v>
      </c>
      <c r="D1894" t="inlineStr">
        <is>
          <t>VÄSTERNORRLANDS LÄN</t>
        </is>
      </c>
      <c r="E1894" t="inlineStr">
        <is>
          <t>SUNDSVALL</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52505-2019</t>
        </is>
      </c>
      <c r="B1895" s="1" t="n">
        <v>43738</v>
      </c>
      <c r="C1895" s="1" t="n">
        <v>45212</v>
      </c>
      <c r="D1895" t="inlineStr">
        <is>
          <t>VÄSTERNORRLANDS LÄN</t>
        </is>
      </c>
      <c r="E1895" t="inlineStr">
        <is>
          <t>ÅNGE</t>
        </is>
      </c>
      <c r="G1895" t="n">
        <v>8.300000000000001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50742-2019</t>
        </is>
      </c>
      <c r="B1896" s="1" t="n">
        <v>43738</v>
      </c>
      <c r="C1896" s="1" t="n">
        <v>45212</v>
      </c>
      <c r="D1896" t="inlineStr">
        <is>
          <t>VÄSTERNORRLANDS LÄN</t>
        </is>
      </c>
      <c r="E1896" t="inlineStr">
        <is>
          <t>ÖRNSKÖLDSVIK</t>
        </is>
      </c>
      <c r="F1896" t="inlineStr">
        <is>
          <t>Holmen skog AB</t>
        </is>
      </c>
      <c r="G1896" t="n">
        <v>6.7</v>
      </c>
      <c r="H1896" t="n">
        <v>0</v>
      </c>
      <c r="I1896" t="n">
        <v>0</v>
      </c>
      <c r="J1896" t="n">
        <v>0</v>
      </c>
      <c r="K1896" t="n">
        <v>0</v>
      </c>
      <c r="L1896" t="n">
        <v>0</v>
      </c>
      <c r="M1896" t="n">
        <v>0</v>
      </c>
      <c r="N1896" t="n">
        <v>0</v>
      </c>
      <c r="O1896" t="n">
        <v>0</v>
      </c>
      <c r="P1896" t="n">
        <v>0</v>
      </c>
      <c r="Q1896" t="n">
        <v>0</v>
      </c>
      <c r="R1896" s="2" t="inlineStr"/>
    </row>
    <row r="1897" ht="15" customHeight="1">
      <c r="A1897" t="inlineStr">
        <is>
          <t>A 51002-2019</t>
        </is>
      </c>
      <c r="B1897" s="1" t="n">
        <v>43738</v>
      </c>
      <c r="C1897" s="1" t="n">
        <v>45212</v>
      </c>
      <c r="D1897" t="inlineStr">
        <is>
          <t>VÄSTERNORRLANDS LÄN</t>
        </is>
      </c>
      <c r="E1897" t="inlineStr">
        <is>
          <t>SOLLEFTEÅ</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51035-2019</t>
        </is>
      </c>
      <c r="B1898" s="1" t="n">
        <v>43739</v>
      </c>
      <c r="C1898" s="1" t="n">
        <v>45212</v>
      </c>
      <c r="D1898" t="inlineStr">
        <is>
          <t>VÄSTERNORRLANDS LÄN</t>
        </is>
      </c>
      <c r="E1898" t="inlineStr">
        <is>
          <t>KRAMFORS</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51305-2019</t>
        </is>
      </c>
      <c r="B1899" s="1" t="n">
        <v>43739</v>
      </c>
      <c r="C1899" s="1" t="n">
        <v>45212</v>
      </c>
      <c r="D1899" t="inlineStr">
        <is>
          <t>VÄSTERNORRLANDS LÄN</t>
        </is>
      </c>
      <c r="E1899" t="inlineStr">
        <is>
          <t>KRAMFORS</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51321-2019</t>
        </is>
      </c>
      <c r="B1900" s="1" t="n">
        <v>43739</v>
      </c>
      <c r="C1900" s="1" t="n">
        <v>45212</v>
      </c>
      <c r="D1900" t="inlineStr">
        <is>
          <t>VÄSTERNORRLANDS LÄN</t>
        </is>
      </c>
      <c r="E1900" t="inlineStr">
        <is>
          <t>ÅNGE</t>
        </is>
      </c>
      <c r="G1900" t="n">
        <v>9.4</v>
      </c>
      <c r="H1900" t="n">
        <v>0</v>
      </c>
      <c r="I1900" t="n">
        <v>0</v>
      </c>
      <c r="J1900" t="n">
        <v>0</v>
      </c>
      <c r="K1900" t="n">
        <v>0</v>
      </c>
      <c r="L1900" t="n">
        <v>0</v>
      </c>
      <c r="M1900" t="n">
        <v>0</v>
      </c>
      <c r="N1900" t="n">
        <v>0</v>
      </c>
      <c r="O1900" t="n">
        <v>0</v>
      </c>
      <c r="P1900" t="n">
        <v>0</v>
      </c>
      <c r="Q1900" t="n">
        <v>0</v>
      </c>
      <c r="R1900" s="2" t="inlineStr"/>
    </row>
    <row r="1901" ht="15" customHeight="1">
      <c r="A1901" t="inlineStr">
        <is>
          <t>A 52869-2019</t>
        </is>
      </c>
      <c r="B1901" s="1" t="n">
        <v>43739</v>
      </c>
      <c r="C1901" s="1" t="n">
        <v>45212</v>
      </c>
      <c r="D1901" t="inlineStr">
        <is>
          <t>VÄSTERNORRLANDS LÄN</t>
        </is>
      </c>
      <c r="E1901" t="inlineStr">
        <is>
          <t>TIMRÅ</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51053-2019</t>
        </is>
      </c>
      <c r="B1902" s="1" t="n">
        <v>43739</v>
      </c>
      <c r="C1902" s="1" t="n">
        <v>45212</v>
      </c>
      <c r="D1902" t="inlineStr">
        <is>
          <t>VÄSTERNORRLANDS LÄN</t>
        </is>
      </c>
      <c r="E1902" t="inlineStr">
        <is>
          <t>ÖRNSKÖLDSVIK</t>
        </is>
      </c>
      <c r="G1902" t="n">
        <v>6.9</v>
      </c>
      <c r="H1902" t="n">
        <v>0</v>
      </c>
      <c r="I1902" t="n">
        <v>0</v>
      </c>
      <c r="J1902" t="n">
        <v>0</v>
      </c>
      <c r="K1902" t="n">
        <v>0</v>
      </c>
      <c r="L1902" t="n">
        <v>0</v>
      </c>
      <c r="M1902" t="n">
        <v>0</v>
      </c>
      <c r="N1902" t="n">
        <v>0</v>
      </c>
      <c r="O1902" t="n">
        <v>0</v>
      </c>
      <c r="P1902" t="n">
        <v>0</v>
      </c>
      <c r="Q1902" t="n">
        <v>0</v>
      </c>
      <c r="R1902" s="2" t="inlineStr"/>
    </row>
    <row r="1903" ht="15" customHeight="1">
      <c r="A1903" t="inlineStr">
        <is>
          <t>A 51297-2019</t>
        </is>
      </c>
      <c r="B1903" s="1" t="n">
        <v>43739</v>
      </c>
      <c r="C1903" s="1" t="n">
        <v>45212</v>
      </c>
      <c r="D1903" t="inlineStr">
        <is>
          <t>VÄSTERNORRLANDS LÄN</t>
        </is>
      </c>
      <c r="E1903" t="inlineStr">
        <is>
          <t>TIMRÅ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51322-2019</t>
        </is>
      </c>
      <c r="B1904" s="1" t="n">
        <v>43739</v>
      </c>
      <c r="C1904" s="1" t="n">
        <v>45212</v>
      </c>
      <c r="D1904" t="inlineStr">
        <is>
          <t>VÄSTERNORRLANDS LÄN</t>
        </is>
      </c>
      <c r="E1904" t="inlineStr">
        <is>
          <t>SUNDSVALL</t>
        </is>
      </c>
      <c r="F1904" t="inlineStr">
        <is>
          <t>SCA</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51057-2019</t>
        </is>
      </c>
      <c r="B1905" s="1" t="n">
        <v>43739</v>
      </c>
      <c r="C1905" s="1" t="n">
        <v>45212</v>
      </c>
      <c r="D1905" t="inlineStr">
        <is>
          <t>VÄSTERNORRLANDS LÄN</t>
        </is>
      </c>
      <c r="E1905" t="inlineStr">
        <is>
          <t>KRAMFORS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51064-2019</t>
        </is>
      </c>
      <c r="B1906" s="1" t="n">
        <v>43739</v>
      </c>
      <c r="C1906" s="1" t="n">
        <v>45212</v>
      </c>
      <c r="D1906" t="inlineStr">
        <is>
          <t>VÄSTERNORRLANDS LÄN</t>
        </is>
      </c>
      <c r="E1906" t="inlineStr">
        <is>
          <t>ÖRNSKÖLDSVIK</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51671-2019</t>
        </is>
      </c>
      <c r="B1907" s="1" t="n">
        <v>43740</v>
      </c>
      <c r="C1907" s="1" t="n">
        <v>45212</v>
      </c>
      <c r="D1907" t="inlineStr">
        <is>
          <t>VÄSTERNORRLANDS LÄN</t>
        </is>
      </c>
      <c r="E1907" t="inlineStr">
        <is>
          <t>SOLLEFTEÅ</t>
        </is>
      </c>
      <c r="F1907" t="inlineStr">
        <is>
          <t>SCA</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53076-2019</t>
        </is>
      </c>
      <c r="B1908" s="1" t="n">
        <v>43740</v>
      </c>
      <c r="C1908" s="1" t="n">
        <v>45212</v>
      </c>
      <c r="D1908" t="inlineStr">
        <is>
          <t>VÄSTERNORRLANDS LÄN</t>
        </is>
      </c>
      <c r="E1908" t="inlineStr">
        <is>
          <t>SOLLEFTEÅ</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51565-2019</t>
        </is>
      </c>
      <c r="B1909" s="1" t="n">
        <v>43740</v>
      </c>
      <c r="C1909" s="1" t="n">
        <v>45212</v>
      </c>
      <c r="D1909" t="inlineStr">
        <is>
          <t>VÄSTERNORRLANDS LÄN</t>
        </is>
      </c>
      <c r="E1909" t="inlineStr">
        <is>
          <t>ÖRNSKÖLDSVIK</t>
        </is>
      </c>
      <c r="F1909" t="inlineStr">
        <is>
          <t>Holmen skog AB</t>
        </is>
      </c>
      <c r="G1909" t="n">
        <v>13.5</v>
      </c>
      <c r="H1909" t="n">
        <v>0</v>
      </c>
      <c r="I1909" t="n">
        <v>0</v>
      </c>
      <c r="J1909" t="n">
        <v>0</v>
      </c>
      <c r="K1909" t="n">
        <v>0</v>
      </c>
      <c r="L1909" t="n">
        <v>0</v>
      </c>
      <c r="M1909" t="n">
        <v>0</v>
      </c>
      <c r="N1909" t="n">
        <v>0</v>
      </c>
      <c r="O1909" t="n">
        <v>0</v>
      </c>
      <c r="P1909" t="n">
        <v>0</v>
      </c>
      <c r="Q1909" t="n">
        <v>0</v>
      </c>
      <c r="R1909" s="2" t="inlineStr"/>
    </row>
    <row r="1910" ht="15" customHeight="1">
      <c r="A1910" t="inlineStr">
        <is>
          <t>A 51665-2019</t>
        </is>
      </c>
      <c r="B1910" s="1" t="n">
        <v>43740</v>
      </c>
      <c r="C1910" s="1" t="n">
        <v>45212</v>
      </c>
      <c r="D1910" t="inlineStr">
        <is>
          <t>VÄSTERNORRLANDS LÄN</t>
        </is>
      </c>
      <c r="E1910" t="inlineStr">
        <is>
          <t>SOLLEFTEÅ</t>
        </is>
      </c>
      <c r="F1910" t="inlineStr">
        <is>
          <t>SCA</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51674-2019</t>
        </is>
      </c>
      <c r="B1911" s="1" t="n">
        <v>43740</v>
      </c>
      <c r="C1911" s="1" t="n">
        <v>45212</v>
      </c>
      <c r="D1911" t="inlineStr">
        <is>
          <t>VÄSTERNORRLANDS LÄN</t>
        </is>
      </c>
      <c r="E1911" t="inlineStr">
        <is>
          <t>SOLLEFTEÅ</t>
        </is>
      </c>
      <c r="F1911" t="inlineStr">
        <is>
          <t>SCA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51685-2019</t>
        </is>
      </c>
      <c r="B1912" s="1" t="n">
        <v>43740</v>
      </c>
      <c r="C1912" s="1" t="n">
        <v>45212</v>
      </c>
      <c r="D1912" t="inlineStr">
        <is>
          <t>VÄSTERNORRLANDS LÄN</t>
        </is>
      </c>
      <c r="E1912" t="inlineStr">
        <is>
          <t>SUNDSVALL</t>
        </is>
      </c>
      <c r="G1912" t="n">
        <v>8.6</v>
      </c>
      <c r="H1912" t="n">
        <v>0</v>
      </c>
      <c r="I1912" t="n">
        <v>0</v>
      </c>
      <c r="J1912" t="n">
        <v>0</v>
      </c>
      <c r="K1912" t="n">
        <v>0</v>
      </c>
      <c r="L1912" t="n">
        <v>0</v>
      </c>
      <c r="M1912" t="n">
        <v>0</v>
      </c>
      <c r="N1912" t="n">
        <v>0</v>
      </c>
      <c r="O1912" t="n">
        <v>0</v>
      </c>
      <c r="P1912" t="n">
        <v>0</v>
      </c>
      <c r="Q1912" t="n">
        <v>0</v>
      </c>
      <c r="R1912" s="2" t="inlineStr"/>
    </row>
    <row r="1913" ht="15" customHeight="1">
      <c r="A1913" t="inlineStr">
        <is>
          <t>A 51675-2019</t>
        </is>
      </c>
      <c r="B1913" s="1" t="n">
        <v>43740</v>
      </c>
      <c r="C1913" s="1" t="n">
        <v>45212</v>
      </c>
      <c r="D1913" t="inlineStr">
        <is>
          <t>VÄSTERNORRLANDS LÄN</t>
        </is>
      </c>
      <c r="E1913" t="inlineStr">
        <is>
          <t>SOLLEFTEÅ</t>
        </is>
      </c>
      <c r="F1913" t="inlineStr">
        <is>
          <t>SCA</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53088-2019</t>
        </is>
      </c>
      <c r="B1914" s="1" t="n">
        <v>43740</v>
      </c>
      <c r="C1914" s="1" t="n">
        <v>45212</v>
      </c>
      <c r="D1914" t="inlineStr">
        <is>
          <t>VÄSTERNORRLANDS LÄN</t>
        </is>
      </c>
      <c r="E1914" t="inlineStr">
        <is>
          <t>SOLLEFTEÅ</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51662-2019</t>
        </is>
      </c>
      <c r="B1915" s="1" t="n">
        <v>43740</v>
      </c>
      <c r="C1915" s="1" t="n">
        <v>45212</v>
      </c>
      <c r="D1915" t="inlineStr">
        <is>
          <t>VÄSTERNORRLANDS LÄN</t>
        </is>
      </c>
      <c r="E1915" t="inlineStr">
        <is>
          <t>HÄRNÖSAND</t>
        </is>
      </c>
      <c r="G1915" t="n">
        <v>5.2</v>
      </c>
      <c r="H1915" t="n">
        <v>0</v>
      </c>
      <c r="I1915" t="n">
        <v>0</v>
      </c>
      <c r="J1915" t="n">
        <v>0</v>
      </c>
      <c r="K1915" t="n">
        <v>0</v>
      </c>
      <c r="L1915" t="n">
        <v>0</v>
      </c>
      <c r="M1915" t="n">
        <v>0</v>
      </c>
      <c r="N1915" t="n">
        <v>0</v>
      </c>
      <c r="O1915" t="n">
        <v>0</v>
      </c>
      <c r="P1915" t="n">
        <v>0</v>
      </c>
      <c r="Q1915" t="n">
        <v>0</v>
      </c>
      <c r="R1915" s="2" t="inlineStr"/>
    </row>
    <row r="1916" ht="15" customHeight="1">
      <c r="A1916" t="inlineStr">
        <is>
          <t>A 51673-2019</t>
        </is>
      </c>
      <c r="B1916" s="1" t="n">
        <v>43740</v>
      </c>
      <c r="C1916" s="1" t="n">
        <v>45212</v>
      </c>
      <c r="D1916" t="inlineStr">
        <is>
          <t>VÄSTERNORRLANDS LÄN</t>
        </is>
      </c>
      <c r="E1916" t="inlineStr">
        <is>
          <t>SOLLEFTEÅ</t>
        </is>
      </c>
      <c r="F1916" t="inlineStr">
        <is>
          <t>SCA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51682-2019</t>
        </is>
      </c>
      <c r="B1917" s="1" t="n">
        <v>43740</v>
      </c>
      <c r="C1917" s="1" t="n">
        <v>45212</v>
      </c>
      <c r="D1917" t="inlineStr">
        <is>
          <t>VÄSTERNORRLANDS LÄN</t>
        </is>
      </c>
      <c r="E1917" t="inlineStr">
        <is>
          <t>SOLLEFTEÅ</t>
        </is>
      </c>
      <c r="F1917" t="inlineStr">
        <is>
          <t>SCA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53079-2019</t>
        </is>
      </c>
      <c r="B1918" s="1" t="n">
        <v>43740</v>
      </c>
      <c r="C1918" s="1" t="n">
        <v>45212</v>
      </c>
      <c r="D1918" t="inlineStr">
        <is>
          <t>VÄSTERNORRLANDS LÄN</t>
        </is>
      </c>
      <c r="E1918" t="inlineStr">
        <is>
          <t>SOLLEFTEÅ</t>
        </is>
      </c>
      <c r="G1918" t="n">
        <v>7.9</v>
      </c>
      <c r="H1918" t="n">
        <v>0</v>
      </c>
      <c r="I1918" t="n">
        <v>0</v>
      </c>
      <c r="J1918" t="n">
        <v>0</v>
      </c>
      <c r="K1918" t="n">
        <v>0</v>
      </c>
      <c r="L1918" t="n">
        <v>0</v>
      </c>
      <c r="M1918" t="n">
        <v>0</v>
      </c>
      <c r="N1918" t="n">
        <v>0</v>
      </c>
      <c r="O1918" t="n">
        <v>0</v>
      </c>
      <c r="P1918" t="n">
        <v>0</v>
      </c>
      <c r="Q1918" t="n">
        <v>0</v>
      </c>
      <c r="R1918" s="2" t="inlineStr"/>
    </row>
    <row r="1919" ht="15" customHeight="1">
      <c r="A1919" t="inlineStr">
        <is>
          <t>A 53390-2019</t>
        </is>
      </c>
      <c r="B1919" s="1" t="n">
        <v>43740</v>
      </c>
      <c r="C1919" s="1" t="n">
        <v>45212</v>
      </c>
      <c r="D1919" t="inlineStr">
        <is>
          <t>VÄSTERNORRLANDS LÄN</t>
        </is>
      </c>
      <c r="E1919" t="inlineStr">
        <is>
          <t>ÖRNSKÖLDSVIK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51947-2019</t>
        </is>
      </c>
      <c r="B1920" s="1" t="n">
        <v>43741</v>
      </c>
      <c r="C1920" s="1" t="n">
        <v>45212</v>
      </c>
      <c r="D1920" t="inlineStr">
        <is>
          <t>VÄSTERNORRLANDS LÄN</t>
        </is>
      </c>
      <c r="E1920" t="inlineStr">
        <is>
          <t>ÅNGE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53677-2019</t>
        </is>
      </c>
      <c r="B1921" s="1" t="n">
        <v>43741</v>
      </c>
      <c r="C1921" s="1" t="n">
        <v>45212</v>
      </c>
      <c r="D1921" t="inlineStr">
        <is>
          <t>VÄSTERNORRLANDS LÄN</t>
        </is>
      </c>
      <c r="E1921" t="inlineStr">
        <is>
          <t>SOLLEFTEÅ</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51952-2019</t>
        </is>
      </c>
      <c r="B1922" s="1" t="n">
        <v>43741</v>
      </c>
      <c r="C1922" s="1" t="n">
        <v>45212</v>
      </c>
      <c r="D1922" t="inlineStr">
        <is>
          <t>VÄSTERNORRLANDS LÄN</t>
        </is>
      </c>
      <c r="E1922" t="inlineStr">
        <is>
          <t>SOLLEFTEÅ</t>
        </is>
      </c>
      <c r="F1922" t="inlineStr">
        <is>
          <t>SCA</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51907-2019</t>
        </is>
      </c>
      <c r="B1923" s="1" t="n">
        <v>43741</v>
      </c>
      <c r="C1923" s="1" t="n">
        <v>45212</v>
      </c>
      <c r="D1923" t="inlineStr">
        <is>
          <t>VÄSTERNORRLANDS LÄN</t>
        </is>
      </c>
      <c r="E1923" t="inlineStr">
        <is>
          <t>TIMRÅ</t>
        </is>
      </c>
      <c r="G1923" t="n">
        <v>9.699999999999999</v>
      </c>
      <c r="H1923" t="n">
        <v>0</v>
      </c>
      <c r="I1923" t="n">
        <v>0</v>
      </c>
      <c r="J1923" t="n">
        <v>0</v>
      </c>
      <c r="K1923" t="n">
        <v>0</v>
      </c>
      <c r="L1923" t="n">
        <v>0</v>
      </c>
      <c r="M1923" t="n">
        <v>0</v>
      </c>
      <c r="N1923" t="n">
        <v>0</v>
      </c>
      <c r="O1923" t="n">
        <v>0</v>
      </c>
      <c r="P1923" t="n">
        <v>0</v>
      </c>
      <c r="Q1923" t="n">
        <v>0</v>
      </c>
      <c r="R1923" s="2" t="inlineStr"/>
    </row>
    <row r="1924" ht="15" customHeight="1">
      <c r="A1924" t="inlineStr">
        <is>
          <t>A 51946-2019</t>
        </is>
      </c>
      <c r="B1924" s="1" t="n">
        <v>43741</v>
      </c>
      <c r="C1924" s="1" t="n">
        <v>45212</v>
      </c>
      <c r="D1924" t="inlineStr">
        <is>
          <t>VÄSTERNORRLANDS LÄN</t>
        </is>
      </c>
      <c r="E1924" t="inlineStr">
        <is>
          <t>ÅNGE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51953-2019</t>
        </is>
      </c>
      <c r="B1925" s="1" t="n">
        <v>43741</v>
      </c>
      <c r="C1925" s="1" t="n">
        <v>45212</v>
      </c>
      <c r="D1925" t="inlineStr">
        <is>
          <t>VÄSTERNORRLANDS LÄN</t>
        </is>
      </c>
      <c r="E1925" t="inlineStr">
        <is>
          <t>SOLLEFTEÅ</t>
        </is>
      </c>
      <c r="F1925" t="inlineStr">
        <is>
          <t>SCA</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52041-2019</t>
        </is>
      </c>
      <c r="B1926" s="1" t="n">
        <v>43742</v>
      </c>
      <c r="C1926" s="1" t="n">
        <v>45212</v>
      </c>
      <c r="D1926" t="inlineStr">
        <is>
          <t>VÄSTERNORRLANDS LÄN</t>
        </is>
      </c>
      <c r="E1926" t="inlineStr">
        <is>
          <t>HÄRNÖSAND</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53935-2019</t>
        </is>
      </c>
      <c r="B1927" s="1" t="n">
        <v>43742</v>
      </c>
      <c r="C1927" s="1" t="n">
        <v>45212</v>
      </c>
      <c r="D1927" t="inlineStr">
        <is>
          <t>VÄSTERNORRLANDS LÄN</t>
        </is>
      </c>
      <c r="E1927" t="inlineStr">
        <is>
          <t>ÖRNSKÖLDSVIK</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54067-2019</t>
        </is>
      </c>
      <c r="B1928" s="1" t="n">
        <v>43742</v>
      </c>
      <c r="C1928" s="1" t="n">
        <v>45212</v>
      </c>
      <c r="D1928" t="inlineStr">
        <is>
          <t>VÄSTERNORRLANDS LÄN</t>
        </is>
      </c>
      <c r="E1928" t="inlineStr">
        <is>
          <t>ÖRNSKÖLDSVIK</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52171-2019</t>
        </is>
      </c>
      <c r="B1929" s="1" t="n">
        <v>43742</v>
      </c>
      <c r="C1929" s="1" t="n">
        <v>45212</v>
      </c>
      <c r="D1929" t="inlineStr">
        <is>
          <t>VÄSTERNORRLANDS LÄN</t>
        </is>
      </c>
      <c r="E1929" t="inlineStr">
        <is>
          <t>ÅNGE</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54065-2019</t>
        </is>
      </c>
      <c r="B1930" s="1" t="n">
        <v>43742</v>
      </c>
      <c r="C1930" s="1" t="n">
        <v>45212</v>
      </c>
      <c r="D1930" t="inlineStr">
        <is>
          <t>VÄSTERNORRLANDS LÄN</t>
        </is>
      </c>
      <c r="E1930" t="inlineStr">
        <is>
          <t>ÖRNSKÖLDSVIK</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52278-2019</t>
        </is>
      </c>
      <c r="B1931" s="1" t="n">
        <v>43744</v>
      </c>
      <c r="C1931" s="1" t="n">
        <v>45212</v>
      </c>
      <c r="D1931" t="inlineStr">
        <is>
          <t>VÄSTERNORRLANDS LÄN</t>
        </is>
      </c>
      <c r="E1931" t="inlineStr">
        <is>
          <t>ÖRNSKÖLDSVIK</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52576-2019</t>
        </is>
      </c>
      <c r="B1932" s="1" t="n">
        <v>43745</v>
      </c>
      <c r="C1932" s="1" t="n">
        <v>45212</v>
      </c>
      <c r="D1932" t="inlineStr">
        <is>
          <t>VÄSTERNORRLANDS LÄN</t>
        </is>
      </c>
      <c r="E1932" t="inlineStr">
        <is>
          <t>SUNDSVALL</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52569-2019</t>
        </is>
      </c>
      <c r="B1933" s="1" t="n">
        <v>43745</v>
      </c>
      <c r="C1933" s="1" t="n">
        <v>45212</v>
      </c>
      <c r="D1933" t="inlineStr">
        <is>
          <t>VÄSTERNORRLANDS LÄN</t>
        </is>
      </c>
      <c r="E1933" t="inlineStr">
        <is>
          <t>SOLLEFTEÅ</t>
        </is>
      </c>
      <c r="G1933" t="n">
        <v>7.1</v>
      </c>
      <c r="H1933" t="n">
        <v>0</v>
      </c>
      <c r="I1933" t="n">
        <v>0</v>
      </c>
      <c r="J1933" t="n">
        <v>0</v>
      </c>
      <c r="K1933" t="n">
        <v>0</v>
      </c>
      <c r="L1933" t="n">
        <v>0</v>
      </c>
      <c r="M1933" t="n">
        <v>0</v>
      </c>
      <c r="N1933" t="n">
        <v>0</v>
      </c>
      <c r="O1933" t="n">
        <v>0</v>
      </c>
      <c r="P1933" t="n">
        <v>0</v>
      </c>
      <c r="Q1933" t="n">
        <v>0</v>
      </c>
      <c r="R1933" s="2" t="inlineStr"/>
    </row>
    <row r="1934" ht="15" customHeight="1">
      <c r="A1934" t="inlineStr">
        <is>
          <t>A 54282-2019</t>
        </is>
      </c>
      <c r="B1934" s="1" t="n">
        <v>43745</v>
      </c>
      <c r="C1934" s="1" t="n">
        <v>45212</v>
      </c>
      <c r="D1934" t="inlineStr">
        <is>
          <t>VÄSTERNORRLANDS LÄN</t>
        </is>
      </c>
      <c r="E1934" t="inlineStr">
        <is>
          <t>ÖRNSKÖLDSVIK</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52568-2019</t>
        </is>
      </c>
      <c r="B1935" s="1" t="n">
        <v>43745</v>
      </c>
      <c r="C1935" s="1" t="n">
        <v>45212</v>
      </c>
      <c r="D1935" t="inlineStr">
        <is>
          <t>VÄSTERNORRLANDS LÄN</t>
        </is>
      </c>
      <c r="E1935" t="inlineStr">
        <is>
          <t>SOLLEFTEÅ</t>
        </is>
      </c>
      <c r="F1935" t="inlineStr">
        <is>
          <t>SCA</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52684-2019</t>
        </is>
      </c>
      <c r="B1936" s="1" t="n">
        <v>43746</v>
      </c>
      <c r="C1936" s="1" t="n">
        <v>45212</v>
      </c>
      <c r="D1936" t="inlineStr">
        <is>
          <t>VÄSTERNORRLANDS LÄN</t>
        </is>
      </c>
      <c r="E1936" t="inlineStr">
        <is>
          <t>ÅNGE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52660-2019</t>
        </is>
      </c>
      <c r="B1937" s="1" t="n">
        <v>43746</v>
      </c>
      <c r="C1937" s="1" t="n">
        <v>45212</v>
      </c>
      <c r="D1937" t="inlineStr">
        <is>
          <t>VÄSTERNORRLANDS LÄN</t>
        </is>
      </c>
      <c r="E1937" t="inlineStr">
        <is>
          <t>ÅNGE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52922-2019</t>
        </is>
      </c>
      <c r="B1938" s="1" t="n">
        <v>43746</v>
      </c>
      <c r="C1938" s="1" t="n">
        <v>45212</v>
      </c>
      <c r="D1938" t="inlineStr">
        <is>
          <t>VÄSTERNORRLANDS LÄN</t>
        </is>
      </c>
      <c r="E1938" t="inlineStr">
        <is>
          <t>SOLLEFTEÅ</t>
        </is>
      </c>
      <c r="G1938" t="n">
        <v>6.5</v>
      </c>
      <c r="H1938" t="n">
        <v>0</v>
      </c>
      <c r="I1938" t="n">
        <v>0</v>
      </c>
      <c r="J1938" t="n">
        <v>0</v>
      </c>
      <c r="K1938" t="n">
        <v>0</v>
      </c>
      <c r="L1938" t="n">
        <v>0</v>
      </c>
      <c r="M1938" t="n">
        <v>0</v>
      </c>
      <c r="N1938" t="n">
        <v>0</v>
      </c>
      <c r="O1938" t="n">
        <v>0</v>
      </c>
      <c r="P1938" t="n">
        <v>0</v>
      </c>
      <c r="Q1938" t="n">
        <v>0</v>
      </c>
      <c r="R1938" s="2" t="inlineStr"/>
    </row>
    <row r="1939" ht="15" customHeight="1">
      <c r="A1939" t="inlineStr">
        <is>
          <t>A 53087-2019</t>
        </is>
      </c>
      <c r="B1939" s="1" t="n">
        <v>43747</v>
      </c>
      <c r="C1939" s="1" t="n">
        <v>45212</v>
      </c>
      <c r="D1939" t="inlineStr">
        <is>
          <t>VÄSTERNORRLANDS LÄN</t>
        </is>
      </c>
      <c r="E1939" t="inlineStr">
        <is>
          <t>SUNDSVALL</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53162-2019</t>
        </is>
      </c>
      <c r="B1940" s="1" t="n">
        <v>43747</v>
      </c>
      <c r="C1940" s="1" t="n">
        <v>45212</v>
      </c>
      <c r="D1940" t="inlineStr">
        <is>
          <t>VÄSTERNORRLANDS LÄN</t>
        </is>
      </c>
      <c r="E1940" t="inlineStr">
        <is>
          <t>TIMRÅ</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53107-2019</t>
        </is>
      </c>
      <c r="B1941" s="1" t="n">
        <v>43747</v>
      </c>
      <c r="C1941" s="1" t="n">
        <v>45212</v>
      </c>
      <c r="D1941" t="inlineStr">
        <is>
          <t>VÄSTERNORRLANDS LÄN</t>
        </is>
      </c>
      <c r="E1941" t="inlineStr">
        <is>
          <t>ÅNGE</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53167-2019</t>
        </is>
      </c>
      <c r="B1942" s="1" t="n">
        <v>43747</v>
      </c>
      <c r="C1942" s="1" t="n">
        <v>45212</v>
      </c>
      <c r="D1942" t="inlineStr">
        <is>
          <t>VÄSTERNORRLANDS LÄN</t>
        </is>
      </c>
      <c r="E1942" t="inlineStr">
        <is>
          <t>KRAMFORS</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54473-2019</t>
        </is>
      </c>
      <c r="B1943" s="1" t="n">
        <v>43747</v>
      </c>
      <c r="C1943" s="1" t="n">
        <v>45212</v>
      </c>
      <c r="D1943" t="inlineStr">
        <is>
          <t>VÄSTERNORRLANDS LÄN</t>
        </is>
      </c>
      <c r="E1943" t="inlineStr">
        <is>
          <t>ÖRNSKÖLDSVIK</t>
        </is>
      </c>
      <c r="G1943" t="n">
        <v>18.8</v>
      </c>
      <c r="H1943" t="n">
        <v>0</v>
      </c>
      <c r="I1943" t="n">
        <v>0</v>
      </c>
      <c r="J1943" t="n">
        <v>0</v>
      </c>
      <c r="K1943" t="n">
        <v>0</v>
      </c>
      <c r="L1943" t="n">
        <v>0</v>
      </c>
      <c r="M1943" t="n">
        <v>0</v>
      </c>
      <c r="N1943" t="n">
        <v>0</v>
      </c>
      <c r="O1943" t="n">
        <v>0</v>
      </c>
      <c r="P1943" t="n">
        <v>0</v>
      </c>
      <c r="Q1943" t="n">
        <v>0</v>
      </c>
      <c r="R1943" s="2" t="inlineStr"/>
    </row>
    <row r="1944" ht="15" customHeight="1">
      <c r="A1944" t="inlineStr">
        <is>
          <t>A 52952-2019</t>
        </is>
      </c>
      <c r="B1944" s="1" t="n">
        <v>43747</v>
      </c>
      <c r="C1944" s="1" t="n">
        <v>45212</v>
      </c>
      <c r="D1944" t="inlineStr">
        <is>
          <t>VÄSTERNORRLANDS LÄN</t>
        </is>
      </c>
      <c r="E1944" t="inlineStr">
        <is>
          <t>SUNDSVALL</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53161-2019</t>
        </is>
      </c>
      <c r="B1945" s="1" t="n">
        <v>43747</v>
      </c>
      <c r="C1945" s="1" t="n">
        <v>45212</v>
      </c>
      <c r="D1945" t="inlineStr">
        <is>
          <t>VÄSTERNORRLANDS LÄN</t>
        </is>
      </c>
      <c r="E1945" t="inlineStr">
        <is>
          <t>SOLLEFTEÅ</t>
        </is>
      </c>
      <c r="F1945" t="inlineStr">
        <is>
          <t>Kommuner</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54739-2019</t>
        </is>
      </c>
      <c r="B1946" s="1" t="n">
        <v>43748</v>
      </c>
      <c r="C1946" s="1" t="n">
        <v>45212</v>
      </c>
      <c r="D1946" t="inlineStr">
        <is>
          <t>VÄSTERNORRLANDS LÄN</t>
        </is>
      </c>
      <c r="E1946" t="inlineStr">
        <is>
          <t>ÖRNSKÖLDSVIK</t>
        </is>
      </c>
      <c r="G1946" t="n">
        <v>6.2</v>
      </c>
      <c r="H1946" t="n">
        <v>0</v>
      </c>
      <c r="I1946" t="n">
        <v>0</v>
      </c>
      <c r="J1946" t="n">
        <v>0</v>
      </c>
      <c r="K1946" t="n">
        <v>0</v>
      </c>
      <c r="L1946" t="n">
        <v>0</v>
      </c>
      <c r="M1946" t="n">
        <v>0</v>
      </c>
      <c r="N1946" t="n">
        <v>0</v>
      </c>
      <c r="O1946" t="n">
        <v>0</v>
      </c>
      <c r="P1946" t="n">
        <v>0</v>
      </c>
      <c r="Q1946" t="n">
        <v>0</v>
      </c>
      <c r="R1946" s="2" t="inlineStr"/>
    </row>
    <row r="1947" ht="15" customHeight="1">
      <c r="A1947" t="inlineStr">
        <is>
          <t>A 53318-2019</t>
        </is>
      </c>
      <c r="B1947" s="1" t="n">
        <v>43748</v>
      </c>
      <c r="C1947" s="1" t="n">
        <v>45212</v>
      </c>
      <c r="D1947" t="inlineStr">
        <is>
          <t>VÄSTERNORRLANDS LÄN</t>
        </is>
      </c>
      <c r="E1947" t="inlineStr">
        <is>
          <t>ÖRNSKÖLDSVIK</t>
        </is>
      </c>
      <c r="F1947" t="inlineStr">
        <is>
          <t>Holmen skog AB</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53319-2019</t>
        </is>
      </c>
      <c r="B1948" s="1" t="n">
        <v>43748</v>
      </c>
      <c r="C1948" s="1" t="n">
        <v>45212</v>
      </c>
      <c r="D1948" t="inlineStr">
        <is>
          <t>VÄSTERNORRLANDS LÄN</t>
        </is>
      </c>
      <c r="E1948" t="inlineStr">
        <is>
          <t>SOLLEFTEÅ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53544-2019</t>
        </is>
      </c>
      <c r="B1949" s="1" t="n">
        <v>43749</v>
      </c>
      <c r="C1949" s="1" t="n">
        <v>45212</v>
      </c>
      <c r="D1949" t="inlineStr">
        <is>
          <t>VÄSTERNORRLANDS LÄN</t>
        </is>
      </c>
      <c r="E1949" t="inlineStr">
        <is>
          <t>ÖRNSKÖLDSVIK</t>
        </is>
      </c>
      <c r="F1949" t="inlineStr">
        <is>
          <t>Holmen skog AB</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53579-2019</t>
        </is>
      </c>
      <c r="B1950" s="1" t="n">
        <v>43749</v>
      </c>
      <c r="C1950" s="1" t="n">
        <v>45212</v>
      </c>
      <c r="D1950" t="inlineStr">
        <is>
          <t>VÄSTERNORRLANDS LÄN</t>
        </is>
      </c>
      <c r="E1950" t="inlineStr">
        <is>
          <t>ÅNGE</t>
        </is>
      </c>
      <c r="F1950" t="inlineStr">
        <is>
          <t>Sveaskog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53528-2019</t>
        </is>
      </c>
      <c r="B1951" s="1" t="n">
        <v>43749</v>
      </c>
      <c r="C1951" s="1" t="n">
        <v>45212</v>
      </c>
      <c r="D1951" t="inlineStr">
        <is>
          <t>VÄSTERNORRLANDS LÄN</t>
        </is>
      </c>
      <c r="E1951" t="inlineStr">
        <is>
          <t>ÖRNSKÖLDSVIK</t>
        </is>
      </c>
      <c r="F1951" t="inlineStr">
        <is>
          <t>Holmen skog AB</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54030-2019</t>
        </is>
      </c>
      <c r="B1952" s="1" t="n">
        <v>43752</v>
      </c>
      <c r="C1952" s="1" t="n">
        <v>45212</v>
      </c>
      <c r="D1952" t="inlineStr">
        <is>
          <t>VÄSTERNORRLANDS LÄN</t>
        </is>
      </c>
      <c r="E1952" t="inlineStr">
        <is>
          <t>SUNDSVALL</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55049-2019</t>
        </is>
      </c>
      <c r="B1953" s="1" t="n">
        <v>43752</v>
      </c>
      <c r="C1953" s="1" t="n">
        <v>45212</v>
      </c>
      <c r="D1953" t="inlineStr">
        <is>
          <t>VÄSTERNORRLANDS LÄN</t>
        </is>
      </c>
      <c r="E1953" t="inlineStr">
        <is>
          <t>ÖRNSKÖLDSVIK</t>
        </is>
      </c>
      <c r="F1953" t="inlineStr">
        <is>
          <t>Övriga Aktiebolag</t>
        </is>
      </c>
      <c r="G1953" t="n">
        <v>6.9</v>
      </c>
      <c r="H1953" t="n">
        <v>0</v>
      </c>
      <c r="I1953" t="n">
        <v>0</v>
      </c>
      <c r="J1953" t="n">
        <v>0</v>
      </c>
      <c r="K1953" t="n">
        <v>0</v>
      </c>
      <c r="L1953" t="n">
        <v>0</v>
      </c>
      <c r="M1953" t="n">
        <v>0</v>
      </c>
      <c r="N1953" t="n">
        <v>0</v>
      </c>
      <c r="O1953" t="n">
        <v>0</v>
      </c>
      <c r="P1953" t="n">
        <v>0</v>
      </c>
      <c r="Q1953" t="n">
        <v>0</v>
      </c>
      <c r="R1953" s="2" t="inlineStr"/>
    </row>
    <row r="1954" ht="15" customHeight="1">
      <c r="A1954" t="inlineStr">
        <is>
          <t>A 54072-2019</t>
        </is>
      </c>
      <c r="B1954" s="1" t="n">
        <v>43752</v>
      </c>
      <c r="C1954" s="1" t="n">
        <v>45212</v>
      </c>
      <c r="D1954" t="inlineStr">
        <is>
          <t>VÄSTERNORRLANDS LÄN</t>
        </is>
      </c>
      <c r="E1954" t="inlineStr">
        <is>
          <t>TIMRÅ</t>
        </is>
      </c>
      <c r="G1954" t="n">
        <v>12.8</v>
      </c>
      <c r="H1954" t="n">
        <v>0</v>
      </c>
      <c r="I1954" t="n">
        <v>0</v>
      </c>
      <c r="J1954" t="n">
        <v>0</v>
      </c>
      <c r="K1954" t="n">
        <v>0</v>
      </c>
      <c r="L1954" t="n">
        <v>0</v>
      </c>
      <c r="M1954" t="n">
        <v>0</v>
      </c>
      <c r="N1954" t="n">
        <v>0</v>
      </c>
      <c r="O1954" t="n">
        <v>0</v>
      </c>
      <c r="P1954" t="n">
        <v>0</v>
      </c>
      <c r="Q1954" t="n">
        <v>0</v>
      </c>
      <c r="R1954" s="2" t="inlineStr"/>
    </row>
    <row r="1955" ht="15" customHeight="1">
      <c r="A1955" t="inlineStr">
        <is>
          <t>A 55056-2019</t>
        </is>
      </c>
      <c r="B1955" s="1" t="n">
        <v>43752</v>
      </c>
      <c r="C1955" s="1" t="n">
        <v>45212</v>
      </c>
      <c r="D1955" t="inlineStr">
        <is>
          <t>VÄSTERNORRLANDS LÄN</t>
        </is>
      </c>
      <c r="E1955" t="inlineStr">
        <is>
          <t>ÖRNSKÖLDSVIK</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54025-2019</t>
        </is>
      </c>
      <c r="B1956" s="1" t="n">
        <v>43752</v>
      </c>
      <c r="C1956" s="1" t="n">
        <v>45212</v>
      </c>
      <c r="D1956" t="inlineStr">
        <is>
          <t>VÄSTERNORRLANDS LÄN</t>
        </is>
      </c>
      <c r="E1956" t="inlineStr">
        <is>
          <t>ÅNGE</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55069-2019</t>
        </is>
      </c>
      <c r="B1957" s="1" t="n">
        <v>43752</v>
      </c>
      <c r="C1957" s="1" t="n">
        <v>45212</v>
      </c>
      <c r="D1957" t="inlineStr">
        <is>
          <t>VÄSTERNORRLANDS LÄN</t>
        </is>
      </c>
      <c r="E1957" t="inlineStr">
        <is>
          <t>ÖRNSKÖLDSVIK</t>
        </is>
      </c>
      <c r="F1957" t="inlineStr">
        <is>
          <t>Övriga Aktiebolag</t>
        </is>
      </c>
      <c r="G1957" t="n">
        <v>14.6</v>
      </c>
      <c r="H1957" t="n">
        <v>0</v>
      </c>
      <c r="I1957" t="n">
        <v>0</v>
      </c>
      <c r="J1957" t="n">
        <v>0</v>
      </c>
      <c r="K1957" t="n">
        <v>0</v>
      </c>
      <c r="L1957" t="n">
        <v>0</v>
      </c>
      <c r="M1957" t="n">
        <v>0</v>
      </c>
      <c r="N1957" t="n">
        <v>0</v>
      </c>
      <c r="O1957" t="n">
        <v>0</v>
      </c>
      <c r="P1957" t="n">
        <v>0</v>
      </c>
      <c r="Q1957" t="n">
        <v>0</v>
      </c>
      <c r="R1957" s="2" t="inlineStr"/>
    </row>
    <row r="1958" ht="15" customHeight="1">
      <c r="A1958" t="inlineStr">
        <is>
          <t>A 55095-2019</t>
        </is>
      </c>
      <c r="B1958" s="1" t="n">
        <v>43752</v>
      </c>
      <c r="C1958" s="1" t="n">
        <v>45212</v>
      </c>
      <c r="D1958" t="inlineStr">
        <is>
          <t>VÄSTERNORRLANDS LÄN</t>
        </is>
      </c>
      <c r="E1958" t="inlineStr">
        <is>
          <t>ÖRNSKÖLDSVIK</t>
        </is>
      </c>
      <c r="F1958" t="inlineStr">
        <is>
          <t>Övriga Aktiebolag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54027-2019</t>
        </is>
      </c>
      <c r="B1959" s="1" t="n">
        <v>43752</v>
      </c>
      <c r="C1959" s="1" t="n">
        <v>45212</v>
      </c>
      <c r="D1959" t="inlineStr">
        <is>
          <t>VÄSTERNORRLANDS LÄN</t>
        </is>
      </c>
      <c r="E1959" t="inlineStr">
        <is>
          <t>ÅNGE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54128-2019</t>
        </is>
      </c>
      <c r="B1960" s="1" t="n">
        <v>43752</v>
      </c>
      <c r="C1960" s="1" t="n">
        <v>45212</v>
      </c>
      <c r="D1960" t="inlineStr">
        <is>
          <t>VÄSTERNORRLANDS LÄN</t>
        </is>
      </c>
      <c r="E1960" t="inlineStr">
        <is>
          <t>ÖRNSKÖLDSVIK</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54179-2019</t>
        </is>
      </c>
      <c r="B1961" s="1" t="n">
        <v>43753</v>
      </c>
      <c r="C1961" s="1" t="n">
        <v>45212</v>
      </c>
      <c r="D1961" t="inlineStr">
        <is>
          <t>VÄSTERNORRLANDS LÄN</t>
        </is>
      </c>
      <c r="E1961" t="inlineStr">
        <is>
          <t>ÖRNSKÖLDSVIK</t>
        </is>
      </c>
      <c r="F1961" t="inlineStr">
        <is>
          <t>Holmen skog AB</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54365-2019</t>
        </is>
      </c>
      <c r="B1962" s="1" t="n">
        <v>43753</v>
      </c>
      <c r="C1962" s="1" t="n">
        <v>45212</v>
      </c>
      <c r="D1962" t="inlineStr">
        <is>
          <t>VÄSTERNORRLANDS LÄN</t>
        </is>
      </c>
      <c r="E1962" t="inlineStr">
        <is>
          <t>TIMRÅ</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55268-2019</t>
        </is>
      </c>
      <c r="B1963" s="1" t="n">
        <v>43753</v>
      </c>
      <c r="C1963" s="1" t="n">
        <v>45212</v>
      </c>
      <c r="D1963" t="inlineStr">
        <is>
          <t>VÄSTERNORRLANDS LÄN</t>
        </is>
      </c>
      <c r="E1963" t="inlineStr">
        <is>
          <t>SUNDSVALL</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54789-2019</t>
        </is>
      </c>
      <c r="B1964" s="1" t="n">
        <v>43755</v>
      </c>
      <c r="C1964" s="1" t="n">
        <v>45212</v>
      </c>
      <c r="D1964" t="inlineStr">
        <is>
          <t>VÄSTERNORRLANDS LÄN</t>
        </is>
      </c>
      <c r="E1964" t="inlineStr">
        <is>
          <t>ÖRNSKÖLDSVIK</t>
        </is>
      </c>
      <c r="F1964" t="inlineStr">
        <is>
          <t>Holmen skog AB</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55628-2019</t>
        </is>
      </c>
      <c r="B1965" s="1" t="n">
        <v>43755</v>
      </c>
      <c r="C1965" s="1" t="n">
        <v>45212</v>
      </c>
      <c r="D1965" t="inlineStr">
        <is>
          <t>VÄSTERNORRLANDS LÄN</t>
        </is>
      </c>
      <c r="E1965" t="inlineStr">
        <is>
          <t>SOLLEFTEÅ</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55623-2019</t>
        </is>
      </c>
      <c r="B1966" s="1" t="n">
        <v>43755</v>
      </c>
      <c r="C1966" s="1" t="n">
        <v>45212</v>
      </c>
      <c r="D1966" t="inlineStr">
        <is>
          <t>VÄSTERNORRLANDS LÄN</t>
        </is>
      </c>
      <c r="E1966" t="inlineStr">
        <is>
          <t>SOLLEFTEÅ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55925-2019</t>
        </is>
      </c>
      <c r="B1967" s="1" t="n">
        <v>43755</v>
      </c>
      <c r="C1967" s="1" t="n">
        <v>45212</v>
      </c>
      <c r="D1967" t="inlineStr">
        <is>
          <t>VÄSTERNORRLANDS LÄN</t>
        </is>
      </c>
      <c r="E1967" t="inlineStr">
        <is>
          <t>SOLLEFTEÅ</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54692-2019</t>
        </is>
      </c>
      <c r="B1968" s="1" t="n">
        <v>43755</v>
      </c>
      <c r="C1968" s="1" t="n">
        <v>45212</v>
      </c>
      <c r="D1968" t="inlineStr">
        <is>
          <t>VÄSTERNORRLANDS LÄN</t>
        </is>
      </c>
      <c r="E1968" t="inlineStr">
        <is>
          <t>ÖRNSKÖLDSVIK</t>
        </is>
      </c>
      <c r="F1968" t="inlineStr">
        <is>
          <t>Holmen skog AB</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55625-2019</t>
        </is>
      </c>
      <c r="B1969" s="1" t="n">
        <v>43755</v>
      </c>
      <c r="C1969" s="1" t="n">
        <v>45212</v>
      </c>
      <c r="D1969" t="inlineStr">
        <is>
          <t>VÄSTERNORRLANDS LÄN</t>
        </is>
      </c>
      <c r="E1969" t="inlineStr">
        <is>
          <t>SOLLEFTEÅ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56316-2019</t>
        </is>
      </c>
      <c r="B1970" s="1" t="n">
        <v>43756</v>
      </c>
      <c r="C1970" s="1" t="n">
        <v>45212</v>
      </c>
      <c r="D1970" t="inlineStr">
        <is>
          <t>VÄSTERNORRLANDS LÄN</t>
        </is>
      </c>
      <c r="E1970" t="inlineStr">
        <is>
          <t>TIMRÅ</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55252-2019</t>
        </is>
      </c>
      <c r="B1971" s="1" t="n">
        <v>43756</v>
      </c>
      <c r="C1971" s="1" t="n">
        <v>45212</v>
      </c>
      <c r="D1971" t="inlineStr">
        <is>
          <t>VÄSTERNORRLANDS LÄN</t>
        </is>
      </c>
      <c r="E1971" t="inlineStr">
        <is>
          <t>ÖRNSKÖLDSVIK</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55174-2019</t>
        </is>
      </c>
      <c r="B1972" s="1" t="n">
        <v>43756</v>
      </c>
      <c r="C1972" s="1" t="n">
        <v>45212</v>
      </c>
      <c r="D1972" t="inlineStr">
        <is>
          <t>VÄSTERNORRLANDS LÄN</t>
        </is>
      </c>
      <c r="E1972" t="inlineStr">
        <is>
          <t>ÖRNSKÖLDSVIK</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55352-2019</t>
        </is>
      </c>
      <c r="B1973" s="1" t="n">
        <v>43756</v>
      </c>
      <c r="C1973" s="1" t="n">
        <v>45212</v>
      </c>
      <c r="D1973" t="inlineStr">
        <is>
          <t>VÄSTERNORRLANDS LÄN</t>
        </is>
      </c>
      <c r="E1973" t="inlineStr">
        <is>
          <t>ÅNGE</t>
        </is>
      </c>
      <c r="G1973" t="n">
        <v>10.9</v>
      </c>
      <c r="H1973" t="n">
        <v>0</v>
      </c>
      <c r="I1973" t="n">
        <v>0</v>
      </c>
      <c r="J1973" t="n">
        <v>0</v>
      </c>
      <c r="K1973" t="n">
        <v>0</v>
      </c>
      <c r="L1973" t="n">
        <v>0</v>
      </c>
      <c r="M1973" t="n">
        <v>0</v>
      </c>
      <c r="N1973" t="n">
        <v>0</v>
      </c>
      <c r="O1973" t="n">
        <v>0</v>
      </c>
      <c r="P1973" t="n">
        <v>0</v>
      </c>
      <c r="Q1973" t="n">
        <v>0</v>
      </c>
      <c r="R1973" s="2" t="inlineStr"/>
    </row>
    <row r="1974" ht="15" customHeight="1">
      <c r="A1974" t="inlineStr">
        <is>
          <t>A 55420-2019</t>
        </is>
      </c>
      <c r="B1974" s="1" t="n">
        <v>43758</v>
      </c>
      <c r="C1974" s="1" t="n">
        <v>45212</v>
      </c>
      <c r="D1974" t="inlineStr">
        <is>
          <t>VÄSTERNORRLANDS LÄN</t>
        </is>
      </c>
      <c r="E1974" t="inlineStr">
        <is>
          <t>SUNDSVALL</t>
        </is>
      </c>
      <c r="F1974" t="inlineStr">
        <is>
          <t>SCA</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55809-2019</t>
        </is>
      </c>
      <c r="B1975" s="1" t="n">
        <v>43759</v>
      </c>
      <c r="C1975" s="1" t="n">
        <v>45212</v>
      </c>
      <c r="D1975" t="inlineStr">
        <is>
          <t>VÄSTERNORRLANDS LÄN</t>
        </is>
      </c>
      <c r="E1975" t="inlineStr">
        <is>
          <t>TIMRÅ</t>
        </is>
      </c>
      <c r="G1975" t="n">
        <v>5.9</v>
      </c>
      <c r="H1975" t="n">
        <v>0</v>
      </c>
      <c r="I1975" t="n">
        <v>0</v>
      </c>
      <c r="J1975" t="n">
        <v>0</v>
      </c>
      <c r="K1975" t="n">
        <v>0</v>
      </c>
      <c r="L1975" t="n">
        <v>0</v>
      </c>
      <c r="M1975" t="n">
        <v>0</v>
      </c>
      <c r="N1975" t="n">
        <v>0</v>
      </c>
      <c r="O1975" t="n">
        <v>0</v>
      </c>
      <c r="P1975" t="n">
        <v>0</v>
      </c>
      <c r="Q1975" t="n">
        <v>0</v>
      </c>
      <c r="R1975" s="2" t="inlineStr"/>
    </row>
    <row r="1976" ht="15" customHeight="1">
      <c r="A1976" t="inlineStr">
        <is>
          <t>A 56065-2019</t>
        </is>
      </c>
      <c r="B1976" s="1" t="n">
        <v>43759</v>
      </c>
      <c r="C1976" s="1" t="n">
        <v>45212</v>
      </c>
      <c r="D1976" t="inlineStr">
        <is>
          <t>VÄSTERNORRLANDS LÄN</t>
        </is>
      </c>
      <c r="E1976" t="inlineStr">
        <is>
          <t>TIMRÅ</t>
        </is>
      </c>
      <c r="F1976" t="inlineStr">
        <is>
          <t>SCA</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57247-2019</t>
        </is>
      </c>
      <c r="B1977" s="1" t="n">
        <v>43759</v>
      </c>
      <c r="C1977" s="1" t="n">
        <v>45212</v>
      </c>
      <c r="D1977" t="inlineStr">
        <is>
          <t>VÄSTERNORRLANDS LÄN</t>
        </is>
      </c>
      <c r="E1977" t="inlineStr">
        <is>
          <t>ÖRNSKÖLDSVIK</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57288-2019</t>
        </is>
      </c>
      <c r="B1978" s="1" t="n">
        <v>43759</v>
      </c>
      <c r="C1978" s="1" t="n">
        <v>45212</v>
      </c>
      <c r="D1978" t="inlineStr">
        <is>
          <t>VÄSTERNORRLANDS LÄN</t>
        </is>
      </c>
      <c r="E1978" t="inlineStr">
        <is>
          <t>ÖRNSKÖLDSVIK</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56701-2019</t>
        </is>
      </c>
      <c r="B1979" s="1" t="n">
        <v>43759</v>
      </c>
      <c r="C1979" s="1" t="n">
        <v>45212</v>
      </c>
      <c r="D1979" t="inlineStr">
        <is>
          <t>VÄSTERNORRLANDS LÄN</t>
        </is>
      </c>
      <c r="E1979" t="inlineStr">
        <is>
          <t>SUNDSVALL</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57271-2019</t>
        </is>
      </c>
      <c r="B1980" s="1" t="n">
        <v>43759</v>
      </c>
      <c r="C1980" s="1" t="n">
        <v>45212</v>
      </c>
      <c r="D1980" t="inlineStr">
        <is>
          <t>VÄSTERNORRLANDS LÄN</t>
        </is>
      </c>
      <c r="E1980" t="inlineStr">
        <is>
          <t>ÖRNSKÖLDSVIK</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56751-2019</t>
        </is>
      </c>
      <c r="B1981" s="1" t="n">
        <v>43759</v>
      </c>
      <c r="C1981" s="1" t="n">
        <v>45212</v>
      </c>
      <c r="D1981" t="inlineStr">
        <is>
          <t>VÄSTERNORRLANDS LÄN</t>
        </is>
      </c>
      <c r="E1981" t="inlineStr">
        <is>
          <t>SUNDSVALL</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57365-2019</t>
        </is>
      </c>
      <c r="B1982" s="1" t="n">
        <v>43760</v>
      </c>
      <c r="C1982" s="1" t="n">
        <v>45212</v>
      </c>
      <c r="D1982" t="inlineStr">
        <is>
          <t>VÄSTERNORRLANDS LÄN</t>
        </is>
      </c>
      <c r="E1982" t="inlineStr">
        <is>
          <t>SOLLEFTEÅ</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57424-2019</t>
        </is>
      </c>
      <c r="B1983" s="1" t="n">
        <v>43760</v>
      </c>
      <c r="C1983" s="1" t="n">
        <v>45212</v>
      </c>
      <c r="D1983" t="inlineStr">
        <is>
          <t>VÄSTERNORRLANDS LÄN</t>
        </is>
      </c>
      <c r="E1983" t="inlineStr">
        <is>
          <t>ÖRNSKÖLDSVIK</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55637-2019</t>
        </is>
      </c>
      <c r="B1984" s="1" t="n">
        <v>43760</v>
      </c>
      <c r="C1984" s="1" t="n">
        <v>45212</v>
      </c>
      <c r="D1984" t="inlineStr">
        <is>
          <t>VÄSTERNORRLANDS LÄN</t>
        </is>
      </c>
      <c r="E1984" t="inlineStr">
        <is>
          <t>ÅNGE</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55730-2019</t>
        </is>
      </c>
      <c r="B1985" s="1" t="n">
        <v>43760</v>
      </c>
      <c r="C1985" s="1" t="n">
        <v>45212</v>
      </c>
      <c r="D1985" t="inlineStr">
        <is>
          <t>VÄSTERNORRLANDS LÄN</t>
        </is>
      </c>
      <c r="E1985" t="inlineStr">
        <is>
          <t>ÅNGE</t>
        </is>
      </c>
      <c r="F1985" t="inlineStr">
        <is>
          <t>SCA</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57420-2019</t>
        </is>
      </c>
      <c r="B1986" s="1" t="n">
        <v>43760</v>
      </c>
      <c r="C1986" s="1" t="n">
        <v>45212</v>
      </c>
      <c r="D1986" t="inlineStr">
        <is>
          <t>VÄSTERNORRLANDS LÄN</t>
        </is>
      </c>
      <c r="E1986" t="inlineStr">
        <is>
          <t>ÖRNSKÖLDSVIK</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55603-2019</t>
        </is>
      </c>
      <c r="B1987" s="1" t="n">
        <v>43760</v>
      </c>
      <c r="C1987" s="1" t="n">
        <v>45212</v>
      </c>
      <c r="D1987" t="inlineStr">
        <is>
          <t>VÄSTERNORRLANDS LÄN</t>
        </is>
      </c>
      <c r="E1987" t="inlineStr">
        <is>
          <t>SUNDSVALL</t>
        </is>
      </c>
      <c r="G1987" t="n">
        <v>13.1</v>
      </c>
      <c r="H1987" t="n">
        <v>0</v>
      </c>
      <c r="I1987" t="n">
        <v>0</v>
      </c>
      <c r="J1987" t="n">
        <v>0</v>
      </c>
      <c r="K1987" t="n">
        <v>0</v>
      </c>
      <c r="L1987" t="n">
        <v>0</v>
      </c>
      <c r="M1987" t="n">
        <v>0</v>
      </c>
      <c r="N1987" t="n">
        <v>0</v>
      </c>
      <c r="O1987" t="n">
        <v>0</v>
      </c>
      <c r="P1987" t="n">
        <v>0</v>
      </c>
      <c r="Q1987" t="n">
        <v>0</v>
      </c>
      <c r="R1987" s="2" t="inlineStr"/>
    </row>
    <row r="1988" ht="15" customHeight="1">
      <c r="A1988" t="inlineStr">
        <is>
          <t>A 55634-2019</t>
        </is>
      </c>
      <c r="B1988" s="1" t="n">
        <v>43760</v>
      </c>
      <c r="C1988" s="1" t="n">
        <v>45212</v>
      </c>
      <c r="D1988" t="inlineStr">
        <is>
          <t>VÄSTERNORRLANDS LÄN</t>
        </is>
      </c>
      <c r="E1988" t="inlineStr">
        <is>
          <t>ÅNGE</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55729-2019</t>
        </is>
      </c>
      <c r="B1989" s="1" t="n">
        <v>43760</v>
      </c>
      <c r="C1989" s="1" t="n">
        <v>45212</v>
      </c>
      <c r="D1989" t="inlineStr">
        <is>
          <t>VÄSTERNORRLANDS LÄN</t>
        </is>
      </c>
      <c r="E1989" t="inlineStr">
        <is>
          <t>ÅNGE</t>
        </is>
      </c>
      <c r="F1989" t="inlineStr">
        <is>
          <t>SCA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57370-2019</t>
        </is>
      </c>
      <c r="B1990" s="1" t="n">
        <v>43760</v>
      </c>
      <c r="C1990" s="1" t="n">
        <v>45212</v>
      </c>
      <c r="D1990" t="inlineStr">
        <is>
          <t>VÄSTERNORRLANDS LÄN</t>
        </is>
      </c>
      <c r="E1990" t="inlineStr">
        <is>
          <t>ÖRNSKÖLDSVIK</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55447-2019</t>
        </is>
      </c>
      <c r="B1991" s="1" t="n">
        <v>43760</v>
      </c>
      <c r="C1991" s="1" t="n">
        <v>45212</v>
      </c>
      <c r="D1991" t="inlineStr">
        <is>
          <t>VÄSTERNORRLANDS LÄN</t>
        </is>
      </c>
      <c r="E1991" t="inlineStr">
        <is>
          <t>ÖRNSKÖLDSVIK</t>
        </is>
      </c>
      <c r="F1991" t="inlineStr">
        <is>
          <t>Holmen skog AB</t>
        </is>
      </c>
      <c r="G1991" t="n">
        <v>2.1</v>
      </c>
      <c r="H1991" t="n">
        <v>0</v>
      </c>
      <c r="I1991" t="n">
        <v>0</v>
      </c>
      <c r="J1991" t="n">
        <v>0</v>
      </c>
      <c r="K1991" t="n">
        <v>0</v>
      </c>
      <c r="L1991" t="n">
        <v>0</v>
      </c>
      <c r="M1991" t="n">
        <v>0</v>
      </c>
      <c r="N1991" t="n">
        <v>0</v>
      </c>
      <c r="O1991" t="n">
        <v>0</v>
      </c>
      <c r="P1991" t="n">
        <v>0</v>
      </c>
      <c r="Q1991" t="n">
        <v>0</v>
      </c>
      <c r="R1991" s="2" t="inlineStr"/>
    </row>
    <row r="1992" ht="15" customHeight="1">
      <c r="A1992" t="inlineStr">
        <is>
          <t>A 55600-2019</t>
        </is>
      </c>
      <c r="B1992" s="1" t="n">
        <v>43760</v>
      </c>
      <c r="C1992" s="1" t="n">
        <v>45212</v>
      </c>
      <c r="D1992" t="inlineStr">
        <is>
          <t>VÄSTERNORRLANDS LÄN</t>
        </is>
      </c>
      <c r="E1992" t="inlineStr">
        <is>
          <t>SUNDSVALL</t>
        </is>
      </c>
      <c r="G1992" t="n">
        <v>13.4</v>
      </c>
      <c r="H1992" t="n">
        <v>0</v>
      </c>
      <c r="I1992" t="n">
        <v>0</v>
      </c>
      <c r="J1992" t="n">
        <v>0</v>
      </c>
      <c r="K1992" t="n">
        <v>0</v>
      </c>
      <c r="L1992" t="n">
        <v>0</v>
      </c>
      <c r="M1992" t="n">
        <v>0</v>
      </c>
      <c r="N1992" t="n">
        <v>0</v>
      </c>
      <c r="O1992" t="n">
        <v>0</v>
      </c>
      <c r="P1992" t="n">
        <v>0</v>
      </c>
      <c r="Q1992" t="n">
        <v>0</v>
      </c>
      <c r="R1992" s="2" t="inlineStr"/>
    </row>
    <row r="1993" ht="15" customHeight="1">
      <c r="A1993" t="inlineStr">
        <is>
          <t>A 56162-2019</t>
        </is>
      </c>
      <c r="B1993" s="1" t="n">
        <v>43761</v>
      </c>
      <c r="C1993" s="1" t="n">
        <v>45212</v>
      </c>
      <c r="D1993" t="inlineStr">
        <is>
          <t>VÄSTERNORRLANDS LÄN</t>
        </is>
      </c>
      <c r="E1993" t="inlineStr">
        <is>
          <t>ÖRNSKÖLDSVIK</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56180-2019</t>
        </is>
      </c>
      <c r="B1994" s="1" t="n">
        <v>43761</v>
      </c>
      <c r="C1994" s="1" t="n">
        <v>45212</v>
      </c>
      <c r="D1994" t="inlineStr">
        <is>
          <t>VÄSTERNORRLANDS LÄN</t>
        </is>
      </c>
      <c r="E1994" t="inlineStr">
        <is>
          <t>SUNDSVALL</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56016-2019</t>
        </is>
      </c>
      <c r="B1995" s="1" t="n">
        <v>43761</v>
      </c>
      <c r="C1995" s="1" t="n">
        <v>45212</v>
      </c>
      <c r="D1995" t="inlineStr">
        <is>
          <t>VÄSTERNORRLANDS LÄN</t>
        </is>
      </c>
      <c r="E1995" t="inlineStr">
        <is>
          <t>SUNDSVALL</t>
        </is>
      </c>
      <c r="G1995" t="n">
        <v>7.4</v>
      </c>
      <c r="H1995" t="n">
        <v>0</v>
      </c>
      <c r="I1995" t="n">
        <v>0</v>
      </c>
      <c r="J1995" t="n">
        <v>0</v>
      </c>
      <c r="K1995" t="n">
        <v>0</v>
      </c>
      <c r="L1995" t="n">
        <v>0</v>
      </c>
      <c r="M1995" t="n">
        <v>0</v>
      </c>
      <c r="N1995" t="n">
        <v>0</v>
      </c>
      <c r="O1995" t="n">
        <v>0</v>
      </c>
      <c r="P1995" t="n">
        <v>0</v>
      </c>
      <c r="Q1995" t="n">
        <v>0</v>
      </c>
      <c r="R1995" s="2" t="inlineStr"/>
    </row>
    <row r="1996" ht="15" customHeight="1">
      <c r="A1996" t="inlineStr">
        <is>
          <t>A 56024-2019</t>
        </is>
      </c>
      <c r="B1996" s="1" t="n">
        <v>43761</v>
      </c>
      <c r="C1996" s="1" t="n">
        <v>45212</v>
      </c>
      <c r="D1996" t="inlineStr">
        <is>
          <t>VÄSTERNORRLANDS LÄN</t>
        </is>
      </c>
      <c r="E1996" t="inlineStr">
        <is>
          <t>SUNDSVALL</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56137-2019</t>
        </is>
      </c>
      <c r="B1997" s="1" t="n">
        <v>43761</v>
      </c>
      <c r="C1997" s="1" t="n">
        <v>45212</v>
      </c>
      <c r="D1997" t="inlineStr">
        <is>
          <t>VÄSTERNORRLANDS LÄN</t>
        </is>
      </c>
      <c r="E1997" t="inlineStr">
        <is>
          <t>ÅNGE</t>
        </is>
      </c>
      <c r="F1997" t="inlineStr">
        <is>
          <t>Sveaskog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56178-2019</t>
        </is>
      </c>
      <c r="B1998" s="1" t="n">
        <v>43761</v>
      </c>
      <c r="C1998" s="1" t="n">
        <v>45212</v>
      </c>
      <c r="D1998" t="inlineStr">
        <is>
          <t>VÄSTERNORRLANDS LÄN</t>
        </is>
      </c>
      <c r="E1998" t="inlineStr">
        <is>
          <t>TIMRÅ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56071-2019</t>
        </is>
      </c>
      <c r="B1999" s="1" t="n">
        <v>43761</v>
      </c>
      <c r="C1999" s="1" t="n">
        <v>45212</v>
      </c>
      <c r="D1999" t="inlineStr">
        <is>
          <t>VÄSTERNORRLANDS LÄN</t>
        </is>
      </c>
      <c r="E1999" t="inlineStr">
        <is>
          <t>SUNDSVALL</t>
        </is>
      </c>
      <c r="G1999" t="n">
        <v>12.1</v>
      </c>
      <c r="H1999" t="n">
        <v>0</v>
      </c>
      <c r="I1999" t="n">
        <v>0</v>
      </c>
      <c r="J1999" t="n">
        <v>0</v>
      </c>
      <c r="K1999" t="n">
        <v>0</v>
      </c>
      <c r="L1999" t="n">
        <v>0</v>
      </c>
      <c r="M1999" t="n">
        <v>0</v>
      </c>
      <c r="N1999" t="n">
        <v>0</v>
      </c>
      <c r="O1999" t="n">
        <v>0</v>
      </c>
      <c r="P1999" t="n">
        <v>0</v>
      </c>
      <c r="Q1999" t="n">
        <v>0</v>
      </c>
      <c r="R1999" s="2" t="inlineStr"/>
    </row>
    <row r="2000" ht="15" customHeight="1">
      <c r="A2000" t="inlineStr">
        <is>
          <t>A 56171-2019</t>
        </is>
      </c>
      <c r="B2000" s="1" t="n">
        <v>43761</v>
      </c>
      <c r="C2000" s="1" t="n">
        <v>45212</v>
      </c>
      <c r="D2000" t="inlineStr">
        <is>
          <t>VÄSTERNORRLANDS LÄN</t>
        </is>
      </c>
      <c r="E2000" t="inlineStr">
        <is>
          <t>ÅNGE</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56186-2019</t>
        </is>
      </c>
      <c r="B2001" s="1" t="n">
        <v>43761</v>
      </c>
      <c r="C2001" s="1" t="n">
        <v>45212</v>
      </c>
      <c r="D2001" t="inlineStr">
        <is>
          <t>VÄSTERNORRLANDS LÄN</t>
        </is>
      </c>
      <c r="E2001" t="inlineStr">
        <is>
          <t>ÅNGE</t>
        </is>
      </c>
      <c r="F2001" t="inlineStr">
        <is>
          <t>SCA</t>
        </is>
      </c>
      <c r="G2001" t="n">
        <v>8.800000000000001</v>
      </c>
      <c r="H2001" t="n">
        <v>0</v>
      </c>
      <c r="I2001" t="n">
        <v>0</v>
      </c>
      <c r="J2001" t="n">
        <v>0</v>
      </c>
      <c r="K2001" t="n">
        <v>0</v>
      </c>
      <c r="L2001" t="n">
        <v>0</v>
      </c>
      <c r="M2001" t="n">
        <v>0</v>
      </c>
      <c r="N2001" t="n">
        <v>0</v>
      </c>
      <c r="O2001" t="n">
        <v>0</v>
      </c>
      <c r="P2001" t="n">
        <v>0</v>
      </c>
      <c r="Q2001" t="n">
        <v>0</v>
      </c>
      <c r="R2001" s="2" t="inlineStr"/>
    </row>
    <row r="2002" ht="15" customHeight="1">
      <c r="A2002" t="inlineStr">
        <is>
          <t>A 56185-2019</t>
        </is>
      </c>
      <c r="B2002" s="1" t="n">
        <v>43761</v>
      </c>
      <c r="C2002" s="1" t="n">
        <v>45212</v>
      </c>
      <c r="D2002" t="inlineStr">
        <is>
          <t>VÄSTERNORRLANDS LÄN</t>
        </is>
      </c>
      <c r="E2002" t="inlineStr">
        <is>
          <t>SUNDSVALL</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57575-2019</t>
        </is>
      </c>
      <c r="B2003" s="1" t="n">
        <v>43761</v>
      </c>
      <c r="C2003" s="1" t="n">
        <v>45212</v>
      </c>
      <c r="D2003" t="inlineStr">
        <is>
          <t>VÄSTERNORRLANDS LÄN</t>
        </is>
      </c>
      <c r="E2003" t="inlineStr">
        <is>
          <t>SOLLEFTEÅ</t>
        </is>
      </c>
      <c r="G2003" t="n">
        <v>14.4</v>
      </c>
      <c r="H2003" t="n">
        <v>0</v>
      </c>
      <c r="I2003" t="n">
        <v>0</v>
      </c>
      <c r="J2003" t="n">
        <v>0</v>
      </c>
      <c r="K2003" t="n">
        <v>0</v>
      </c>
      <c r="L2003" t="n">
        <v>0</v>
      </c>
      <c r="M2003" t="n">
        <v>0</v>
      </c>
      <c r="N2003" t="n">
        <v>0</v>
      </c>
      <c r="O2003" t="n">
        <v>0</v>
      </c>
      <c r="P2003" t="n">
        <v>0</v>
      </c>
      <c r="Q2003" t="n">
        <v>0</v>
      </c>
      <c r="R2003" s="2" t="inlineStr"/>
    </row>
    <row r="2004" ht="15" customHeight="1">
      <c r="A2004" t="inlineStr">
        <is>
          <t>A 56490-2019</t>
        </is>
      </c>
      <c r="B2004" s="1" t="n">
        <v>43762</v>
      </c>
      <c r="C2004" s="1" t="n">
        <v>45212</v>
      </c>
      <c r="D2004" t="inlineStr">
        <is>
          <t>VÄSTERNORRLANDS LÄN</t>
        </is>
      </c>
      <c r="E2004" t="inlineStr">
        <is>
          <t>ÅNGE</t>
        </is>
      </c>
      <c r="F2004" t="inlineStr">
        <is>
          <t>SCA</t>
        </is>
      </c>
      <c r="G2004" t="n">
        <v>8</v>
      </c>
      <c r="H2004" t="n">
        <v>0</v>
      </c>
      <c r="I2004" t="n">
        <v>0</v>
      </c>
      <c r="J2004" t="n">
        <v>0</v>
      </c>
      <c r="K2004" t="n">
        <v>0</v>
      </c>
      <c r="L2004" t="n">
        <v>0</v>
      </c>
      <c r="M2004" t="n">
        <v>0</v>
      </c>
      <c r="N2004" t="n">
        <v>0</v>
      </c>
      <c r="O2004" t="n">
        <v>0</v>
      </c>
      <c r="P2004" t="n">
        <v>0</v>
      </c>
      <c r="Q2004" t="n">
        <v>0</v>
      </c>
      <c r="R2004" s="2" t="inlineStr"/>
    </row>
    <row r="2005" ht="15" customHeight="1">
      <c r="A2005" t="inlineStr">
        <is>
          <t>A 57797-2019</t>
        </is>
      </c>
      <c r="B2005" s="1" t="n">
        <v>43762</v>
      </c>
      <c r="C2005" s="1" t="n">
        <v>45212</v>
      </c>
      <c r="D2005" t="inlineStr">
        <is>
          <t>VÄSTERNORRLANDS LÄN</t>
        </is>
      </c>
      <c r="E2005" t="inlineStr">
        <is>
          <t>SUNDSVALL</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56486-2019</t>
        </is>
      </c>
      <c r="B2006" s="1" t="n">
        <v>43762</v>
      </c>
      <c r="C2006" s="1" t="n">
        <v>45212</v>
      </c>
      <c r="D2006" t="inlineStr">
        <is>
          <t>VÄSTERNORRLANDS LÄN</t>
        </is>
      </c>
      <c r="E2006" t="inlineStr">
        <is>
          <t>KRAMFORS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56252-2019</t>
        </is>
      </c>
      <c r="B2007" s="1" t="n">
        <v>43762</v>
      </c>
      <c r="C2007" s="1" t="n">
        <v>45212</v>
      </c>
      <c r="D2007" t="inlineStr">
        <is>
          <t>VÄSTERNORRLANDS LÄN</t>
        </is>
      </c>
      <c r="E2007" t="inlineStr">
        <is>
          <t>SOLLEFTEÅ</t>
        </is>
      </c>
      <c r="F2007" t="inlineStr">
        <is>
          <t>Kyrkan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56274-2019</t>
        </is>
      </c>
      <c r="B2008" s="1" t="n">
        <v>43762</v>
      </c>
      <c r="C2008" s="1" t="n">
        <v>45212</v>
      </c>
      <c r="D2008" t="inlineStr">
        <is>
          <t>VÄSTERNORRLANDS LÄN</t>
        </is>
      </c>
      <c r="E2008" t="inlineStr">
        <is>
          <t>SUNDSVALL</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56493-2019</t>
        </is>
      </c>
      <c r="B2009" s="1" t="n">
        <v>43762</v>
      </c>
      <c r="C2009" s="1" t="n">
        <v>45212</v>
      </c>
      <c r="D2009" t="inlineStr">
        <is>
          <t>VÄSTERNORRLANDS LÄN</t>
        </is>
      </c>
      <c r="E2009" t="inlineStr">
        <is>
          <t>SOLLEFTEÅ</t>
        </is>
      </c>
      <c r="F2009" t="inlineStr">
        <is>
          <t>SCA</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56492-2019</t>
        </is>
      </c>
      <c r="B2010" s="1" t="n">
        <v>43762</v>
      </c>
      <c r="C2010" s="1" t="n">
        <v>45212</v>
      </c>
      <c r="D2010" t="inlineStr">
        <is>
          <t>VÄSTERNORRLANDS LÄN</t>
        </is>
      </c>
      <c r="E2010" t="inlineStr">
        <is>
          <t>SOLLEFTEÅ</t>
        </is>
      </c>
      <c r="F2010" t="inlineStr">
        <is>
          <t>SCA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57758-2019</t>
        </is>
      </c>
      <c r="B2011" s="1" t="n">
        <v>43762</v>
      </c>
      <c r="C2011" s="1" t="n">
        <v>45212</v>
      </c>
      <c r="D2011" t="inlineStr">
        <is>
          <t>VÄSTERNORRLANDS LÄN</t>
        </is>
      </c>
      <c r="E2011" t="inlineStr">
        <is>
          <t>SUNDSVALL</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56544-2019</t>
        </is>
      </c>
      <c r="B2012" s="1" t="n">
        <v>43763</v>
      </c>
      <c r="C2012" s="1" t="n">
        <v>45212</v>
      </c>
      <c r="D2012" t="inlineStr">
        <is>
          <t>VÄSTERNORRLANDS LÄN</t>
        </is>
      </c>
      <c r="E2012" t="inlineStr">
        <is>
          <t>KRAMFORS</t>
        </is>
      </c>
      <c r="G2012" t="n">
        <v>31.4</v>
      </c>
      <c r="H2012" t="n">
        <v>0</v>
      </c>
      <c r="I2012" t="n">
        <v>0</v>
      </c>
      <c r="J2012" t="n">
        <v>0</v>
      </c>
      <c r="K2012" t="n">
        <v>0</v>
      </c>
      <c r="L2012" t="n">
        <v>0</v>
      </c>
      <c r="M2012" t="n">
        <v>0</v>
      </c>
      <c r="N2012" t="n">
        <v>0</v>
      </c>
      <c r="O2012" t="n">
        <v>0</v>
      </c>
      <c r="P2012" t="n">
        <v>0</v>
      </c>
      <c r="Q2012" t="n">
        <v>0</v>
      </c>
      <c r="R2012" s="2" t="inlineStr"/>
    </row>
    <row r="2013" ht="15" customHeight="1">
      <c r="A2013" t="inlineStr">
        <is>
          <t>A 56550-2019</t>
        </is>
      </c>
      <c r="B2013" s="1" t="n">
        <v>43763</v>
      </c>
      <c r="C2013" s="1" t="n">
        <v>45212</v>
      </c>
      <c r="D2013" t="inlineStr">
        <is>
          <t>VÄSTERNORRLANDS LÄN</t>
        </is>
      </c>
      <c r="E2013" t="inlineStr">
        <is>
          <t>ÖRNSKÖLDSVIK</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56614-2019</t>
        </is>
      </c>
      <c r="B2014" s="1" t="n">
        <v>43763</v>
      </c>
      <c r="C2014" s="1" t="n">
        <v>45212</v>
      </c>
      <c r="D2014" t="inlineStr">
        <is>
          <t>VÄSTERNORRLANDS LÄN</t>
        </is>
      </c>
      <c r="E2014" t="inlineStr">
        <is>
          <t>ÖRNSKÖLDSVIK</t>
        </is>
      </c>
      <c r="F2014" t="inlineStr">
        <is>
          <t>Holmen skog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56665-2019</t>
        </is>
      </c>
      <c r="B2015" s="1" t="n">
        <v>43763</v>
      </c>
      <c r="C2015" s="1" t="n">
        <v>45212</v>
      </c>
      <c r="D2015" t="inlineStr">
        <is>
          <t>VÄSTERNORRLANDS LÄN</t>
        </is>
      </c>
      <c r="E2015" t="inlineStr">
        <is>
          <t>ÖRNSKÖLDSVIK</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56803-2019</t>
        </is>
      </c>
      <c r="B2016" s="1" t="n">
        <v>43763</v>
      </c>
      <c r="C2016" s="1" t="n">
        <v>45212</v>
      </c>
      <c r="D2016" t="inlineStr">
        <is>
          <t>VÄSTERNORRLANDS LÄN</t>
        </is>
      </c>
      <c r="E2016" t="inlineStr">
        <is>
          <t>SOLLEFTEÅ</t>
        </is>
      </c>
      <c r="F2016" t="inlineStr">
        <is>
          <t>SCA</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58066-2019</t>
        </is>
      </c>
      <c r="B2017" s="1" t="n">
        <v>43763</v>
      </c>
      <c r="C2017" s="1" t="n">
        <v>45212</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56534-2019</t>
        </is>
      </c>
      <c r="B2018" s="1" t="n">
        <v>43763</v>
      </c>
      <c r="C2018" s="1" t="n">
        <v>45212</v>
      </c>
      <c r="D2018" t="inlineStr">
        <is>
          <t>VÄSTERNORRLANDS LÄN</t>
        </is>
      </c>
      <c r="E2018" t="inlineStr">
        <is>
          <t>SUNDSVALL</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56552-2019</t>
        </is>
      </c>
      <c r="B2019" s="1" t="n">
        <v>43763</v>
      </c>
      <c r="C2019" s="1" t="n">
        <v>45212</v>
      </c>
      <c r="D2019" t="inlineStr">
        <is>
          <t>VÄSTERNORRLANDS LÄN</t>
        </is>
      </c>
      <c r="E2019" t="inlineStr">
        <is>
          <t>ÖRNSKÖLDSVIK</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58060-2019</t>
        </is>
      </c>
      <c r="B2020" s="1" t="n">
        <v>43763</v>
      </c>
      <c r="C2020" s="1" t="n">
        <v>45212</v>
      </c>
      <c r="D2020" t="inlineStr">
        <is>
          <t>VÄSTERNORRLANDS LÄN</t>
        </is>
      </c>
      <c r="E2020" t="inlineStr">
        <is>
          <t>ÖRNSKÖLDSVIK</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56985-2019</t>
        </is>
      </c>
      <c r="B2021" s="1" t="n">
        <v>43766</v>
      </c>
      <c r="C2021" s="1" t="n">
        <v>45212</v>
      </c>
      <c r="D2021" t="inlineStr">
        <is>
          <t>VÄSTERNORRLANDS LÄN</t>
        </is>
      </c>
      <c r="E2021" t="inlineStr">
        <is>
          <t>SOLLEFTEÅ</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57041-2019</t>
        </is>
      </c>
      <c r="B2022" s="1" t="n">
        <v>43766</v>
      </c>
      <c r="C2022" s="1" t="n">
        <v>45212</v>
      </c>
      <c r="D2022" t="inlineStr">
        <is>
          <t>VÄSTERNORRLANDS LÄN</t>
        </is>
      </c>
      <c r="E2022" t="inlineStr">
        <is>
          <t>SOLLEFTEÅ</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57188-2019</t>
        </is>
      </c>
      <c r="B2023" s="1" t="n">
        <v>43766</v>
      </c>
      <c r="C2023" s="1" t="n">
        <v>45212</v>
      </c>
      <c r="D2023" t="inlineStr">
        <is>
          <t>VÄSTERNORRLANDS LÄN</t>
        </is>
      </c>
      <c r="E2023" t="inlineStr">
        <is>
          <t>SOLLEFTEÅ</t>
        </is>
      </c>
      <c r="F2023" t="inlineStr">
        <is>
          <t>SCA</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56874-2019</t>
        </is>
      </c>
      <c r="B2024" s="1" t="n">
        <v>43766</v>
      </c>
      <c r="C2024" s="1" t="n">
        <v>45212</v>
      </c>
      <c r="D2024" t="inlineStr">
        <is>
          <t>VÄSTERNORRLANDS LÄN</t>
        </is>
      </c>
      <c r="E2024" t="inlineStr">
        <is>
          <t>SOLLEFTEÅ</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56988-2019</t>
        </is>
      </c>
      <c r="B2025" s="1" t="n">
        <v>43766</v>
      </c>
      <c r="C2025" s="1" t="n">
        <v>45212</v>
      </c>
      <c r="D2025" t="inlineStr">
        <is>
          <t>VÄSTERNORRLANDS LÄN</t>
        </is>
      </c>
      <c r="E2025" t="inlineStr">
        <is>
          <t>KRAMFORS</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57183-2019</t>
        </is>
      </c>
      <c r="B2026" s="1" t="n">
        <v>43766</v>
      </c>
      <c r="C2026" s="1" t="n">
        <v>45212</v>
      </c>
      <c r="D2026" t="inlineStr">
        <is>
          <t>VÄSTERNORRLANDS LÄN</t>
        </is>
      </c>
      <c r="E2026" t="inlineStr">
        <is>
          <t>ÅNGE</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57175-2019</t>
        </is>
      </c>
      <c r="B2027" s="1" t="n">
        <v>43766</v>
      </c>
      <c r="C2027" s="1" t="n">
        <v>45212</v>
      </c>
      <c r="D2027" t="inlineStr">
        <is>
          <t>VÄSTERNORRLANDS LÄN</t>
        </is>
      </c>
      <c r="E2027" t="inlineStr">
        <is>
          <t>SUNDSVALL</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57180-2019</t>
        </is>
      </c>
      <c r="B2028" s="1" t="n">
        <v>43766</v>
      </c>
      <c r="C2028" s="1" t="n">
        <v>45212</v>
      </c>
      <c r="D2028" t="inlineStr">
        <is>
          <t>VÄSTERNORRLANDS LÄN</t>
        </is>
      </c>
      <c r="E2028" t="inlineStr">
        <is>
          <t>SUNDSVALL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57177-2019</t>
        </is>
      </c>
      <c r="B2029" s="1" t="n">
        <v>43766</v>
      </c>
      <c r="C2029" s="1" t="n">
        <v>45212</v>
      </c>
      <c r="D2029" t="inlineStr">
        <is>
          <t>VÄSTERNORRLANDS LÄN</t>
        </is>
      </c>
      <c r="E2029" t="inlineStr">
        <is>
          <t>SUNDSVALL</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57184-2019</t>
        </is>
      </c>
      <c r="B2030" s="1" t="n">
        <v>43766</v>
      </c>
      <c r="C2030" s="1" t="n">
        <v>45212</v>
      </c>
      <c r="D2030" t="inlineStr">
        <is>
          <t>VÄSTERNORRLANDS LÄN</t>
        </is>
      </c>
      <c r="E2030" t="inlineStr">
        <is>
          <t>ÅNGE</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57298-2019</t>
        </is>
      </c>
      <c r="B2031" s="1" t="n">
        <v>43767</v>
      </c>
      <c r="C2031" s="1" t="n">
        <v>45212</v>
      </c>
      <c r="D2031" t="inlineStr">
        <is>
          <t>VÄSTERNORRLANDS LÄN</t>
        </is>
      </c>
      <c r="E2031" t="inlineStr">
        <is>
          <t>ÖRNSKÖLDSVIK</t>
        </is>
      </c>
      <c r="F2031" t="inlineStr">
        <is>
          <t>Holmen skog AB</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57445-2019</t>
        </is>
      </c>
      <c r="B2032" s="1" t="n">
        <v>43767</v>
      </c>
      <c r="C2032" s="1" t="n">
        <v>45212</v>
      </c>
      <c r="D2032" t="inlineStr">
        <is>
          <t>VÄSTERNORRLANDS LÄN</t>
        </is>
      </c>
      <c r="E2032" t="inlineStr">
        <is>
          <t>ÖRNSKÖLDSVIK</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58614-2019</t>
        </is>
      </c>
      <c r="B2033" s="1" t="n">
        <v>43767</v>
      </c>
      <c r="C2033" s="1" t="n">
        <v>45212</v>
      </c>
      <c r="D2033" t="inlineStr">
        <is>
          <t>VÄSTERNORRLANDS LÄN</t>
        </is>
      </c>
      <c r="E2033" t="inlineStr">
        <is>
          <t>ÖRNSKÖLDSVIK</t>
        </is>
      </c>
      <c r="G2033" t="n">
        <v>5.4</v>
      </c>
      <c r="H2033" t="n">
        <v>0</v>
      </c>
      <c r="I2033" t="n">
        <v>0</v>
      </c>
      <c r="J2033" t="n">
        <v>0</v>
      </c>
      <c r="K2033" t="n">
        <v>0</v>
      </c>
      <c r="L2033" t="n">
        <v>0</v>
      </c>
      <c r="M2033" t="n">
        <v>0</v>
      </c>
      <c r="N2033" t="n">
        <v>0</v>
      </c>
      <c r="O2033" t="n">
        <v>0</v>
      </c>
      <c r="P2033" t="n">
        <v>0</v>
      </c>
      <c r="Q2033" t="n">
        <v>0</v>
      </c>
      <c r="R2033" s="2" t="inlineStr"/>
    </row>
    <row r="2034" ht="15" customHeight="1">
      <c r="A2034" t="inlineStr">
        <is>
          <t>A 57296-2019</t>
        </is>
      </c>
      <c r="B2034" s="1" t="n">
        <v>43767</v>
      </c>
      <c r="C2034" s="1" t="n">
        <v>45212</v>
      </c>
      <c r="D2034" t="inlineStr">
        <is>
          <t>VÄSTERNORRLANDS LÄN</t>
        </is>
      </c>
      <c r="E2034" t="inlineStr">
        <is>
          <t>ÖRNSKÖLDSVIK</t>
        </is>
      </c>
      <c r="F2034" t="inlineStr">
        <is>
          <t>Holmen skog AB</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57403-2019</t>
        </is>
      </c>
      <c r="B2035" s="1" t="n">
        <v>43767</v>
      </c>
      <c r="C2035" s="1" t="n">
        <v>45212</v>
      </c>
      <c r="D2035" t="inlineStr">
        <is>
          <t>VÄSTERNORRLANDS LÄN</t>
        </is>
      </c>
      <c r="E2035" t="inlineStr">
        <is>
          <t>ÖRNSKÖLDSVIK</t>
        </is>
      </c>
      <c r="G2035" t="n">
        <v>12.2</v>
      </c>
      <c r="H2035" t="n">
        <v>0</v>
      </c>
      <c r="I2035" t="n">
        <v>0</v>
      </c>
      <c r="J2035" t="n">
        <v>0</v>
      </c>
      <c r="K2035" t="n">
        <v>0</v>
      </c>
      <c r="L2035" t="n">
        <v>0</v>
      </c>
      <c r="M2035" t="n">
        <v>0</v>
      </c>
      <c r="N2035" t="n">
        <v>0</v>
      </c>
      <c r="O2035" t="n">
        <v>0</v>
      </c>
      <c r="P2035" t="n">
        <v>0</v>
      </c>
      <c r="Q2035" t="n">
        <v>0</v>
      </c>
      <c r="R2035" s="2" t="inlineStr"/>
    </row>
    <row r="2036" ht="15" customHeight="1">
      <c r="A2036" t="inlineStr">
        <is>
          <t>A 57222-2019</t>
        </is>
      </c>
      <c r="B2036" s="1" t="n">
        <v>43767</v>
      </c>
      <c r="C2036" s="1" t="n">
        <v>45212</v>
      </c>
      <c r="D2036" t="inlineStr">
        <is>
          <t>VÄSTERNORRLANDS LÄN</t>
        </is>
      </c>
      <c r="E2036" t="inlineStr">
        <is>
          <t>ÖRNSKÖLDSVIK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58619-2019</t>
        </is>
      </c>
      <c r="B2037" s="1" t="n">
        <v>43767</v>
      </c>
      <c r="C2037" s="1" t="n">
        <v>45212</v>
      </c>
      <c r="D2037" t="inlineStr">
        <is>
          <t>VÄSTERNORRLANDS LÄN</t>
        </is>
      </c>
      <c r="E2037" t="inlineStr">
        <is>
          <t>ÖRNSKÖLDSVIK</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57866-2019</t>
        </is>
      </c>
      <c r="B2038" s="1" t="n">
        <v>43768</v>
      </c>
      <c r="C2038" s="1" t="n">
        <v>45212</v>
      </c>
      <c r="D2038" t="inlineStr">
        <is>
          <t>VÄSTERNORRLANDS LÄN</t>
        </is>
      </c>
      <c r="E2038" t="inlineStr">
        <is>
          <t>SUNDSVALL</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57883-2019</t>
        </is>
      </c>
      <c r="B2039" s="1" t="n">
        <v>43768</v>
      </c>
      <c r="C2039" s="1" t="n">
        <v>45212</v>
      </c>
      <c r="D2039" t="inlineStr">
        <is>
          <t>VÄSTERNORRLANDS LÄN</t>
        </is>
      </c>
      <c r="E2039" t="inlineStr">
        <is>
          <t>SOLLEFTEÅ</t>
        </is>
      </c>
      <c r="F2039" t="inlineStr">
        <is>
          <t>SCA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57869-2019</t>
        </is>
      </c>
      <c r="B2040" s="1" t="n">
        <v>43768</v>
      </c>
      <c r="C2040" s="1" t="n">
        <v>45212</v>
      </c>
      <c r="D2040" t="inlineStr">
        <is>
          <t>VÄSTERNORRLANDS LÄN</t>
        </is>
      </c>
      <c r="E2040" t="inlineStr">
        <is>
          <t>HÄRNÖSAND</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57884-2019</t>
        </is>
      </c>
      <c r="B2041" s="1" t="n">
        <v>43768</v>
      </c>
      <c r="C2041" s="1" t="n">
        <v>45212</v>
      </c>
      <c r="D2041" t="inlineStr">
        <is>
          <t>VÄSTERNORRLANDS LÄN</t>
        </is>
      </c>
      <c r="E2041" t="inlineStr">
        <is>
          <t>SOLLEFTEÅ</t>
        </is>
      </c>
      <c r="F2041" t="inlineStr">
        <is>
          <t>SCA</t>
        </is>
      </c>
      <c r="G2041" t="n">
        <v>14.7</v>
      </c>
      <c r="H2041" t="n">
        <v>0</v>
      </c>
      <c r="I2041" t="n">
        <v>0</v>
      </c>
      <c r="J2041" t="n">
        <v>0</v>
      </c>
      <c r="K2041" t="n">
        <v>0</v>
      </c>
      <c r="L2041" t="n">
        <v>0</v>
      </c>
      <c r="M2041" t="n">
        <v>0</v>
      </c>
      <c r="N2041" t="n">
        <v>0</v>
      </c>
      <c r="O2041" t="n">
        <v>0</v>
      </c>
      <c r="P2041" t="n">
        <v>0</v>
      </c>
      <c r="Q2041" t="n">
        <v>0</v>
      </c>
      <c r="R2041" s="2" t="inlineStr"/>
    </row>
    <row r="2042" ht="15" customHeight="1">
      <c r="A2042" t="inlineStr">
        <is>
          <t>A 58711-2019</t>
        </is>
      </c>
      <c r="B2042" s="1" t="n">
        <v>43768</v>
      </c>
      <c r="C2042" s="1" t="n">
        <v>45212</v>
      </c>
      <c r="D2042" t="inlineStr">
        <is>
          <t>VÄSTERNORRLANDS LÄN</t>
        </is>
      </c>
      <c r="E2042" t="inlineStr">
        <is>
          <t>TIMRÅ</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58841-2019</t>
        </is>
      </c>
      <c r="B2043" s="1" t="n">
        <v>43768</v>
      </c>
      <c r="C2043" s="1" t="n">
        <v>45212</v>
      </c>
      <c r="D2043" t="inlineStr">
        <is>
          <t>VÄSTERNORRLANDS LÄN</t>
        </is>
      </c>
      <c r="E2043" t="inlineStr">
        <is>
          <t>KRAMFORS</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57859-2019</t>
        </is>
      </c>
      <c r="B2044" s="1" t="n">
        <v>43768</v>
      </c>
      <c r="C2044" s="1" t="n">
        <v>45212</v>
      </c>
      <c r="D2044" t="inlineStr">
        <is>
          <t>VÄSTERNORRLANDS LÄN</t>
        </is>
      </c>
      <c r="E2044" t="inlineStr">
        <is>
          <t>KRAMFORS</t>
        </is>
      </c>
      <c r="F2044" t="inlineStr">
        <is>
          <t>Kommuner</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57870-2019</t>
        </is>
      </c>
      <c r="B2045" s="1" t="n">
        <v>43768</v>
      </c>
      <c r="C2045" s="1" t="n">
        <v>45212</v>
      </c>
      <c r="D2045" t="inlineStr">
        <is>
          <t>VÄSTERNORRLANDS LÄN</t>
        </is>
      </c>
      <c r="E2045" t="inlineStr">
        <is>
          <t>HÄRNÖSAND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57871-2019</t>
        </is>
      </c>
      <c r="B2046" s="1" t="n">
        <v>43768</v>
      </c>
      <c r="C2046" s="1" t="n">
        <v>45212</v>
      </c>
      <c r="D2046" t="inlineStr">
        <is>
          <t>VÄSTERNORRLANDS LÄN</t>
        </is>
      </c>
      <c r="E2046" t="inlineStr">
        <is>
          <t>HÄRNÖSAND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57882-2019</t>
        </is>
      </c>
      <c r="B2047" s="1" t="n">
        <v>43768</v>
      </c>
      <c r="C2047" s="1" t="n">
        <v>45212</v>
      </c>
      <c r="D2047" t="inlineStr">
        <is>
          <t>VÄSTERNORRLANDS LÄN</t>
        </is>
      </c>
      <c r="E2047" t="inlineStr">
        <is>
          <t>SOLLEFTEÅ</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58834-2019</t>
        </is>
      </c>
      <c r="B2048" s="1" t="n">
        <v>43768</v>
      </c>
      <c r="C2048" s="1" t="n">
        <v>45212</v>
      </c>
      <c r="D2048" t="inlineStr">
        <is>
          <t>VÄSTERNORRLANDS LÄN</t>
        </is>
      </c>
      <c r="E2048" t="inlineStr">
        <is>
          <t>KRAMFORS</t>
        </is>
      </c>
      <c r="G2048" t="n">
        <v>7.7</v>
      </c>
      <c r="H2048" t="n">
        <v>0</v>
      </c>
      <c r="I2048" t="n">
        <v>0</v>
      </c>
      <c r="J2048" t="n">
        <v>0</v>
      </c>
      <c r="K2048" t="n">
        <v>0</v>
      </c>
      <c r="L2048" t="n">
        <v>0</v>
      </c>
      <c r="M2048" t="n">
        <v>0</v>
      </c>
      <c r="N2048" t="n">
        <v>0</v>
      </c>
      <c r="O2048" t="n">
        <v>0</v>
      </c>
      <c r="P2048" t="n">
        <v>0</v>
      </c>
      <c r="Q2048" t="n">
        <v>0</v>
      </c>
      <c r="R2048" s="2" t="inlineStr"/>
    </row>
    <row r="2049" ht="15" customHeight="1">
      <c r="A2049" t="inlineStr">
        <is>
          <t>A 58171-2019</t>
        </is>
      </c>
      <c r="B2049" s="1" t="n">
        <v>43769</v>
      </c>
      <c r="C2049" s="1" t="n">
        <v>45212</v>
      </c>
      <c r="D2049" t="inlineStr">
        <is>
          <t>VÄSTERNORRLANDS LÄN</t>
        </is>
      </c>
      <c r="E2049" t="inlineStr">
        <is>
          <t>SUNDSVALL</t>
        </is>
      </c>
      <c r="F2049" t="inlineStr">
        <is>
          <t>SCA</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57941-2019</t>
        </is>
      </c>
      <c r="B2050" s="1" t="n">
        <v>43769</v>
      </c>
      <c r="C2050" s="1" t="n">
        <v>45212</v>
      </c>
      <c r="D2050" t="inlineStr">
        <is>
          <t>VÄSTERNORRLANDS LÄN</t>
        </is>
      </c>
      <c r="E2050" t="inlineStr">
        <is>
          <t>ÖRNSKÖLDSVIK</t>
        </is>
      </c>
      <c r="F2050" t="inlineStr">
        <is>
          <t>Holmen skog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58170-2019</t>
        </is>
      </c>
      <c r="B2051" s="1" t="n">
        <v>43769</v>
      </c>
      <c r="C2051" s="1" t="n">
        <v>45212</v>
      </c>
      <c r="D2051" t="inlineStr">
        <is>
          <t>VÄSTERNORRLANDS LÄN</t>
        </is>
      </c>
      <c r="E2051" t="inlineStr">
        <is>
          <t>SOLLEFTEÅ</t>
        </is>
      </c>
      <c r="F2051" t="inlineStr">
        <is>
          <t>SCA</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58267-2019</t>
        </is>
      </c>
      <c r="B2052" s="1" t="n">
        <v>43770</v>
      </c>
      <c r="C2052" s="1" t="n">
        <v>45212</v>
      </c>
      <c r="D2052" t="inlineStr">
        <is>
          <t>VÄSTERNORRLANDS LÄN</t>
        </is>
      </c>
      <c r="E2052" t="inlineStr">
        <is>
          <t>SOLLEFTEÅ</t>
        </is>
      </c>
      <c r="G2052" t="n">
        <v>4.6</v>
      </c>
      <c r="H2052" t="n">
        <v>0</v>
      </c>
      <c r="I2052" t="n">
        <v>0</v>
      </c>
      <c r="J2052" t="n">
        <v>0</v>
      </c>
      <c r="K2052" t="n">
        <v>0</v>
      </c>
      <c r="L2052" t="n">
        <v>0</v>
      </c>
      <c r="M2052" t="n">
        <v>0</v>
      </c>
      <c r="N2052" t="n">
        <v>0</v>
      </c>
      <c r="O2052" t="n">
        <v>0</v>
      </c>
      <c r="P2052" t="n">
        <v>0</v>
      </c>
      <c r="Q2052" t="n">
        <v>0</v>
      </c>
      <c r="R2052" s="2" t="inlineStr"/>
    </row>
    <row r="2053" ht="15" customHeight="1">
      <c r="A2053" t="inlineStr">
        <is>
          <t>A 58790-2019</t>
        </is>
      </c>
      <c r="B2053" s="1" t="n">
        <v>43773</v>
      </c>
      <c r="C2053" s="1" t="n">
        <v>45212</v>
      </c>
      <c r="D2053" t="inlineStr">
        <is>
          <t>VÄSTERNORRLANDS LÄN</t>
        </is>
      </c>
      <c r="E2053" t="inlineStr">
        <is>
          <t>ÅNGE</t>
        </is>
      </c>
      <c r="G2053" t="n">
        <v>0.1</v>
      </c>
      <c r="H2053" t="n">
        <v>0</v>
      </c>
      <c r="I2053" t="n">
        <v>0</v>
      </c>
      <c r="J2053" t="n">
        <v>0</v>
      </c>
      <c r="K2053" t="n">
        <v>0</v>
      </c>
      <c r="L2053" t="n">
        <v>0</v>
      </c>
      <c r="M2053" t="n">
        <v>0</v>
      </c>
      <c r="N2053" t="n">
        <v>0</v>
      </c>
      <c r="O2053" t="n">
        <v>0</v>
      </c>
      <c r="P2053" t="n">
        <v>0</v>
      </c>
      <c r="Q2053" t="n">
        <v>0</v>
      </c>
      <c r="R2053" s="2" t="inlineStr"/>
    </row>
    <row r="2054" ht="15" customHeight="1">
      <c r="A2054" t="inlineStr">
        <is>
          <t>A 59500-2019</t>
        </is>
      </c>
      <c r="B2054" s="1" t="n">
        <v>43773</v>
      </c>
      <c r="C2054" s="1" t="n">
        <v>45212</v>
      </c>
      <c r="D2054" t="inlineStr">
        <is>
          <t>VÄSTERNORRLANDS LÄN</t>
        </is>
      </c>
      <c r="E2054" t="inlineStr">
        <is>
          <t>ÖRNSKÖLDSVIK</t>
        </is>
      </c>
      <c r="G2054" t="n">
        <v>9.9</v>
      </c>
      <c r="H2054" t="n">
        <v>0</v>
      </c>
      <c r="I2054" t="n">
        <v>0</v>
      </c>
      <c r="J2054" t="n">
        <v>0</v>
      </c>
      <c r="K2054" t="n">
        <v>0</v>
      </c>
      <c r="L2054" t="n">
        <v>0</v>
      </c>
      <c r="M2054" t="n">
        <v>0</v>
      </c>
      <c r="N2054" t="n">
        <v>0</v>
      </c>
      <c r="O2054" t="n">
        <v>0</v>
      </c>
      <c r="P2054" t="n">
        <v>0</v>
      </c>
      <c r="Q2054" t="n">
        <v>0</v>
      </c>
      <c r="R2054" s="2" t="inlineStr"/>
    </row>
    <row r="2055" ht="15" customHeight="1">
      <c r="A2055" t="inlineStr">
        <is>
          <t>A 59512-2019</t>
        </is>
      </c>
      <c r="B2055" s="1" t="n">
        <v>43773</v>
      </c>
      <c r="C2055" s="1" t="n">
        <v>45212</v>
      </c>
      <c r="D2055" t="inlineStr">
        <is>
          <t>VÄSTERNORRLANDS LÄN</t>
        </is>
      </c>
      <c r="E2055" t="inlineStr">
        <is>
          <t>ÖRNSKÖLDSVIK</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58715-2019</t>
        </is>
      </c>
      <c r="B2056" s="1" t="n">
        <v>43773</v>
      </c>
      <c r="C2056" s="1" t="n">
        <v>45212</v>
      </c>
      <c r="D2056" t="inlineStr">
        <is>
          <t>VÄSTERNORRLANDS LÄN</t>
        </is>
      </c>
      <c r="E2056" t="inlineStr">
        <is>
          <t>ÖRNSKÖLDSVIK</t>
        </is>
      </c>
      <c r="F2056" t="inlineStr">
        <is>
          <t>Holmen skog AB</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58769-2019</t>
        </is>
      </c>
      <c r="B2057" s="1" t="n">
        <v>43773</v>
      </c>
      <c r="C2057" s="1" t="n">
        <v>45212</v>
      </c>
      <c r="D2057" t="inlineStr">
        <is>
          <t>VÄSTERNORRLANDS LÄN</t>
        </is>
      </c>
      <c r="E2057" t="inlineStr">
        <is>
          <t>KRAMFORS</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59523-2019</t>
        </is>
      </c>
      <c r="B2058" s="1" t="n">
        <v>43773</v>
      </c>
      <c r="C2058" s="1" t="n">
        <v>45212</v>
      </c>
      <c r="D2058" t="inlineStr">
        <is>
          <t>VÄSTERNORRLANDS LÄN</t>
        </is>
      </c>
      <c r="E2058" t="inlineStr">
        <is>
          <t>SUNDSVALL</t>
        </is>
      </c>
      <c r="F2058" t="inlineStr">
        <is>
          <t>Kyrkan</t>
        </is>
      </c>
      <c r="G2058" t="n">
        <v>16.6</v>
      </c>
      <c r="H2058" t="n">
        <v>0</v>
      </c>
      <c r="I2058" t="n">
        <v>0</v>
      </c>
      <c r="J2058" t="n">
        <v>0</v>
      </c>
      <c r="K2058" t="n">
        <v>0</v>
      </c>
      <c r="L2058" t="n">
        <v>0</v>
      </c>
      <c r="M2058" t="n">
        <v>0</v>
      </c>
      <c r="N2058" t="n">
        <v>0</v>
      </c>
      <c r="O2058" t="n">
        <v>0</v>
      </c>
      <c r="P2058" t="n">
        <v>0</v>
      </c>
      <c r="Q2058" t="n">
        <v>0</v>
      </c>
      <c r="R2058" s="2" t="inlineStr"/>
    </row>
    <row r="2059" ht="15" customHeight="1">
      <c r="A2059" t="inlineStr">
        <is>
          <t>A 58720-2019</t>
        </is>
      </c>
      <c r="B2059" s="1" t="n">
        <v>43773</v>
      </c>
      <c r="C2059" s="1" t="n">
        <v>45212</v>
      </c>
      <c r="D2059" t="inlineStr">
        <is>
          <t>VÄSTERNORRLANDS LÄN</t>
        </is>
      </c>
      <c r="E2059" t="inlineStr">
        <is>
          <t>ÅNGE</t>
        </is>
      </c>
      <c r="F2059" t="inlineStr">
        <is>
          <t>Sveaskog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59511-2019</t>
        </is>
      </c>
      <c r="B2060" s="1" t="n">
        <v>43773</v>
      </c>
      <c r="C2060" s="1" t="n">
        <v>45212</v>
      </c>
      <c r="D2060" t="inlineStr">
        <is>
          <t>VÄSTERNORRLANDS LÄN</t>
        </is>
      </c>
      <c r="E2060" t="inlineStr">
        <is>
          <t>SOLLEFTEÅ</t>
        </is>
      </c>
      <c r="F2060" t="inlineStr">
        <is>
          <t>Holmen skog AB</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58768-2019</t>
        </is>
      </c>
      <c r="B2061" s="1" t="n">
        <v>43773</v>
      </c>
      <c r="C2061" s="1" t="n">
        <v>45212</v>
      </c>
      <c r="D2061" t="inlineStr">
        <is>
          <t>VÄSTERNORRLANDS LÄN</t>
        </is>
      </c>
      <c r="E2061" t="inlineStr">
        <is>
          <t>KRAMFORS</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59045-2019</t>
        </is>
      </c>
      <c r="B2062" s="1" t="n">
        <v>43774</v>
      </c>
      <c r="C2062" s="1" t="n">
        <v>45212</v>
      </c>
      <c r="D2062" t="inlineStr">
        <is>
          <t>VÄSTERNORRLANDS LÄN</t>
        </is>
      </c>
      <c r="E2062" t="inlineStr">
        <is>
          <t>ÖRNSKÖLDSVIK</t>
        </is>
      </c>
      <c r="F2062" t="inlineStr">
        <is>
          <t>Holmen skog AB</t>
        </is>
      </c>
      <c r="G2062" t="n">
        <v>19.9</v>
      </c>
      <c r="H2062" t="n">
        <v>0</v>
      </c>
      <c r="I2062" t="n">
        <v>0</v>
      </c>
      <c r="J2062" t="n">
        <v>0</v>
      </c>
      <c r="K2062" t="n">
        <v>0</v>
      </c>
      <c r="L2062" t="n">
        <v>0</v>
      </c>
      <c r="M2062" t="n">
        <v>0</v>
      </c>
      <c r="N2062" t="n">
        <v>0</v>
      </c>
      <c r="O2062" t="n">
        <v>0</v>
      </c>
      <c r="P2062" t="n">
        <v>0</v>
      </c>
      <c r="Q2062" t="n">
        <v>0</v>
      </c>
      <c r="R2062" s="2" t="inlineStr"/>
    </row>
    <row r="2063" ht="15" customHeight="1">
      <c r="A2063" t="inlineStr">
        <is>
          <t>A 59686-2019</t>
        </is>
      </c>
      <c r="B2063" s="1" t="n">
        <v>43774</v>
      </c>
      <c r="C2063" s="1" t="n">
        <v>45212</v>
      </c>
      <c r="D2063" t="inlineStr">
        <is>
          <t>VÄSTERNORRLANDS LÄN</t>
        </is>
      </c>
      <c r="E2063" t="inlineStr">
        <is>
          <t>KRAMFORS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59035-2019</t>
        </is>
      </c>
      <c r="B2064" s="1" t="n">
        <v>43774</v>
      </c>
      <c r="C2064" s="1" t="n">
        <v>45212</v>
      </c>
      <c r="D2064" t="inlineStr">
        <is>
          <t>VÄSTERNORRLANDS LÄN</t>
        </is>
      </c>
      <c r="E2064" t="inlineStr">
        <is>
          <t>ÖRNSKÖLDSVIK</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59106-2019</t>
        </is>
      </c>
      <c r="B2065" s="1" t="n">
        <v>43774</v>
      </c>
      <c r="C2065" s="1" t="n">
        <v>45212</v>
      </c>
      <c r="D2065" t="inlineStr">
        <is>
          <t>VÄSTERNORRLANDS LÄN</t>
        </is>
      </c>
      <c r="E2065" t="inlineStr">
        <is>
          <t>HÄRNÖSAND</t>
        </is>
      </c>
      <c r="F2065" t="inlineStr">
        <is>
          <t>SCA</t>
        </is>
      </c>
      <c r="G2065" t="n">
        <v>8.9</v>
      </c>
      <c r="H2065" t="n">
        <v>0</v>
      </c>
      <c r="I2065" t="n">
        <v>0</v>
      </c>
      <c r="J2065" t="n">
        <v>0</v>
      </c>
      <c r="K2065" t="n">
        <v>0</v>
      </c>
      <c r="L2065" t="n">
        <v>0</v>
      </c>
      <c r="M2065" t="n">
        <v>0</v>
      </c>
      <c r="N2065" t="n">
        <v>0</v>
      </c>
      <c r="O2065" t="n">
        <v>0</v>
      </c>
      <c r="P2065" t="n">
        <v>0</v>
      </c>
      <c r="Q2065" t="n">
        <v>0</v>
      </c>
      <c r="R2065" s="2" t="inlineStr"/>
    </row>
    <row r="2066" ht="15" customHeight="1">
      <c r="A2066" t="inlineStr">
        <is>
          <t>A 58847-2019</t>
        </is>
      </c>
      <c r="B2066" s="1" t="n">
        <v>43774</v>
      </c>
      <c r="C2066" s="1" t="n">
        <v>45212</v>
      </c>
      <c r="D2066" t="inlineStr">
        <is>
          <t>VÄSTERNORRLANDS LÄN</t>
        </is>
      </c>
      <c r="E2066" t="inlineStr">
        <is>
          <t>KRAMFORS</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58866-2019</t>
        </is>
      </c>
      <c r="B2067" s="1" t="n">
        <v>43774</v>
      </c>
      <c r="C2067" s="1" t="n">
        <v>45212</v>
      </c>
      <c r="D2067" t="inlineStr">
        <is>
          <t>VÄSTERNORRLANDS LÄN</t>
        </is>
      </c>
      <c r="E2067" t="inlineStr">
        <is>
          <t>SUNDSVALL</t>
        </is>
      </c>
      <c r="G2067" t="n">
        <v>7.8</v>
      </c>
      <c r="H2067" t="n">
        <v>0</v>
      </c>
      <c r="I2067" t="n">
        <v>0</v>
      </c>
      <c r="J2067" t="n">
        <v>0</v>
      </c>
      <c r="K2067" t="n">
        <v>0</v>
      </c>
      <c r="L2067" t="n">
        <v>0</v>
      </c>
      <c r="M2067" t="n">
        <v>0</v>
      </c>
      <c r="N2067" t="n">
        <v>0</v>
      </c>
      <c r="O2067" t="n">
        <v>0</v>
      </c>
      <c r="P2067" t="n">
        <v>0</v>
      </c>
      <c r="Q2067" t="n">
        <v>0</v>
      </c>
      <c r="R2067" s="2" t="inlineStr"/>
    </row>
    <row r="2068" ht="15" customHeight="1">
      <c r="A2068" t="inlineStr">
        <is>
          <t>A 58932-2019</t>
        </is>
      </c>
      <c r="B2068" s="1" t="n">
        <v>43774</v>
      </c>
      <c r="C2068" s="1" t="n">
        <v>45212</v>
      </c>
      <c r="D2068" t="inlineStr">
        <is>
          <t>VÄSTERNORRLANDS LÄN</t>
        </is>
      </c>
      <c r="E2068" t="inlineStr">
        <is>
          <t>ÅNGE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58951-2019</t>
        </is>
      </c>
      <c r="B2069" s="1" t="n">
        <v>43774</v>
      </c>
      <c r="C2069" s="1" t="n">
        <v>45212</v>
      </c>
      <c r="D2069" t="inlineStr">
        <is>
          <t>VÄSTERNORRLANDS LÄN</t>
        </is>
      </c>
      <c r="E2069" t="inlineStr">
        <is>
          <t>ÅNGE</t>
        </is>
      </c>
      <c r="G2069" t="n">
        <v>6.9</v>
      </c>
      <c r="H2069" t="n">
        <v>0</v>
      </c>
      <c r="I2069" t="n">
        <v>0</v>
      </c>
      <c r="J2069" t="n">
        <v>0</v>
      </c>
      <c r="K2069" t="n">
        <v>0</v>
      </c>
      <c r="L2069" t="n">
        <v>0</v>
      </c>
      <c r="M2069" t="n">
        <v>0</v>
      </c>
      <c r="N2069" t="n">
        <v>0</v>
      </c>
      <c r="O2069" t="n">
        <v>0</v>
      </c>
      <c r="P2069" t="n">
        <v>0</v>
      </c>
      <c r="Q2069" t="n">
        <v>0</v>
      </c>
      <c r="R2069" s="2" t="inlineStr"/>
    </row>
    <row r="2070" ht="15" customHeight="1">
      <c r="A2070" t="inlineStr">
        <is>
          <t>A 58852-2019</t>
        </is>
      </c>
      <c r="B2070" s="1" t="n">
        <v>43774</v>
      </c>
      <c r="C2070" s="1" t="n">
        <v>45212</v>
      </c>
      <c r="D2070" t="inlineStr">
        <is>
          <t>VÄSTERNORRLANDS LÄN</t>
        </is>
      </c>
      <c r="E2070" t="inlineStr">
        <is>
          <t>KRAMFORS</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58867-2019</t>
        </is>
      </c>
      <c r="B2071" s="1" t="n">
        <v>43774</v>
      </c>
      <c r="C2071" s="1" t="n">
        <v>45212</v>
      </c>
      <c r="D2071" t="inlineStr">
        <is>
          <t>VÄSTERNORRLANDS LÄN</t>
        </is>
      </c>
      <c r="E2071" t="inlineStr">
        <is>
          <t>TIMRÅ</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58941-2019</t>
        </is>
      </c>
      <c r="B2072" s="1" t="n">
        <v>43774</v>
      </c>
      <c r="C2072" s="1" t="n">
        <v>45212</v>
      </c>
      <c r="D2072" t="inlineStr">
        <is>
          <t>VÄSTERNORRLANDS LÄN</t>
        </is>
      </c>
      <c r="E2072" t="inlineStr">
        <is>
          <t>ÅNGE</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59770-2019</t>
        </is>
      </c>
      <c r="B2073" s="1" t="n">
        <v>43776</v>
      </c>
      <c r="C2073" s="1" t="n">
        <v>45212</v>
      </c>
      <c r="D2073" t="inlineStr">
        <is>
          <t>VÄSTERNORRLANDS LÄN</t>
        </is>
      </c>
      <c r="E2073" t="inlineStr">
        <is>
          <t>SUNDSVALL</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59787-2019</t>
        </is>
      </c>
      <c r="B2074" s="1" t="n">
        <v>43776</v>
      </c>
      <c r="C2074" s="1" t="n">
        <v>45212</v>
      </c>
      <c r="D2074" t="inlineStr">
        <is>
          <t>VÄSTERNORRLANDS LÄN</t>
        </is>
      </c>
      <c r="E2074" t="inlineStr">
        <is>
          <t>ÖRNSKÖLDSVIK</t>
        </is>
      </c>
      <c r="F2074" t="inlineStr">
        <is>
          <t>SCA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59771-2019</t>
        </is>
      </c>
      <c r="B2075" s="1" t="n">
        <v>43776</v>
      </c>
      <c r="C2075" s="1" t="n">
        <v>45212</v>
      </c>
      <c r="D2075" t="inlineStr">
        <is>
          <t>VÄSTERNORRLANDS LÄN</t>
        </is>
      </c>
      <c r="E2075" t="inlineStr">
        <is>
          <t>SUNDSVALL</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60478-2019</t>
        </is>
      </c>
      <c r="B2076" s="1" t="n">
        <v>43776</v>
      </c>
      <c r="C2076" s="1" t="n">
        <v>45212</v>
      </c>
      <c r="D2076" t="inlineStr">
        <is>
          <t>VÄSTERNORRLANDS LÄN</t>
        </is>
      </c>
      <c r="E2076" t="inlineStr">
        <is>
          <t>ÖRNSKÖLDSVIK</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59460-2019</t>
        </is>
      </c>
      <c r="B2077" s="1" t="n">
        <v>43776</v>
      </c>
      <c r="C2077" s="1" t="n">
        <v>45212</v>
      </c>
      <c r="D2077" t="inlineStr">
        <is>
          <t>VÄSTERNORRLANDS LÄN</t>
        </is>
      </c>
      <c r="E2077" t="inlineStr">
        <is>
          <t>SOLLEFTEÅ</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59774-2019</t>
        </is>
      </c>
      <c r="B2078" s="1" t="n">
        <v>43776</v>
      </c>
      <c r="C2078" s="1" t="n">
        <v>45212</v>
      </c>
      <c r="D2078" t="inlineStr">
        <is>
          <t>VÄSTERNORRLANDS LÄN</t>
        </is>
      </c>
      <c r="E2078" t="inlineStr">
        <is>
          <t>ÖRNSKÖLDSVIK</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59602-2019</t>
        </is>
      </c>
      <c r="B2079" s="1" t="n">
        <v>43776</v>
      </c>
      <c r="C2079" s="1" t="n">
        <v>45212</v>
      </c>
      <c r="D2079" t="inlineStr">
        <is>
          <t>VÄSTERNORRLANDS LÄN</t>
        </is>
      </c>
      <c r="E2079" t="inlineStr">
        <is>
          <t>KRAMFORS</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59772-2019</t>
        </is>
      </c>
      <c r="B2080" s="1" t="n">
        <v>43776</v>
      </c>
      <c r="C2080" s="1" t="n">
        <v>45212</v>
      </c>
      <c r="D2080" t="inlineStr">
        <is>
          <t>VÄSTERNORRLANDS LÄN</t>
        </is>
      </c>
      <c r="E2080" t="inlineStr">
        <is>
          <t>SUNDSVALL</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60087-2019</t>
        </is>
      </c>
      <c r="B2081" s="1" t="n">
        <v>43777</v>
      </c>
      <c r="C2081" s="1" t="n">
        <v>45212</v>
      </c>
      <c r="D2081" t="inlineStr">
        <is>
          <t>VÄSTERNORRLANDS LÄN</t>
        </is>
      </c>
      <c r="E2081" t="inlineStr">
        <is>
          <t>ÖRNSKÖLDSVIK</t>
        </is>
      </c>
      <c r="F2081" t="inlineStr">
        <is>
          <t>Holmen skog AB</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60115-2019</t>
        </is>
      </c>
      <c r="B2082" s="1" t="n">
        <v>43777</v>
      </c>
      <c r="C2082" s="1" t="n">
        <v>45212</v>
      </c>
      <c r="D2082" t="inlineStr">
        <is>
          <t>VÄSTERNORRLANDS LÄN</t>
        </is>
      </c>
      <c r="E2082" t="inlineStr">
        <is>
          <t>SUNDSVALL</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60361-2019</t>
        </is>
      </c>
      <c r="B2083" s="1" t="n">
        <v>43780</v>
      </c>
      <c r="C2083" s="1" t="n">
        <v>45212</v>
      </c>
      <c r="D2083" t="inlineStr">
        <is>
          <t>VÄSTERNORRLANDS LÄN</t>
        </is>
      </c>
      <c r="E2083" t="inlineStr">
        <is>
          <t>ÖRNSKÖLDSVIK</t>
        </is>
      </c>
      <c r="G2083" t="n">
        <v>4.7</v>
      </c>
      <c r="H2083" t="n">
        <v>0</v>
      </c>
      <c r="I2083" t="n">
        <v>0</v>
      </c>
      <c r="J2083" t="n">
        <v>0</v>
      </c>
      <c r="K2083" t="n">
        <v>0</v>
      </c>
      <c r="L2083" t="n">
        <v>0</v>
      </c>
      <c r="M2083" t="n">
        <v>0</v>
      </c>
      <c r="N2083" t="n">
        <v>0</v>
      </c>
      <c r="O2083" t="n">
        <v>0</v>
      </c>
      <c r="P2083" t="n">
        <v>0</v>
      </c>
      <c r="Q2083" t="n">
        <v>0</v>
      </c>
      <c r="R2083" s="2" t="inlineStr"/>
    </row>
    <row r="2084" ht="15" customHeight="1">
      <c r="A2084" t="inlineStr">
        <is>
          <t>A 60341-2019</t>
        </is>
      </c>
      <c r="B2084" s="1" t="n">
        <v>43780</v>
      </c>
      <c r="C2084" s="1" t="n">
        <v>45212</v>
      </c>
      <c r="D2084" t="inlineStr">
        <is>
          <t>VÄSTERNORRLANDS LÄN</t>
        </is>
      </c>
      <c r="E2084" t="inlineStr">
        <is>
          <t>SUNDSVALL</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60491-2019</t>
        </is>
      </c>
      <c r="B2085" s="1" t="n">
        <v>43780</v>
      </c>
      <c r="C2085" s="1" t="n">
        <v>45212</v>
      </c>
      <c r="D2085" t="inlineStr">
        <is>
          <t>VÄSTERNORRLANDS LÄN</t>
        </is>
      </c>
      <c r="E2085" t="inlineStr">
        <is>
          <t>SOLLEFTEÅ</t>
        </is>
      </c>
      <c r="F2085" t="inlineStr">
        <is>
          <t>Holmen skog AB</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61299-2019</t>
        </is>
      </c>
      <c r="B2086" s="1" t="n">
        <v>43780</v>
      </c>
      <c r="C2086" s="1" t="n">
        <v>45212</v>
      </c>
      <c r="D2086" t="inlineStr">
        <is>
          <t>VÄSTERNORRLANDS LÄN</t>
        </is>
      </c>
      <c r="E2086" t="inlineStr">
        <is>
          <t>HÄRNÖSAND</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61465-2019</t>
        </is>
      </c>
      <c r="B2087" s="1" t="n">
        <v>43780</v>
      </c>
      <c r="C2087" s="1" t="n">
        <v>45212</v>
      </c>
      <c r="D2087" t="inlineStr">
        <is>
          <t>VÄSTERNORRLANDS LÄN</t>
        </is>
      </c>
      <c r="E2087" t="inlineStr">
        <is>
          <t>ÖRNSKÖLDSVIK</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60841-2019</t>
        </is>
      </c>
      <c r="B2088" s="1" t="n">
        <v>43780</v>
      </c>
      <c r="C2088" s="1" t="n">
        <v>45212</v>
      </c>
      <c r="D2088" t="inlineStr">
        <is>
          <t>VÄSTERNORRLANDS LÄN</t>
        </is>
      </c>
      <c r="E2088" t="inlineStr">
        <is>
          <t>ÖRNSKÖLDSVIK</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61428-2019</t>
        </is>
      </c>
      <c r="B2089" s="1" t="n">
        <v>43780</v>
      </c>
      <c r="C2089" s="1" t="n">
        <v>45212</v>
      </c>
      <c r="D2089" t="inlineStr">
        <is>
          <t>VÄSTERNORRLANDS LÄN</t>
        </is>
      </c>
      <c r="E2089" t="inlineStr">
        <is>
          <t>SOLLEFTEÅ</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60849-2019</t>
        </is>
      </c>
      <c r="B2090" s="1" t="n">
        <v>43781</v>
      </c>
      <c r="C2090" s="1" t="n">
        <v>45212</v>
      </c>
      <c r="D2090" t="inlineStr">
        <is>
          <t>VÄSTERNORRLANDS LÄN</t>
        </is>
      </c>
      <c r="E2090" t="inlineStr">
        <is>
          <t>TIMRÅ</t>
        </is>
      </c>
      <c r="F2090" t="inlineStr">
        <is>
          <t>Kommuner</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60905-2019</t>
        </is>
      </c>
      <c r="B2091" s="1" t="n">
        <v>43781</v>
      </c>
      <c r="C2091" s="1" t="n">
        <v>45212</v>
      </c>
      <c r="D2091" t="inlineStr">
        <is>
          <t>VÄSTERNORRLANDS LÄN</t>
        </is>
      </c>
      <c r="E2091" t="inlineStr">
        <is>
          <t>SOLLEFTEÅ</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61978-2019</t>
        </is>
      </c>
      <c r="B2092" s="1" t="n">
        <v>43781</v>
      </c>
      <c r="C2092" s="1" t="n">
        <v>45212</v>
      </c>
      <c r="D2092" t="inlineStr">
        <is>
          <t>VÄSTERNORRLANDS LÄN</t>
        </is>
      </c>
      <c r="E2092" t="inlineStr">
        <is>
          <t>SOLLEFTEÅ</t>
        </is>
      </c>
      <c r="F2092" t="inlineStr">
        <is>
          <t>SCA</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60538-2019</t>
        </is>
      </c>
      <c r="B2093" s="1" t="n">
        <v>43781</v>
      </c>
      <c r="C2093" s="1" t="n">
        <v>45212</v>
      </c>
      <c r="D2093" t="inlineStr">
        <is>
          <t>VÄSTERNORRLANDS LÄN</t>
        </is>
      </c>
      <c r="E2093" t="inlineStr">
        <is>
          <t>SOLLEFTEÅ</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60588-2019</t>
        </is>
      </c>
      <c r="B2094" s="1" t="n">
        <v>43781</v>
      </c>
      <c r="C2094" s="1" t="n">
        <v>45212</v>
      </c>
      <c r="D2094" t="inlineStr">
        <is>
          <t>VÄSTERNORRLANDS LÄN</t>
        </is>
      </c>
      <c r="E2094" t="inlineStr">
        <is>
          <t>SUNDSVALL</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60687-2019</t>
        </is>
      </c>
      <c r="B2095" s="1" t="n">
        <v>43781</v>
      </c>
      <c r="C2095" s="1" t="n">
        <v>45212</v>
      </c>
      <c r="D2095" t="inlineStr">
        <is>
          <t>VÄSTERNORRLANDS LÄN</t>
        </is>
      </c>
      <c r="E2095" t="inlineStr">
        <is>
          <t>ÅNGE</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61218-2019</t>
        </is>
      </c>
      <c r="B2096" s="1" t="n">
        <v>43781</v>
      </c>
      <c r="C2096" s="1" t="n">
        <v>45212</v>
      </c>
      <c r="D2096" t="inlineStr">
        <is>
          <t>VÄSTERNORRLANDS LÄN</t>
        </is>
      </c>
      <c r="E2096" t="inlineStr">
        <is>
          <t>ÖRNSKÖLDSVIK</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60531-2019</t>
        </is>
      </c>
      <c r="B2097" s="1" t="n">
        <v>43781</v>
      </c>
      <c r="C2097" s="1" t="n">
        <v>45212</v>
      </c>
      <c r="D2097" t="inlineStr">
        <is>
          <t>VÄSTERNORRLANDS LÄN</t>
        </is>
      </c>
      <c r="E2097" t="inlineStr">
        <is>
          <t>SOLLEFTEÅ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60843-2019</t>
        </is>
      </c>
      <c r="B2098" s="1" t="n">
        <v>43781</v>
      </c>
      <c r="C2098" s="1" t="n">
        <v>45212</v>
      </c>
      <c r="D2098" t="inlineStr">
        <is>
          <t>VÄSTERNORRLANDS LÄN</t>
        </is>
      </c>
      <c r="E2098" t="inlineStr">
        <is>
          <t>ÖRNSKÖLDSVIK</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60577-2019</t>
        </is>
      </c>
      <c r="B2099" s="1" t="n">
        <v>43781</v>
      </c>
      <c r="C2099" s="1" t="n">
        <v>45212</v>
      </c>
      <c r="D2099" t="inlineStr">
        <is>
          <t>VÄSTERNORRLANDS LÄN</t>
        </is>
      </c>
      <c r="E2099" t="inlineStr">
        <is>
          <t>ÅNGE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60868-2019</t>
        </is>
      </c>
      <c r="B2100" s="1" t="n">
        <v>43781</v>
      </c>
      <c r="C2100" s="1" t="n">
        <v>45212</v>
      </c>
      <c r="D2100" t="inlineStr">
        <is>
          <t>VÄSTERNORRLANDS LÄN</t>
        </is>
      </c>
      <c r="E2100" t="inlineStr">
        <is>
          <t>ÅNGE</t>
        </is>
      </c>
      <c r="F2100" t="inlineStr">
        <is>
          <t>SCA</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61053-2019</t>
        </is>
      </c>
      <c r="B2101" s="1" t="n">
        <v>43782</v>
      </c>
      <c r="C2101" s="1" t="n">
        <v>45212</v>
      </c>
      <c r="D2101" t="inlineStr">
        <is>
          <t>VÄSTERNORRLANDS LÄN</t>
        </is>
      </c>
      <c r="E2101" t="inlineStr">
        <is>
          <t>ÖRNSKÖLDSVIK</t>
        </is>
      </c>
      <c r="F2101" t="inlineStr">
        <is>
          <t>Holmen skog AB</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61641-2019</t>
        </is>
      </c>
      <c r="B2102" s="1" t="n">
        <v>43782</v>
      </c>
      <c r="C2102" s="1" t="n">
        <v>45212</v>
      </c>
      <c r="D2102" t="inlineStr">
        <is>
          <t>VÄSTERNORRLANDS LÄN</t>
        </is>
      </c>
      <c r="E2102" t="inlineStr">
        <is>
          <t>HÄRNÖSAND</t>
        </is>
      </c>
      <c r="G2102" t="n">
        <v>8.300000000000001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62331-2019</t>
        </is>
      </c>
      <c r="B2103" s="1" t="n">
        <v>43782</v>
      </c>
      <c r="C2103" s="1" t="n">
        <v>45212</v>
      </c>
      <c r="D2103" t="inlineStr">
        <is>
          <t>VÄSTERNORRLANDS LÄN</t>
        </is>
      </c>
      <c r="E2103" t="inlineStr">
        <is>
          <t>ÖRNSKÖLDSVIK</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61182-2019</t>
        </is>
      </c>
      <c r="B2104" s="1" t="n">
        <v>43782</v>
      </c>
      <c r="C2104" s="1" t="n">
        <v>45212</v>
      </c>
      <c r="D2104" t="inlineStr">
        <is>
          <t>VÄSTERNORRLANDS LÄN</t>
        </is>
      </c>
      <c r="E2104" t="inlineStr">
        <is>
          <t>ÖRNSKÖLDSVIK</t>
        </is>
      </c>
      <c r="F2104" t="inlineStr">
        <is>
          <t>Holmen skog AB</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61197-2019</t>
        </is>
      </c>
      <c r="B2105" s="1" t="n">
        <v>43782</v>
      </c>
      <c r="C2105" s="1" t="n">
        <v>45212</v>
      </c>
      <c r="D2105" t="inlineStr">
        <is>
          <t>VÄSTERNORRLANDS LÄN</t>
        </is>
      </c>
      <c r="E2105" t="inlineStr">
        <is>
          <t>SUNDSVALL</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62282-2019</t>
        </is>
      </c>
      <c r="B2106" s="1" t="n">
        <v>43782</v>
      </c>
      <c r="C2106" s="1" t="n">
        <v>45212</v>
      </c>
      <c r="D2106" t="inlineStr">
        <is>
          <t>VÄSTERNORRLANDS LÄN</t>
        </is>
      </c>
      <c r="E2106" t="inlineStr">
        <is>
          <t>TIMRÅ</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61520-2019</t>
        </is>
      </c>
      <c r="B2107" s="1" t="n">
        <v>43783</v>
      </c>
      <c r="C2107" s="1" t="n">
        <v>45212</v>
      </c>
      <c r="D2107" t="inlineStr">
        <is>
          <t>VÄSTERNORRLANDS LÄN</t>
        </is>
      </c>
      <c r="E2107" t="inlineStr">
        <is>
          <t>ÅNGE</t>
        </is>
      </c>
      <c r="F2107" t="inlineStr">
        <is>
          <t>SCA</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61453-2019</t>
        </is>
      </c>
      <c r="B2108" s="1" t="n">
        <v>43783</v>
      </c>
      <c r="C2108" s="1" t="n">
        <v>45212</v>
      </c>
      <c r="D2108" t="inlineStr">
        <is>
          <t>VÄSTERNORRLANDS LÄN</t>
        </is>
      </c>
      <c r="E2108" t="inlineStr">
        <is>
          <t>ÖRNSKÖLDSVIK</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61521-2019</t>
        </is>
      </c>
      <c r="B2109" s="1" t="n">
        <v>43783</v>
      </c>
      <c r="C2109" s="1" t="n">
        <v>45212</v>
      </c>
      <c r="D2109" t="inlineStr">
        <is>
          <t>VÄSTERNORRLANDS LÄN</t>
        </is>
      </c>
      <c r="E2109" t="inlineStr">
        <is>
          <t>ÅNGE</t>
        </is>
      </c>
      <c r="F2109" t="inlineStr">
        <is>
          <t>SCA</t>
        </is>
      </c>
      <c r="G2109" t="n">
        <v>40.5</v>
      </c>
      <c r="H2109" t="n">
        <v>0</v>
      </c>
      <c r="I2109" t="n">
        <v>0</v>
      </c>
      <c r="J2109" t="n">
        <v>0</v>
      </c>
      <c r="K2109" t="n">
        <v>0</v>
      </c>
      <c r="L2109" t="n">
        <v>0</v>
      </c>
      <c r="M2109" t="n">
        <v>0</v>
      </c>
      <c r="N2109" t="n">
        <v>0</v>
      </c>
      <c r="O2109" t="n">
        <v>0</v>
      </c>
      <c r="P2109" t="n">
        <v>0</v>
      </c>
      <c r="Q2109" t="n">
        <v>0</v>
      </c>
      <c r="R2109" s="2" t="inlineStr"/>
    </row>
    <row r="2110" ht="15" customHeight="1">
      <c r="A2110" t="inlineStr">
        <is>
          <t>A 62602-2019</t>
        </is>
      </c>
      <c r="B2110" s="1" t="n">
        <v>43784</v>
      </c>
      <c r="C2110" s="1" t="n">
        <v>45212</v>
      </c>
      <c r="D2110" t="inlineStr">
        <is>
          <t>VÄSTERNORRLANDS LÄN</t>
        </is>
      </c>
      <c r="E2110" t="inlineStr">
        <is>
          <t>ÖRNSKÖLDSVIK</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61918-2019</t>
        </is>
      </c>
      <c r="B2111" s="1" t="n">
        <v>43787</v>
      </c>
      <c r="C2111" s="1" t="n">
        <v>45212</v>
      </c>
      <c r="D2111" t="inlineStr">
        <is>
          <t>VÄSTERNORRLANDS LÄN</t>
        </is>
      </c>
      <c r="E2111" t="inlineStr">
        <is>
          <t>ÅNGE</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61966-2019</t>
        </is>
      </c>
      <c r="B2112" s="1" t="n">
        <v>43787</v>
      </c>
      <c r="C2112" s="1" t="n">
        <v>45212</v>
      </c>
      <c r="D2112" t="inlineStr">
        <is>
          <t>VÄSTERNORRLANDS LÄN</t>
        </is>
      </c>
      <c r="E2112" t="inlineStr">
        <is>
          <t>SUNDSVALL</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62150-2019</t>
        </is>
      </c>
      <c r="B2113" s="1" t="n">
        <v>43787</v>
      </c>
      <c r="C2113" s="1" t="n">
        <v>45212</v>
      </c>
      <c r="D2113" t="inlineStr">
        <is>
          <t>VÄSTERNORRLANDS LÄN</t>
        </is>
      </c>
      <c r="E2113" t="inlineStr">
        <is>
          <t>ÖRNSKÖLDSVIK</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62178-2019</t>
        </is>
      </c>
      <c r="B2114" s="1" t="n">
        <v>43787</v>
      </c>
      <c r="C2114" s="1" t="n">
        <v>45212</v>
      </c>
      <c r="D2114" t="inlineStr">
        <is>
          <t>VÄSTERNORRLANDS LÄN</t>
        </is>
      </c>
      <c r="E2114" t="inlineStr">
        <is>
          <t>KRAMFORS</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61862-2019</t>
        </is>
      </c>
      <c r="B2115" s="1" t="n">
        <v>43787</v>
      </c>
      <c r="C2115" s="1" t="n">
        <v>45212</v>
      </c>
      <c r="D2115" t="inlineStr">
        <is>
          <t>VÄSTERNORRLANDS LÄN</t>
        </is>
      </c>
      <c r="E2115" t="inlineStr">
        <is>
          <t>ÅNGE</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62179-2019</t>
        </is>
      </c>
      <c r="B2116" s="1" t="n">
        <v>43787</v>
      </c>
      <c r="C2116" s="1" t="n">
        <v>45212</v>
      </c>
      <c r="D2116" t="inlineStr">
        <is>
          <t>VÄSTERNORRLANDS LÄN</t>
        </is>
      </c>
      <c r="E2116" t="inlineStr">
        <is>
          <t>HÄRNÖSAND</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62180-2019</t>
        </is>
      </c>
      <c r="B2117" s="1" t="n">
        <v>43787</v>
      </c>
      <c r="C2117" s="1" t="n">
        <v>45212</v>
      </c>
      <c r="D2117" t="inlineStr">
        <is>
          <t>VÄSTERNORRLANDS LÄN</t>
        </is>
      </c>
      <c r="E2117" t="inlineStr">
        <is>
          <t>KRAMFORS</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63685-2019</t>
        </is>
      </c>
      <c r="B2118" s="1" t="n">
        <v>43788</v>
      </c>
      <c r="C2118" s="1" t="n">
        <v>45212</v>
      </c>
      <c r="D2118" t="inlineStr">
        <is>
          <t>VÄSTERNORRLANDS LÄN</t>
        </is>
      </c>
      <c r="E2118" t="inlineStr">
        <is>
          <t>TIMRÅ</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62398-2019</t>
        </is>
      </c>
      <c r="B2119" s="1" t="n">
        <v>43788</v>
      </c>
      <c r="C2119" s="1" t="n">
        <v>45212</v>
      </c>
      <c r="D2119" t="inlineStr">
        <is>
          <t>VÄSTERNORRLANDS LÄN</t>
        </is>
      </c>
      <c r="E2119" t="inlineStr">
        <is>
          <t>ÖRNSKÖLDSVIK</t>
        </is>
      </c>
      <c r="F2119" t="inlineStr">
        <is>
          <t>Holmen skog AB</t>
        </is>
      </c>
      <c r="G2119" t="n">
        <v>5.5</v>
      </c>
      <c r="H2119" t="n">
        <v>0</v>
      </c>
      <c r="I2119" t="n">
        <v>0</v>
      </c>
      <c r="J2119" t="n">
        <v>0</v>
      </c>
      <c r="K2119" t="n">
        <v>0</v>
      </c>
      <c r="L2119" t="n">
        <v>0</v>
      </c>
      <c r="M2119" t="n">
        <v>0</v>
      </c>
      <c r="N2119" t="n">
        <v>0</v>
      </c>
      <c r="O2119" t="n">
        <v>0</v>
      </c>
      <c r="P2119" t="n">
        <v>0</v>
      </c>
      <c r="Q2119" t="n">
        <v>0</v>
      </c>
      <c r="R2119" s="2" t="inlineStr"/>
    </row>
    <row r="2120" ht="15" customHeight="1">
      <c r="A2120" t="inlineStr">
        <is>
          <t>A 63450-2019</t>
        </is>
      </c>
      <c r="B2120" s="1" t="n">
        <v>43788</v>
      </c>
      <c r="C2120" s="1" t="n">
        <v>45212</v>
      </c>
      <c r="D2120" t="inlineStr">
        <is>
          <t>VÄSTERNORRLANDS LÄN</t>
        </is>
      </c>
      <c r="E2120" t="inlineStr">
        <is>
          <t>SOLLEFTEÅ</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62222-2019</t>
        </is>
      </c>
      <c r="B2121" s="1" t="n">
        <v>43788</v>
      </c>
      <c r="C2121" s="1" t="n">
        <v>45212</v>
      </c>
      <c r="D2121" t="inlineStr">
        <is>
          <t>VÄSTERNORRLANDS LÄN</t>
        </is>
      </c>
      <c r="E2121" t="inlineStr">
        <is>
          <t>ÅNGE</t>
        </is>
      </c>
      <c r="G2121" t="n">
        <v>2.9</v>
      </c>
      <c r="H2121" t="n">
        <v>0</v>
      </c>
      <c r="I2121" t="n">
        <v>0</v>
      </c>
      <c r="J2121" t="n">
        <v>0</v>
      </c>
      <c r="K2121" t="n">
        <v>0</v>
      </c>
      <c r="L2121" t="n">
        <v>0</v>
      </c>
      <c r="M2121" t="n">
        <v>0</v>
      </c>
      <c r="N2121" t="n">
        <v>0</v>
      </c>
      <c r="O2121" t="n">
        <v>0</v>
      </c>
      <c r="P2121" t="n">
        <v>0</v>
      </c>
      <c r="Q2121" t="n">
        <v>0</v>
      </c>
      <c r="R2121" s="2" t="inlineStr"/>
    </row>
    <row r="2122" ht="15" customHeight="1">
      <c r="A2122" t="inlineStr">
        <is>
          <t>A 62394-2019</t>
        </is>
      </c>
      <c r="B2122" s="1" t="n">
        <v>43788</v>
      </c>
      <c r="C2122" s="1" t="n">
        <v>45212</v>
      </c>
      <c r="D2122" t="inlineStr">
        <is>
          <t>VÄSTERNORRLANDS LÄN</t>
        </is>
      </c>
      <c r="E2122" t="inlineStr">
        <is>
          <t>ÖRNSKÖLDSVIK</t>
        </is>
      </c>
      <c r="F2122" t="inlineStr">
        <is>
          <t>Holmen skog AB</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62500-2019</t>
        </is>
      </c>
      <c r="B2123" s="1" t="n">
        <v>43788</v>
      </c>
      <c r="C2123" s="1" t="n">
        <v>45212</v>
      </c>
      <c r="D2123" t="inlineStr">
        <is>
          <t>VÄSTERNORRLANDS LÄN</t>
        </is>
      </c>
      <c r="E2123" t="inlineStr">
        <is>
          <t>SOLLEFTEÅ</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62715-2019</t>
        </is>
      </c>
      <c r="B2124" s="1" t="n">
        <v>43789</v>
      </c>
      <c r="C2124" s="1" t="n">
        <v>45212</v>
      </c>
      <c r="D2124" t="inlineStr">
        <is>
          <t>VÄSTERNORRLANDS LÄN</t>
        </is>
      </c>
      <c r="E2124" t="inlineStr">
        <is>
          <t>SUNDSVALL</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63672-2019</t>
        </is>
      </c>
      <c r="B2125" s="1" t="n">
        <v>43789</v>
      </c>
      <c r="C2125" s="1" t="n">
        <v>45212</v>
      </c>
      <c r="D2125" t="inlineStr">
        <is>
          <t>VÄSTERNORRLANDS LÄN</t>
        </is>
      </c>
      <c r="E2125" t="inlineStr">
        <is>
          <t>ÖRNSKÖLDSVIK</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62547-2019</t>
        </is>
      </c>
      <c r="B2126" s="1" t="n">
        <v>43789</v>
      </c>
      <c r="C2126" s="1" t="n">
        <v>45212</v>
      </c>
      <c r="D2126" t="inlineStr">
        <is>
          <t>VÄSTERNORRLANDS LÄN</t>
        </is>
      </c>
      <c r="E2126" t="inlineStr">
        <is>
          <t>ÅNGE</t>
        </is>
      </c>
      <c r="F2126" t="inlineStr">
        <is>
          <t>Övriga Aktiebolag</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63612-2019</t>
        </is>
      </c>
      <c r="B2127" s="1" t="n">
        <v>43789</v>
      </c>
      <c r="C2127" s="1" t="n">
        <v>45212</v>
      </c>
      <c r="D2127" t="inlineStr">
        <is>
          <t>VÄSTERNORRLANDS LÄN</t>
        </is>
      </c>
      <c r="E2127" t="inlineStr">
        <is>
          <t>KRAMFORS</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63891-2019</t>
        </is>
      </c>
      <c r="B2128" s="1" t="n">
        <v>43790</v>
      </c>
      <c r="C2128" s="1" t="n">
        <v>45212</v>
      </c>
      <c r="D2128" t="inlineStr">
        <is>
          <t>VÄSTERNORRLANDS LÄN</t>
        </is>
      </c>
      <c r="E2128" t="inlineStr">
        <is>
          <t>ÖRNSKÖLDSVIK</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63007-2019</t>
        </is>
      </c>
      <c r="B2129" s="1" t="n">
        <v>43790</v>
      </c>
      <c r="C2129" s="1" t="n">
        <v>45212</v>
      </c>
      <c r="D2129" t="inlineStr">
        <is>
          <t>VÄSTERNORRLANDS LÄN</t>
        </is>
      </c>
      <c r="E2129" t="inlineStr">
        <is>
          <t>SUNDSVALL</t>
        </is>
      </c>
      <c r="F2129" t="inlineStr">
        <is>
          <t>Naturvårdsverket</t>
        </is>
      </c>
      <c r="G2129" t="n">
        <v>23.6</v>
      </c>
      <c r="H2129" t="n">
        <v>0</v>
      </c>
      <c r="I2129" t="n">
        <v>0</v>
      </c>
      <c r="J2129" t="n">
        <v>0</v>
      </c>
      <c r="K2129" t="n">
        <v>0</v>
      </c>
      <c r="L2129" t="n">
        <v>0</v>
      </c>
      <c r="M2129" t="n">
        <v>0</v>
      </c>
      <c r="N2129" t="n">
        <v>0</v>
      </c>
      <c r="O2129" t="n">
        <v>0</v>
      </c>
      <c r="P2129" t="n">
        <v>0</v>
      </c>
      <c r="Q2129" t="n">
        <v>0</v>
      </c>
      <c r="R2129" s="2" t="inlineStr"/>
    </row>
    <row r="2130" ht="15" customHeight="1">
      <c r="A2130" t="inlineStr">
        <is>
          <t>A 62833-2019</t>
        </is>
      </c>
      <c r="B2130" s="1" t="n">
        <v>43790</v>
      </c>
      <c r="C2130" s="1" t="n">
        <v>45212</v>
      </c>
      <c r="D2130" t="inlineStr">
        <is>
          <t>VÄSTERNORRLANDS LÄN</t>
        </is>
      </c>
      <c r="E2130" t="inlineStr">
        <is>
          <t>SUNDSVALL</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62826-2019</t>
        </is>
      </c>
      <c r="B2131" s="1" t="n">
        <v>43790</v>
      </c>
      <c r="C2131" s="1" t="n">
        <v>45212</v>
      </c>
      <c r="D2131" t="inlineStr">
        <is>
          <t>VÄSTERNORRLANDS LÄN</t>
        </is>
      </c>
      <c r="E2131" t="inlineStr">
        <is>
          <t>SUNDSVALL</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62925-2019</t>
        </is>
      </c>
      <c r="B2132" s="1" t="n">
        <v>43790</v>
      </c>
      <c r="C2132" s="1" t="n">
        <v>45212</v>
      </c>
      <c r="D2132" t="inlineStr">
        <is>
          <t>VÄSTERNORRLANDS LÄN</t>
        </is>
      </c>
      <c r="E2132" t="inlineStr">
        <is>
          <t>ÅNGE</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63175-2019</t>
        </is>
      </c>
      <c r="B2133" s="1" t="n">
        <v>43791</v>
      </c>
      <c r="C2133" s="1" t="n">
        <v>45212</v>
      </c>
      <c r="D2133" t="inlineStr">
        <is>
          <t>VÄSTERNORRLANDS LÄN</t>
        </is>
      </c>
      <c r="E2133" t="inlineStr">
        <is>
          <t>SUNDSVALL</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63111-2019</t>
        </is>
      </c>
      <c r="B2134" s="1" t="n">
        <v>43791</v>
      </c>
      <c r="C2134" s="1" t="n">
        <v>45212</v>
      </c>
      <c r="D2134" t="inlineStr">
        <is>
          <t>VÄSTERNORRLANDS LÄN</t>
        </is>
      </c>
      <c r="E2134" t="inlineStr">
        <is>
          <t>SUNDSVALL</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64197-2019</t>
        </is>
      </c>
      <c r="B2135" s="1" t="n">
        <v>43791</v>
      </c>
      <c r="C2135" s="1" t="n">
        <v>45212</v>
      </c>
      <c r="D2135" t="inlineStr">
        <is>
          <t>VÄSTERNORRLANDS LÄN</t>
        </is>
      </c>
      <c r="E2135" t="inlineStr">
        <is>
          <t>SOLLEFTEÅ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63324-2019</t>
        </is>
      </c>
      <c r="B2136" s="1" t="n">
        <v>43794</v>
      </c>
      <c r="C2136" s="1" t="n">
        <v>45212</v>
      </c>
      <c r="D2136" t="inlineStr">
        <is>
          <t>VÄSTERNORRLANDS LÄN</t>
        </is>
      </c>
      <c r="E2136" t="inlineStr">
        <is>
          <t>ÅNGE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63454-2019</t>
        </is>
      </c>
      <c r="B2137" s="1" t="n">
        <v>43794</v>
      </c>
      <c r="C2137" s="1" t="n">
        <v>45212</v>
      </c>
      <c r="D2137" t="inlineStr">
        <is>
          <t>VÄSTERNORRLANDS LÄN</t>
        </is>
      </c>
      <c r="E2137" t="inlineStr">
        <is>
          <t>ÅNGE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63552-2019</t>
        </is>
      </c>
      <c r="B2138" s="1" t="n">
        <v>43794</v>
      </c>
      <c r="C2138" s="1" t="n">
        <v>45212</v>
      </c>
      <c r="D2138" t="inlineStr">
        <is>
          <t>VÄSTERNORRLANDS LÄN</t>
        </is>
      </c>
      <c r="E2138" t="inlineStr">
        <is>
          <t>SOLLEFTEÅ</t>
        </is>
      </c>
      <c r="G2138" t="n">
        <v>7.2</v>
      </c>
      <c r="H2138" t="n">
        <v>0</v>
      </c>
      <c r="I2138" t="n">
        <v>0</v>
      </c>
      <c r="J2138" t="n">
        <v>0</v>
      </c>
      <c r="K2138" t="n">
        <v>0</v>
      </c>
      <c r="L2138" t="n">
        <v>0</v>
      </c>
      <c r="M2138" t="n">
        <v>0</v>
      </c>
      <c r="N2138" t="n">
        <v>0</v>
      </c>
      <c r="O2138" t="n">
        <v>0</v>
      </c>
      <c r="P2138" t="n">
        <v>0</v>
      </c>
      <c r="Q2138" t="n">
        <v>0</v>
      </c>
      <c r="R2138" s="2" t="inlineStr"/>
    </row>
    <row r="2139" ht="15" customHeight="1">
      <c r="A2139" t="inlineStr">
        <is>
          <t>A 63453-2019</t>
        </is>
      </c>
      <c r="B2139" s="1" t="n">
        <v>43794</v>
      </c>
      <c r="C2139" s="1" t="n">
        <v>45212</v>
      </c>
      <c r="D2139" t="inlineStr">
        <is>
          <t>VÄSTERNORRLANDS LÄN</t>
        </is>
      </c>
      <c r="E2139" t="inlineStr">
        <is>
          <t>ÅNGE</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63551-2019</t>
        </is>
      </c>
      <c r="B2140" s="1" t="n">
        <v>43794</v>
      </c>
      <c r="C2140" s="1" t="n">
        <v>45212</v>
      </c>
      <c r="D2140" t="inlineStr">
        <is>
          <t>VÄSTERNORRLANDS LÄN</t>
        </is>
      </c>
      <c r="E2140" t="inlineStr">
        <is>
          <t>HÄRNÖSAND</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63315-2019</t>
        </is>
      </c>
      <c r="B2141" s="1" t="n">
        <v>43794</v>
      </c>
      <c r="C2141" s="1" t="n">
        <v>45212</v>
      </c>
      <c r="D2141" t="inlineStr">
        <is>
          <t>VÄSTERNORRLANDS LÄN</t>
        </is>
      </c>
      <c r="E2141" t="inlineStr">
        <is>
          <t>SUNDSVALL</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63549-2019</t>
        </is>
      </c>
      <c r="B2142" s="1" t="n">
        <v>43794</v>
      </c>
      <c r="C2142" s="1" t="n">
        <v>45212</v>
      </c>
      <c r="D2142" t="inlineStr">
        <is>
          <t>VÄSTERNORRLANDS LÄN</t>
        </is>
      </c>
      <c r="E2142" t="inlineStr">
        <is>
          <t>ÅNGE</t>
        </is>
      </c>
      <c r="F2142" t="inlineStr">
        <is>
          <t>SCA</t>
        </is>
      </c>
      <c r="G2142" t="n">
        <v>7.5</v>
      </c>
      <c r="H2142" t="n">
        <v>0</v>
      </c>
      <c r="I2142" t="n">
        <v>0</v>
      </c>
      <c r="J2142" t="n">
        <v>0</v>
      </c>
      <c r="K2142" t="n">
        <v>0</v>
      </c>
      <c r="L2142" t="n">
        <v>0</v>
      </c>
      <c r="M2142" t="n">
        <v>0</v>
      </c>
      <c r="N2142" t="n">
        <v>0</v>
      </c>
      <c r="O2142" t="n">
        <v>0</v>
      </c>
      <c r="P2142" t="n">
        <v>0</v>
      </c>
      <c r="Q2142" t="n">
        <v>0</v>
      </c>
      <c r="R2142" s="2" t="inlineStr"/>
    </row>
    <row r="2143" ht="15" customHeight="1">
      <c r="A2143" t="inlineStr">
        <is>
          <t>A 64322-2019</t>
        </is>
      </c>
      <c r="B2143" s="1" t="n">
        <v>43794</v>
      </c>
      <c r="C2143" s="1" t="n">
        <v>45212</v>
      </c>
      <c r="D2143" t="inlineStr">
        <is>
          <t>VÄSTERNORRLANDS LÄN</t>
        </is>
      </c>
      <c r="E2143" t="inlineStr">
        <is>
          <t>ÖRNSKÖLDSVIK</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63300-2019</t>
        </is>
      </c>
      <c r="B2144" s="1" t="n">
        <v>43794</v>
      </c>
      <c r="C2144" s="1" t="n">
        <v>45212</v>
      </c>
      <c r="D2144" t="inlineStr">
        <is>
          <t>VÄSTERNORRLANDS LÄN</t>
        </is>
      </c>
      <c r="E2144" t="inlineStr">
        <is>
          <t>ÅNGE</t>
        </is>
      </c>
      <c r="G2144" t="n">
        <v>3</v>
      </c>
      <c r="H2144" t="n">
        <v>0</v>
      </c>
      <c r="I2144" t="n">
        <v>0</v>
      </c>
      <c r="J2144" t="n">
        <v>0</v>
      </c>
      <c r="K2144" t="n">
        <v>0</v>
      </c>
      <c r="L2144" t="n">
        <v>0</v>
      </c>
      <c r="M2144" t="n">
        <v>0</v>
      </c>
      <c r="N2144" t="n">
        <v>0</v>
      </c>
      <c r="O2144" t="n">
        <v>0</v>
      </c>
      <c r="P2144" t="n">
        <v>0</v>
      </c>
      <c r="Q2144" t="n">
        <v>0</v>
      </c>
      <c r="R2144" s="2" t="inlineStr"/>
    </row>
    <row r="2145" ht="15" customHeight="1">
      <c r="A2145" t="inlineStr">
        <is>
          <t>A 63329-2019</t>
        </is>
      </c>
      <c r="B2145" s="1" t="n">
        <v>43794</v>
      </c>
      <c r="C2145" s="1" t="n">
        <v>45212</v>
      </c>
      <c r="D2145" t="inlineStr">
        <is>
          <t>VÄSTERNORRLANDS LÄN</t>
        </is>
      </c>
      <c r="E2145" t="inlineStr">
        <is>
          <t>ÅNGE</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63403-2019</t>
        </is>
      </c>
      <c r="B2146" s="1" t="n">
        <v>43794</v>
      </c>
      <c r="C2146" s="1" t="n">
        <v>45212</v>
      </c>
      <c r="D2146" t="inlineStr">
        <is>
          <t>VÄSTERNORRLANDS LÄN</t>
        </is>
      </c>
      <c r="E2146" t="inlineStr">
        <is>
          <t>ÖRNSKÖLDSVIK</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63427-2019</t>
        </is>
      </c>
      <c r="B2147" s="1" t="n">
        <v>43794</v>
      </c>
      <c r="C2147" s="1" t="n">
        <v>45212</v>
      </c>
      <c r="D2147" t="inlineStr">
        <is>
          <t>VÄSTERNORRLANDS LÄN</t>
        </is>
      </c>
      <c r="E2147" t="inlineStr">
        <is>
          <t>SUNDSVALL</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64651-2019</t>
        </is>
      </c>
      <c r="B2148" s="1" t="n">
        <v>43794</v>
      </c>
      <c r="C2148" s="1" t="n">
        <v>45212</v>
      </c>
      <c r="D2148" t="inlineStr">
        <is>
          <t>VÄSTERNORRLANDS LÄN</t>
        </is>
      </c>
      <c r="E2148" t="inlineStr">
        <is>
          <t>ÖRNSKÖLDSVIK</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63752-2019</t>
        </is>
      </c>
      <c r="B2149" s="1" t="n">
        <v>43795</v>
      </c>
      <c r="C2149" s="1" t="n">
        <v>45212</v>
      </c>
      <c r="D2149" t="inlineStr">
        <is>
          <t>VÄSTERNORRLANDS LÄN</t>
        </is>
      </c>
      <c r="E2149" t="inlineStr">
        <is>
          <t>SOLLEFTEÅ</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63677-2019</t>
        </is>
      </c>
      <c r="B2150" s="1" t="n">
        <v>43795</v>
      </c>
      <c r="C2150" s="1" t="n">
        <v>45212</v>
      </c>
      <c r="D2150" t="inlineStr">
        <is>
          <t>VÄSTERNORRLANDS LÄN</t>
        </is>
      </c>
      <c r="E2150" t="inlineStr">
        <is>
          <t>ÅNGE</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63683-2019</t>
        </is>
      </c>
      <c r="B2151" s="1" t="n">
        <v>43795</v>
      </c>
      <c r="C2151" s="1" t="n">
        <v>45212</v>
      </c>
      <c r="D2151" t="inlineStr">
        <is>
          <t>VÄSTERNORRLANDS LÄN</t>
        </is>
      </c>
      <c r="E2151" t="inlineStr">
        <is>
          <t>ÅNGE</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63836-2019</t>
        </is>
      </c>
      <c r="B2152" s="1" t="n">
        <v>43795</v>
      </c>
      <c r="C2152" s="1" t="n">
        <v>45212</v>
      </c>
      <c r="D2152" t="inlineStr">
        <is>
          <t>VÄSTERNORRLANDS LÄN</t>
        </is>
      </c>
      <c r="E2152" t="inlineStr">
        <is>
          <t>TIMRÅ</t>
        </is>
      </c>
      <c r="F2152" t="inlineStr">
        <is>
          <t>Kyrkan</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63679-2019</t>
        </is>
      </c>
      <c r="B2153" s="1" t="n">
        <v>43795</v>
      </c>
      <c r="C2153" s="1" t="n">
        <v>45212</v>
      </c>
      <c r="D2153" t="inlineStr">
        <is>
          <t>VÄSTERNORRLANDS LÄN</t>
        </is>
      </c>
      <c r="E2153" t="inlineStr">
        <is>
          <t>ÅNGE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63980-2019</t>
        </is>
      </c>
      <c r="B2154" s="1" t="n">
        <v>43796</v>
      </c>
      <c r="C2154" s="1" t="n">
        <v>45212</v>
      </c>
      <c r="D2154" t="inlineStr">
        <is>
          <t>VÄSTERNORRLANDS LÄN</t>
        </is>
      </c>
      <c r="E2154" t="inlineStr">
        <is>
          <t>HÄRNÖSAND</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64069-2019</t>
        </is>
      </c>
      <c r="B2155" s="1" t="n">
        <v>43796</v>
      </c>
      <c r="C2155" s="1" t="n">
        <v>45212</v>
      </c>
      <c r="D2155" t="inlineStr">
        <is>
          <t>VÄSTERNORRLANDS LÄN</t>
        </is>
      </c>
      <c r="E2155" t="inlineStr">
        <is>
          <t>ÖRNSKÖLDSVIK</t>
        </is>
      </c>
      <c r="F2155" t="inlineStr">
        <is>
          <t>Holmen skog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63994-2019</t>
        </is>
      </c>
      <c r="B2156" s="1" t="n">
        <v>43796</v>
      </c>
      <c r="C2156" s="1" t="n">
        <v>45212</v>
      </c>
      <c r="D2156" t="inlineStr">
        <is>
          <t>VÄSTERNORRLANDS LÄN</t>
        </is>
      </c>
      <c r="E2156" t="inlineStr">
        <is>
          <t>HÄRNÖSAND</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64130-2019</t>
        </is>
      </c>
      <c r="B2157" s="1" t="n">
        <v>43796</v>
      </c>
      <c r="C2157" s="1" t="n">
        <v>45212</v>
      </c>
      <c r="D2157" t="inlineStr">
        <is>
          <t>VÄSTERNORRLANDS LÄN</t>
        </is>
      </c>
      <c r="E2157" t="inlineStr">
        <is>
          <t>SUNDSVALL</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64217-2019</t>
        </is>
      </c>
      <c r="B2158" s="1" t="n">
        <v>43797</v>
      </c>
      <c r="C2158" s="1" t="n">
        <v>45212</v>
      </c>
      <c r="D2158" t="inlineStr">
        <is>
          <t>VÄSTERNORRLANDS LÄN</t>
        </is>
      </c>
      <c r="E2158" t="inlineStr">
        <is>
          <t>KRAMFORS</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64474-2019</t>
        </is>
      </c>
      <c r="B2159" s="1" t="n">
        <v>43797</v>
      </c>
      <c r="C2159" s="1" t="n">
        <v>45212</v>
      </c>
      <c r="D2159" t="inlineStr">
        <is>
          <t>VÄSTERNORRLANDS LÄN</t>
        </is>
      </c>
      <c r="E2159" t="inlineStr">
        <is>
          <t>SUNDSVALL</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65218-2019</t>
        </is>
      </c>
      <c r="B2160" s="1" t="n">
        <v>43797</v>
      </c>
      <c r="C2160" s="1" t="n">
        <v>45212</v>
      </c>
      <c r="D2160" t="inlineStr">
        <is>
          <t>VÄSTERNORRLANDS LÄN</t>
        </is>
      </c>
      <c r="E2160" t="inlineStr">
        <is>
          <t>SOLLEFTEÅ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64245-2019</t>
        </is>
      </c>
      <c r="B2161" s="1" t="n">
        <v>43797</v>
      </c>
      <c r="C2161" s="1" t="n">
        <v>45212</v>
      </c>
      <c r="D2161" t="inlineStr">
        <is>
          <t>VÄSTERNORRLANDS LÄN</t>
        </is>
      </c>
      <c r="E2161" t="inlineStr">
        <is>
          <t>SUNDSVALL</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64405-2019</t>
        </is>
      </c>
      <c r="B2162" s="1" t="n">
        <v>43797</v>
      </c>
      <c r="C2162" s="1" t="n">
        <v>45212</v>
      </c>
      <c r="D2162" t="inlineStr">
        <is>
          <t>VÄSTERNORRLANDS LÄN</t>
        </is>
      </c>
      <c r="E2162" t="inlineStr">
        <is>
          <t>SUNDSVALL</t>
        </is>
      </c>
      <c r="F2162" t="inlineStr">
        <is>
          <t>Holmen skog AB</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64473-2019</t>
        </is>
      </c>
      <c r="B2163" s="1" t="n">
        <v>43797</v>
      </c>
      <c r="C2163" s="1" t="n">
        <v>45212</v>
      </c>
      <c r="D2163" t="inlineStr">
        <is>
          <t>VÄSTERNORRLANDS LÄN</t>
        </is>
      </c>
      <c r="E2163" t="inlineStr">
        <is>
          <t>SUNDSVALL</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64636-2019</t>
        </is>
      </c>
      <c r="B2164" s="1" t="n">
        <v>43798</v>
      </c>
      <c r="C2164" s="1" t="n">
        <v>45212</v>
      </c>
      <c r="D2164" t="inlineStr">
        <is>
          <t>VÄSTERNORRLANDS LÄN</t>
        </is>
      </c>
      <c r="E2164" t="inlineStr">
        <is>
          <t>ÖRNSKÖLDSVIK</t>
        </is>
      </c>
      <c r="F2164" t="inlineStr">
        <is>
          <t>Holmen skog AB</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64558-2019</t>
        </is>
      </c>
      <c r="B2165" s="1" t="n">
        <v>43798</v>
      </c>
      <c r="C2165" s="1" t="n">
        <v>45212</v>
      </c>
      <c r="D2165" t="inlineStr">
        <is>
          <t>VÄSTERNORRLANDS LÄN</t>
        </is>
      </c>
      <c r="E2165" t="inlineStr">
        <is>
          <t>SUNDSVALL</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64638-2019</t>
        </is>
      </c>
      <c r="B2166" s="1" t="n">
        <v>43798</v>
      </c>
      <c r="C2166" s="1" t="n">
        <v>45212</v>
      </c>
      <c r="D2166" t="inlineStr">
        <is>
          <t>VÄSTERNORRLANDS LÄN</t>
        </is>
      </c>
      <c r="E2166" t="inlineStr">
        <is>
          <t>ÖRNSKÖLDSVIK</t>
        </is>
      </c>
      <c r="F2166" t="inlineStr">
        <is>
          <t>Holmen skog AB</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65029-2019</t>
        </is>
      </c>
      <c r="B2167" s="1" t="n">
        <v>43801</v>
      </c>
      <c r="C2167" s="1" t="n">
        <v>45212</v>
      </c>
      <c r="D2167" t="inlineStr">
        <is>
          <t>VÄSTERNORRLANDS LÄN</t>
        </is>
      </c>
      <c r="E2167" t="inlineStr">
        <is>
          <t>SOLLEFTEÅ</t>
        </is>
      </c>
      <c r="F2167" t="inlineStr">
        <is>
          <t>SCA</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65039-2019</t>
        </is>
      </c>
      <c r="B2168" s="1" t="n">
        <v>43801</v>
      </c>
      <c r="C2168" s="1" t="n">
        <v>45212</v>
      </c>
      <c r="D2168" t="inlineStr">
        <is>
          <t>VÄSTERNORRLANDS LÄN</t>
        </is>
      </c>
      <c r="E2168" t="inlineStr">
        <is>
          <t>SUNDSVALL</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65049-2019</t>
        </is>
      </c>
      <c r="B2169" s="1" t="n">
        <v>43801</v>
      </c>
      <c r="C2169" s="1" t="n">
        <v>45212</v>
      </c>
      <c r="D2169" t="inlineStr">
        <is>
          <t>VÄSTERNORRLANDS LÄN</t>
        </is>
      </c>
      <c r="E2169" t="inlineStr">
        <is>
          <t>ÅNGE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66000-2019</t>
        </is>
      </c>
      <c r="B2170" s="1" t="n">
        <v>43801</v>
      </c>
      <c r="C2170" s="1" t="n">
        <v>45212</v>
      </c>
      <c r="D2170" t="inlineStr">
        <is>
          <t>VÄSTERNORRLANDS LÄN</t>
        </is>
      </c>
      <c r="E2170" t="inlineStr">
        <is>
          <t>SUNDSVALL</t>
        </is>
      </c>
      <c r="F2170" t="inlineStr">
        <is>
          <t>Övriga statliga verk och myndigheter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65030-2019</t>
        </is>
      </c>
      <c r="B2171" s="1" t="n">
        <v>43801</v>
      </c>
      <c r="C2171" s="1" t="n">
        <v>45212</v>
      </c>
      <c r="D2171" t="inlineStr">
        <is>
          <t>VÄSTERNORRLANDS LÄN</t>
        </is>
      </c>
      <c r="E2171" t="inlineStr">
        <is>
          <t>SUNDSVALL</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65050-2019</t>
        </is>
      </c>
      <c r="B2172" s="1" t="n">
        <v>43801</v>
      </c>
      <c r="C2172" s="1" t="n">
        <v>45212</v>
      </c>
      <c r="D2172" t="inlineStr">
        <is>
          <t>VÄSTERNORRLANDS LÄN</t>
        </is>
      </c>
      <c r="E2172" t="inlineStr">
        <is>
          <t>ÅNGE</t>
        </is>
      </c>
      <c r="G2172" t="n">
        <v>9.800000000000001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65046-2019</t>
        </is>
      </c>
      <c r="B2173" s="1" t="n">
        <v>43801</v>
      </c>
      <c r="C2173" s="1" t="n">
        <v>45212</v>
      </c>
      <c r="D2173" t="inlineStr">
        <is>
          <t>VÄSTERNORRLANDS LÄN</t>
        </is>
      </c>
      <c r="E2173" t="inlineStr">
        <is>
          <t>ÅNGE</t>
        </is>
      </c>
      <c r="G2173" t="n">
        <v>17.3</v>
      </c>
      <c r="H2173" t="n">
        <v>0</v>
      </c>
      <c r="I2173" t="n">
        <v>0</v>
      </c>
      <c r="J2173" t="n">
        <v>0</v>
      </c>
      <c r="K2173" t="n">
        <v>0</v>
      </c>
      <c r="L2173" t="n">
        <v>0</v>
      </c>
      <c r="M2173" t="n">
        <v>0</v>
      </c>
      <c r="N2173" t="n">
        <v>0</v>
      </c>
      <c r="O2173" t="n">
        <v>0</v>
      </c>
      <c r="P2173" t="n">
        <v>0</v>
      </c>
      <c r="Q2173" t="n">
        <v>0</v>
      </c>
      <c r="R2173" s="2" t="inlineStr"/>
    </row>
    <row r="2174" ht="15" customHeight="1">
      <c r="A2174" t="inlineStr">
        <is>
          <t>A 65897-2019</t>
        </is>
      </c>
      <c r="B2174" s="1" t="n">
        <v>43801</v>
      </c>
      <c r="C2174" s="1" t="n">
        <v>45212</v>
      </c>
      <c r="D2174" t="inlineStr">
        <is>
          <t>VÄSTERNORRLANDS LÄN</t>
        </is>
      </c>
      <c r="E2174" t="inlineStr">
        <is>
          <t>ÖRNSKÖLDSVIK</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65954-2019</t>
        </is>
      </c>
      <c r="B2175" s="1" t="n">
        <v>43801</v>
      </c>
      <c r="C2175" s="1" t="n">
        <v>45212</v>
      </c>
      <c r="D2175" t="inlineStr">
        <is>
          <t>VÄSTERNORRLANDS LÄN</t>
        </is>
      </c>
      <c r="E2175" t="inlineStr">
        <is>
          <t>TIMRÅ</t>
        </is>
      </c>
      <c r="G2175" t="n">
        <v>9.1</v>
      </c>
      <c r="H2175" t="n">
        <v>0</v>
      </c>
      <c r="I2175" t="n">
        <v>0</v>
      </c>
      <c r="J2175" t="n">
        <v>0</v>
      </c>
      <c r="K2175" t="n">
        <v>0</v>
      </c>
      <c r="L2175" t="n">
        <v>0</v>
      </c>
      <c r="M2175" t="n">
        <v>0</v>
      </c>
      <c r="N2175" t="n">
        <v>0</v>
      </c>
      <c r="O2175" t="n">
        <v>0</v>
      </c>
      <c r="P2175" t="n">
        <v>0</v>
      </c>
      <c r="Q2175" t="n">
        <v>0</v>
      </c>
      <c r="R2175" s="2" t="inlineStr"/>
    </row>
    <row r="2176" ht="15" customHeight="1">
      <c r="A2176" t="inlineStr">
        <is>
          <t>A 65048-2019</t>
        </is>
      </c>
      <c r="B2176" s="1" t="n">
        <v>43801</v>
      </c>
      <c r="C2176" s="1" t="n">
        <v>45212</v>
      </c>
      <c r="D2176" t="inlineStr">
        <is>
          <t>VÄSTERNORRLANDS LÄN</t>
        </is>
      </c>
      <c r="E2176" t="inlineStr">
        <is>
          <t>ÅNGE</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65057-2019</t>
        </is>
      </c>
      <c r="B2177" s="1" t="n">
        <v>43801</v>
      </c>
      <c r="C2177" s="1" t="n">
        <v>45212</v>
      </c>
      <c r="D2177" t="inlineStr">
        <is>
          <t>VÄSTERNORRLANDS LÄN</t>
        </is>
      </c>
      <c r="E2177" t="inlineStr">
        <is>
          <t>ÖRNSKÖLDSVIK</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65332-2019</t>
        </is>
      </c>
      <c r="B2178" s="1" t="n">
        <v>43802</v>
      </c>
      <c r="C2178" s="1" t="n">
        <v>45212</v>
      </c>
      <c r="D2178" t="inlineStr">
        <is>
          <t>VÄSTERNORRLANDS LÄN</t>
        </is>
      </c>
      <c r="E2178" t="inlineStr">
        <is>
          <t>SOLLEFTEÅ</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66286-2019</t>
        </is>
      </c>
      <c r="B2179" s="1" t="n">
        <v>43802</v>
      </c>
      <c r="C2179" s="1" t="n">
        <v>45212</v>
      </c>
      <c r="D2179" t="inlineStr">
        <is>
          <t>VÄSTERNORRLANDS LÄN</t>
        </is>
      </c>
      <c r="E2179" t="inlineStr">
        <is>
          <t>ÖRNSKÖLDSVIK</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66321-2019</t>
        </is>
      </c>
      <c r="B2180" s="1" t="n">
        <v>43802</v>
      </c>
      <c r="C2180" s="1" t="n">
        <v>45212</v>
      </c>
      <c r="D2180" t="inlineStr">
        <is>
          <t>VÄSTERNORRLANDS LÄN</t>
        </is>
      </c>
      <c r="E2180" t="inlineStr">
        <is>
          <t>SOLLEFTEÅ</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65319-2019</t>
        </is>
      </c>
      <c r="B2181" s="1" t="n">
        <v>43802</v>
      </c>
      <c r="C2181" s="1" t="n">
        <v>45212</v>
      </c>
      <c r="D2181" t="inlineStr">
        <is>
          <t>VÄSTERNORRLANDS LÄN</t>
        </is>
      </c>
      <c r="E2181" t="inlineStr">
        <is>
          <t>SOLLEFTEÅ</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65327-2019</t>
        </is>
      </c>
      <c r="B2182" s="1" t="n">
        <v>43802</v>
      </c>
      <c r="C2182" s="1" t="n">
        <v>45212</v>
      </c>
      <c r="D2182" t="inlineStr">
        <is>
          <t>VÄSTERNORRLANDS LÄN</t>
        </is>
      </c>
      <c r="E2182" t="inlineStr">
        <is>
          <t>SOLLEFTEÅ</t>
        </is>
      </c>
      <c r="F2182" t="inlineStr">
        <is>
          <t>SCA</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66328-2019</t>
        </is>
      </c>
      <c r="B2183" s="1" t="n">
        <v>43802</v>
      </c>
      <c r="C2183" s="1" t="n">
        <v>45212</v>
      </c>
      <c r="D2183" t="inlineStr">
        <is>
          <t>VÄSTERNORRLANDS LÄN</t>
        </is>
      </c>
      <c r="E2183" t="inlineStr">
        <is>
          <t>ÖRNSKÖLDSVIK</t>
        </is>
      </c>
      <c r="G2183" t="n">
        <v>10.2</v>
      </c>
      <c r="H2183" t="n">
        <v>0</v>
      </c>
      <c r="I2183" t="n">
        <v>0</v>
      </c>
      <c r="J2183" t="n">
        <v>0</v>
      </c>
      <c r="K2183" t="n">
        <v>0</v>
      </c>
      <c r="L2183" t="n">
        <v>0</v>
      </c>
      <c r="M2183" t="n">
        <v>0</v>
      </c>
      <c r="N2183" t="n">
        <v>0</v>
      </c>
      <c r="O2183" t="n">
        <v>0</v>
      </c>
      <c r="P2183" t="n">
        <v>0</v>
      </c>
      <c r="Q2183" t="n">
        <v>0</v>
      </c>
      <c r="R2183" s="2" t="inlineStr"/>
    </row>
    <row r="2184" ht="15" customHeight="1">
      <c r="A2184" t="inlineStr">
        <is>
          <t>A 65458-2019</t>
        </is>
      </c>
      <c r="B2184" s="1" t="n">
        <v>43803</v>
      </c>
      <c r="C2184" s="1" t="n">
        <v>45212</v>
      </c>
      <c r="D2184" t="inlineStr">
        <is>
          <t>VÄSTERNORRLANDS LÄN</t>
        </is>
      </c>
      <c r="E2184" t="inlineStr">
        <is>
          <t>SUNDSVALL</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65514-2019</t>
        </is>
      </c>
      <c r="B2185" s="1" t="n">
        <v>43803</v>
      </c>
      <c r="C2185" s="1" t="n">
        <v>45212</v>
      </c>
      <c r="D2185" t="inlineStr">
        <is>
          <t>VÄSTERNORRLANDS LÄN</t>
        </is>
      </c>
      <c r="E2185" t="inlineStr">
        <is>
          <t>HÄRNÖSAND</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65573-2019</t>
        </is>
      </c>
      <c r="B2186" s="1" t="n">
        <v>43803</v>
      </c>
      <c r="C2186" s="1" t="n">
        <v>45212</v>
      </c>
      <c r="D2186" t="inlineStr">
        <is>
          <t>VÄSTERNORRLANDS LÄN</t>
        </is>
      </c>
      <c r="E2186" t="inlineStr">
        <is>
          <t>ÖRNSKÖLDSVIK</t>
        </is>
      </c>
      <c r="F2186" t="inlineStr">
        <is>
          <t>SCA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65367-2019</t>
        </is>
      </c>
      <c r="B2187" s="1" t="n">
        <v>43803</v>
      </c>
      <c r="C2187" s="1" t="n">
        <v>45212</v>
      </c>
      <c r="D2187" t="inlineStr">
        <is>
          <t>VÄSTERNORRLANDS LÄN</t>
        </is>
      </c>
      <c r="E2187" t="inlineStr">
        <is>
          <t>TIMRÅ</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65554-2019</t>
        </is>
      </c>
      <c r="B2188" s="1" t="n">
        <v>43803</v>
      </c>
      <c r="C2188" s="1" t="n">
        <v>45212</v>
      </c>
      <c r="D2188" t="inlineStr">
        <is>
          <t>VÄSTERNORRLANDS LÄN</t>
        </is>
      </c>
      <c r="E2188" t="inlineStr">
        <is>
          <t>ÖRNSKÖLDSVIK</t>
        </is>
      </c>
      <c r="F2188" t="inlineStr">
        <is>
          <t>SCA</t>
        </is>
      </c>
      <c r="G2188" t="n">
        <v>23.7</v>
      </c>
      <c r="H2188" t="n">
        <v>0</v>
      </c>
      <c r="I2188" t="n">
        <v>0</v>
      </c>
      <c r="J2188" t="n">
        <v>0</v>
      </c>
      <c r="K2188" t="n">
        <v>0</v>
      </c>
      <c r="L2188" t="n">
        <v>0</v>
      </c>
      <c r="M2188" t="n">
        <v>0</v>
      </c>
      <c r="N2188" t="n">
        <v>0</v>
      </c>
      <c r="O2188" t="n">
        <v>0</v>
      </c>
      <c r="P2188" t="n">
        <v>0</v>
      </c>
      <c r="Q2188" t="n">
        <v>0</v>
      </c>
      <c r="R2188" s="2" t="inlineStr"/>
    </row>
    <row r="2189" ht="15" customHeight="1">
      <c r="A2189" t="inlineStr">
        <is>
          <t>A 65354-2019</t>
        </is>
      </c>
      <c r="B2189" s="1" t="n">
        <v>43803</v>
      </c>
      <c r="C2189" s="1" t="n">
        <v>45212</v>
      </c>
      <c r="D2189" t="inlineStr">
        <is>
          <t>VÄSTERNORRLANDS LÄN</t>
        </is>
      </c>
      <c r="E2189" t="inlineStr">
        <is>
          <t>KRAMFORS</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65720-2019</t>
        </is>
      </c>
      <c r="B2190" s="1" t="n">
        <v>43804</v>
      </c>
      <c r="C2190" s="1" t="n">
        <v>45212</v>
      </c>
      <c r="D2190" t="inlineStr">
        <is>
          <t>VÄSTERNORRLANDS LÄN</t>
        </is>
      </c>
      <c r="E2190" t="inlineStr">
        <is>
          <t>ÖRNSKÖLDSVIK</t>
        </is>
      </c>
      <c r="G2190" t="n">
        <v>8.800000000000001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65919-2019</t>
        </is>
      </c>
      <c r="B2191" s="1" t="n">
        <v>43804</v>
      </c>
      <c r="C2191" s="1" t="n">
        <v>45212</v>
      </c>
      <c r="D2191" t="inlineStr">
        <is>
          <t>VÄSTERNORRLANDS LÄN</t>
        </is>
      </c>
      <c r="E2191" t="inlineStr">
        <is>
          <t>SUNDSVALL</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66017-2019</t>
        </is>
      </c>
      <c r="B2192" s="1" t="n">
        <v>43805</v>
      </c>
      <c r="C2192" s="1" t="n">
        <v>45212</v>
      </c>
      <c r="D2192" t="inlineStr">
        <is>
          <t>VÄSTERNORRLANDS LÄN</t>
        </is>
      </c>
      <c r="E2192" t="inlineStr">
        <is>
          <t>ÅNGE</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67063-2019</t>
        </is>
      </c>
      <c r="B2193" s="1" t="n">
        <v>43805</v>
      </c>
      <c r="C2193" s="1" t="n">
        <v>45212</v>
      </c>
      <c r="D2193" t="inlineStr">
        <is>
          <t>VÄSTERNORRLANDS LÄN</t>
        </is>
      </c>
      <c r="E2193" t="inlineStr">
        <is>
          <t>ÖRNSKÖLDSVIK</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65951-2019</t>
        </is>
      </c>
      <c r="B2194" s="1" t="n">
        <v>43805</v>
      </c>
      <c r="C2194" s="1" t="n">
        <v>45212</v>
      </c>
      <c r="D2194" t="inlineStr">
        <is>
          <t>VÄSTERNORRLANDS LÄN</t>
        </is>
      </c>
      <c r="E2194" t="inlineStr">
        <is>
          <t>ÅNGE</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65909-2019</t>
        </is>
      </c>
      <c r="B2195" s="1" t="n">
        <v>43805</v>
      </c>
      <c r="C2195" s="1" t="n">
        <v>45212</v>
      </c>
      <c r="D2195" t="inlineStr">
        <is>
          <t>VÄSTERNORRLANDS LÄN</t>
        </is>
      </c>
      <c r="E2195" t="inlineStr">
        <is>
          <t>ÅNGE</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66013-2019</t>
        </is>
      </c>
      <c r="B2196" s="1" t="n">
        <v>43805</v>
      </c>
      <c r="C2196" s="1" t="n">
        <v>45212</v>
      </c>
      <c r="D2196" t="inlineStr">
        <is>
          <t>VÄSTERNORRLANDS LÄN</t>
        </is>
      </c>
      <c r="E2196" t="inlineStr">
        <is>
          <t>ÅNGE</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66048-2019</t>
        </is>
      </c>
      <c r="B2197" s="1" t="n">
        <v>43805</v>
      </c>
      <c r="C2197" s="1" t="n">
        <v>45212</v>
      </c>
      <c r="D2197" t="inlineStr">
        <is>
          <t>VÄSTERNORRLANDS LÄN</t>
        </is>
      </c>
      <c r="E2197" t="inlineStr">
        <is>
          <t>ÅNGE</t>
        </is>
      </c>
      <c r="F2197" t="inlineStr">
        <is>
          <t>SCA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66209-2019</t>
        </is>
      </c>
      <c r="B2198" s="1" t="n">
        <v>43808</v>
      </c>
      <c r="C2198" s="1" t="n">
        <v>45212</v>
      </c>
      <c r="D2198" t="inlineStr">
        <is>
          <t>VÄSTERNORRLANDS LÄN</t>
        </is>
      </c>
      <c r="E2198" t="inlineStr">
        <is>
          <t>ÖRNSKÖLDSVIK</t>
        </is>
      </c>
      <c r="G2198" t="n">
        <v>16.8</v>
      </c>
      <c r="H2198" t="n">
        <v>0</v>
      </c>
      <c r="I2198" t="n">
        <v>0</v>
      </c>
      <c r="J2198" t="n">
        <v>0</v>
      </c>
      <c r="K2198" t="n">
        <v>0</v>
      </c>
      <c r="L2198" t="n">
        <v>0</v>
      </c>
      <c r="M2198" t="n">
        <v>0</v>
      </c>
      <c r="N2198" t="n">
        <v>0</v>
      </c>
      <c r="O2198" t="n">
        <v>0</v>
      </c>
      <c r="P2198" t="n">
        <v>0</v>
      </c>
      <c r="Q2198" t="n">
        <v>0</v>
      </c>
      <c r="R2198" s="2" t="inlineStr"/>
    </row>
    <row r="2199" ht="15" customHeight="1">
      <c r="A2199" t="inlineStr">
        <is>
          <t>A 66289-2019</t>
        </is>
      </c>
      <c r="B2199" s="1" t="n">
        <v>43808</v>
      </c>
      <c r="C2199" s="1" t="n">
        <v>45212</v>
      </c>
      <c r="D2199" t="inlineStr">
        <is>
          <t>VÄSTERNORRLANDS LÄN</t>
        </is>
      </c>
      <c r="E2199" t="inlineStr">
        <is>
          <t>ÖRNSKÖLDSVIK</t>
        </is>
      </c>
      <c r="F2199" t="inlineStr">
        <is>
          <t>Holmen skog AB</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66380-2019</t>
        </is>
      </c>
      <c r="B2200" s="1" t="n">
        <v>43808</v>
      </c>
      <c r="C2200" s="1" t="n">
        <v>45212</v>
      </c>
      <c r="D2200" t="inlineStr">
        <is>
          <t>VÄSTERNORRLANDS LÄN</t>
        </is>
      </c>
      <c r="E2200" t="inlineStr">
        <is>
          <t>ÖRNSKÖLDSVIK</t>
        </is>
      </c>
      <c r="F2200" t="inlineStr">
        <is>
          <t>SCA</t>
        </is>
      </c>
      <c r="G2200" t="n">
        <v>1.8</v>
      </c>
      <c r="H2200" t="n">
        <v>0</v>
      </c>
      <c r="I2200" t="n">
        <v>0</v>
      </c>
      <c r="J2200" t="n">
        <v>0</v>
      </c>
      <c r="K2200" t="n">
        <v>0</v>
      </c>
      <c r="L2200" t="n">
        <v>0</v>
      </c>
      <c r="M2200" t="n">
        <v>0</v>
      </c>
      <c r="N2200" t="n">
        <v>0</v>
      </c>
      <c r="O2200" t="n">
        <v>0</v>
      </c>
      <c r="P2200" t="n">
        <v>0</v>
      </c>
      <c r="Q2200" t="n">
        <v>0</v>
      </c>
      <c r="R2200" s="2" t="inlineStr"/>
    </row>
    <row r="2201" ht="15" customHeight="1">
      <c r="A2201" t="inlineStr">
        <is>
          <t>A 66391-2019</t>
        </is>
      </c>
      <c r="B2201" s="1" t="n">
        <v>43808</v>
      </c>
      <c r="C2201" s="1" t="n">
        <v>45212</v>
      </c>
      <c r="D2201" t="inlineStr">
        <is>
          <t>VÄSTERNORRLANDS LÄN</t>
        </is>
      </c>
      <c r="E2201" t="inlineStr">
        <is>
          <t>SOLLEFTEÅ</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67634-2019</t>
        </is>
      </c>
      <c r="B2202" s="1" t="n">
        <v>43808</v>
      </c>
      <c r="C2202" s="1" t="n">
        <v>45212</v>
      </c>
      <c r="D2202" t="inlineStr">
        <is>
          <t>VÄSTERNORRLANDS LÄN</t>
        </is>
      </c>
      <c r="E2202" t="inlineStr">
        <is>
          <t>ÖRNSKÖLDSVIK</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66387-2019</t>
        </is>
      </c>
      <c r="B2203" s="1" t="n">
        <v>43808</v>
      </c>
      <c r="C2203" s="1" t="n">
        <v>45212</v>
      </c>
      <c r="D2203" t="inlineStr">
        <is>
          <t>VÄSTERNORRLANDS LÄN</t>
        </is>
      </c>
      <c r="E2203" t="inlineStr">
        <is>
          <t>TIMRÅ</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66281-2019</t>
        </is>
      </c>
      <c r="B2204" s="1" t="n">
        <v>43808</v>
      </c>
      <c r="C2204" s="1" t="n">
        <v>45212</v>
      </c>
      <c r="D2204" t="inlineStr">
        <is>
          <t>VÄSTERNORRLANDS LÄN</t>
        </is>
      </c>
      <c r="E2204" t="inlineStr">
        <is>
          <t>ÖRNSKÖLDSVIK</t>
        </is>
      </c>
      <c r="G2204" t="n">
        <v>0.2</v>
      </c>
      <c r="H2204" t="n">
        <v>0</v>
      </c>
      <c r="I2204" t="n">
        <v>0</v>
      </c>
      <c r="J2204" t="n">
        <v>0</v>
      </c>
      <c r="K2204" t="n">
        <v>0</v>
      </c>
      <c r="L2204" t="n">
        <v>0</v>
      </c>
      <c r="M2204" t="n">
        <v>0</v>
      </c>
      <c r="N2204" t="n">
        <v>0</v>
      </c>
      <c r="O2204" t="n">
        <v>0</v>
      </c>
      <c r="P2204" t="n">
        <v>0</v>
      </c>
      <c r="Q2204" t="n">
        <v>0</v>
      </c>
      <c r="R2204" s="2" t="inlineStr"/>
    </row>
    <row r="2205" ht="15" customHeight="1">
      <c r="A2205" t="inlineStr">
        <is>
          <t>A 66374-2019</t>
        </is>
      </c>
      <c r="B2205" s="1" t="n">
        <v>43808</v>
      </c>
      <c r="C2205" s="1" t="n">
        <v>45212</v>
      </c>
      <c r="D2205" t="inlineStr">
        <is>
          <t>VÄSTERNORRLANDS LÄN</t>
        </is>
      </c>
      <c r="E2205" t="inlineStr">
        <is>
          <t>SUNDSVALL</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66385-2019</t>
        </is>
      </c>
      <c r="B2206" s="1" t="n">
        <v>43808</v>
      </c>
      <c r="C2206" s="1" t="n">
        <v>45212</v>
      </c>
      <c r="D2206" t="inlineStr">
        <is>
          <t>VÄSTERNORRLANDS LÄN</t>
        </is>
      </c>
      <c r="E2206" t="inlineStr">
        <is>
          <t>TIMRÅ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66415-2019</t>
        </is>
      </c>
      <c r="B2207" s="1" t="n">
        <v>43808</v>
      </c>
      <c r="C2207" s="1" t="n">
        <v>45212</v>
      </c>
      <c r="D2207" t="inlineStr">
        <is>
          <t>VÄSTERNORRLANDS LÄN</t>
        </is>
      </c>
      <c r="E2207" t="inlineStr">
        <is>
          <t>TIMRÅ</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66699-2019</t>
        </is>
      </c>
      <c r="B2208" s="1" t="n">
        <v>43809</v>
      </c>
      <c r="C2208" s="1" t="n">
        <v>45212</v>
      </c>
      <c r="D2208" t="inlineStr">
        <is>
          <t>VÄSTERNORRLANDS LÄN</t>
        </is>
      </c>
      <c r="E2208" t="inlineStr">
        <is>
          <t>SUNDSVALL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66707-2019</t>
        </is>
      </c>
      <c r="B2209" s="1" t="n">
        <v>43809</v>
      </c>
      <c r="C2209" s="1" t="n">
        <v>45212</v>
      </c>
      <c r="D2209" t="inlineStr">
        <is>
          <t>VÄSTERNORRLANDS LÄN</t>
        </is>
      </c>
      <c r="E2209" t="inlineStr">
        <is>
          <t>SUNDSVALL</t>
        </is>
      </c>
      <c r="F2209" t="inlineStr">
        <is>
          <t>Naturvårdsverket</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66397-2019</t>
        </is>
      </c>
      <c r="B2210" s="1" t="n">
        <v>43809</v>
      </c>
      <c r="C2210" s="1" t="n">
        <v>45212</v>
      </c>
      <c r="D2210" t="inlineStr">
        <is>
          <t>VÄSTERNORRLANDS LÄN</t>
        </is>
      </c>
      <c r="E2210" t="inlineStr">
        <is>
          <t>ÖRNSKÖLDSVIK</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66704-2019</t>
        </is>
      </c>
      <c r="B2211" s="1" t="n">
        <v>43809</v>
      </c>
      <c r="C2211" s="1" t="n">
        <v>45212</v>
      </c>
      <c r="D2211" t="inlineStr">
        <is>
          <t>VÄSTERNORRLANDS LÄN</t>
        </is>
      </c>
      <c r="E2211" t="inlineStr">
        <is>
          <t>SUNDSVALL</t>
        </is>
      </c>
      <c r="F2211" t="inlineStr">
        <is>
          <t>Naturvårdsverket</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66708-2019</t>
        </is>
      </c>
      <c r="B2212" s="1" t="n">
        <v>43809</v>
      </c>
      <c r="C2212" s="1" t="n">
        <v>45212</v>
      </c>
      <c r="D2212" t="inlineStr">
        <is>
          <t>VÄSTERNORRLANDS LÄN</t>
        </is>
      </c>
      <c r="E2212" t="inlineStr">
        <is>
          <t>SUNDSVALL</t>
        </is>
      </c>
      <c r="F2212" t="inlineStr">
        <is>
          <t>Naturvårdsverket</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66625-2019</t>
        </is>
      </c>
      <c r="B2213" s="1" t="n">
        <v>43809</v>
      </c>
      <c r="C2213" s="1" t="n">
        <v>45212</v>
      </c>
      <c r="D2213" t="inlineStr">
        <is>
          <t>VÄSTERNORRLANDS LÄN</t>
        </is>
      </c>
      <c r="E2213" t="inlineStr">
        <is>
          <t>ÖRNSKÖLDSVIK</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66658-2019</t>
        </is>
      </c>
      <c r="B2214" s="1" t="n">
        <v>43809</v>
      </c>
      <c r="C2214" s="1" t="n">
        <v>45212</v>
      </c>
      <c r="D2214" t="inlineStr">
        <is>
          <t>VÄSTERNORRLANDS LÄN</t>
        </is>
      </c>
      <c r="E2214" t="inlineStr">
        <is>
          <t>ÖRNSKÖLDSVIK</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66705-2019</t>
        </is>
      </c>
      <c r="B2215" s="1" t="n">
        <v>43809</v>
      </c>
      <c r="C2215" s="1" t="n">
        <v>45212</v>
      </c>
      <c r="D2215" t="inlineStr">
        <is>
          <t>VÄSTERNORRLANDS LÄN</t>
        </is>
      </c>
      <c r="E2215" t="inlineStr">
        <is>
          <t>SUNDSVALL</t>
        </is>
      </c>
      <c r="F2215" t="inlineStr">
        <is>
          <t>Naturvårdsverket</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66706-2019</t>
        </is>
      </c>
      <c r="B2216" s="1" t="n">
        <v>43809</v>
      </c>
      <c r="C2216" s="1" t="n">
        <v>45212</v>
      </c>
      <c r="D2216" t="inlineStr">
        <is>
          <t>VÄSTERNORRLANDS LÄN</t>
        </is>
      </c>
      <c r="E2216" t="inlineStr">
        <is>
          <t>SUNDSVALL</t>
        </is>
      </c>
      <c r="F2216" t="inlineStr">
        <is>
          <t>Naturvårdsverket</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66969-2019</t>
        </is>
      </c>
      <c r="B2217" s="1" t="n">
        <v>43810</v>
      </c>
      <c r="C2217" s="1" t="n">
        <v>45212</v>
      </c>
      <c r="D2217" t="inlineStr">
        <is>
          <t>VÄSTERNORRLANDS LÄN</t>
        </is>
      </c>
      <c r="E2217" t="inlineStr">
        <is>
          <t>SUNDSVALL</t>
        </is>
      </c>
      <c r="F2217" t="inlineStr">
        <is>
          <t>SCA</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66975-2019</t>
        </is>
      </c>
      <c r="B2218" s="1" t="n">
        <v>43810</v>
      </c>
      <c r="C2218" s="1" t="n">
        <v>45212</v>
      </c>
      <c r="D2218" t="inlineStr">
        <is>
          <t>VÄSTERNORRLANDS LÄN</t>
        </is>
      </c>
      <c r="E2218" t="inlineStr">
        <is>
          <t>KRAMFORS</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66998-2019</t>
        </is>
      </c>
      <c r="B2219" s="1" t="n">
        <v>43811</v>
      </c>
      <c r="C2219" s="1" t="n">
        <v>45212</v>
      </c>
      <c r="D2219" t="inlineStr">
        <is>
          <t>VÄSTERNORRLANDS LÄN</t>
        </is>
      </c>
      <c r="E2219" t="inlineStr">
        <is>
          <t>SUNDSVALL</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67278-2019</t>
        </is>
      </c>
      <c r="B2220" s="1" t="n">
        <v>43812</v>
      </c>
      <c r="C2220" s="1" t="n">
        <v>45212</v>
      </c>
      <c r="D2220" t="inlineStr">
        <is>
          <t>VÄSTERNORRLANDS LÄN</t>
        </is>
      </c>
      <c r="E2220" t="inlineStr">
        <is>
          <t>KRAMFORS</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67251-2019</t>
        </is>
      </c>
      <c r="B2221" s="1" t="n">
        <v>43812</v>
      </c>
      <c r="C2221" s="1" t="n">
        <v>45212</v>
      </c>
      <c r="D2221" t="inlineStr">
        <is>
          <t>VÄSTERNORRLANDS LÄN</t>
        </is>
      </c>
      <c r="E2221" t="inlineStr">
        <is>
          <t>ÖRNSKÖLDSVIK</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67366-2019</t>
        </is>
      </c>
      <c r="B2222" s="1" t="n">
        <v>43812</v>
      </c>
      <c r="C2222" s="1" t="n">
        <v>45212</v>
      </c>
      <c r="D2222" t="inlineStr">
        <is>
          <t>VÄSTERNORRLANDS LÄN</t>
        </is>
      </c>
      <c r="E2222" t="inlineStr">
        <is>
          <t>KRAMFORS</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67272-2019</t>
        </is>
      </c>
      <c r="B2223" s="1" t="n">
        <v>43812</v>
      </c>
      <c r="C2223" s="1" t="n">
        <v>45212</v>
      </c>
      <c r="D2223" t="inlineStr">
        <is>
          <t>VÄSTERNORRLANDS LÄN</t>
        </is>
      </c>
      <c r="E2223" t="inlineStr">
        <is>
          <t>KRAMFORS</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67805-2019</t>
        </is>
      </c>
      <c r="B2224" s="1" t="n">
        <v>43815</v>
      </c>
      <c r="C2224" s="1" t="n">
        <v>45212</v>
      </c>
      <c r="D2224" t="inlineStr">
        <is>
          <t>VÄSTERNORRLANDS LÄN</t>
        </is>
      </c>
      <c r="E2224" t="inlineStr">
        <is>
          <t>SOLLEFTEÅ</t>
        </is>
      </c>
      <c r="F2224" t="inlineStr">
        <is>
          <t>SCA</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67813-2019</t>
        </is>
      </c>
      <c r="B2225" s="1" t="n">
        <v>43815</v>
      </c>
      <c r="C2225" s="1" t="n">
        <v>45212</v>
      </c>
      <c r="D2225" t="inlineStr">
        <is>
          <t>VÄSTERNORRLANDS LÄN</t>
        </is>
      </c>
      <c r="E2225" t="inlineStr">
        <is>
          <t>KRAMFORS</t>
        </is>
      </c>
      <c r="F2225" t="inlineStr">
        <is>
          <t>SCA</t>
        </is>
      </c>
      <c r="G2225" t="n">
        <v>24.1</v>
      </c>
      <c r="H2225" t="n">
        <v>0</v>
      </c>
      <c r="I2225" t="n">
        <v>0</v>
      </c>
      <c r="J2225" t="n">
        <v>0</v>
      </c>
      <c r="K2225" t="n">
        <v>0</v>
      </c>
      <c r="L2225" t="n">
        <v>0</v>
      </c>
      <c r="M2225" t="n">
        <v>0</v>
      </c>
      <c r="N2225" t="n">
        <v>0</v>
      </c>
      <c r="O2225" t="n">
        <v>0</v>
      </c>
      <c r="P2225" t="n">
        <v>0</v>
      </c>
      <c r="Q2225" t="n">
        <v>0</v>
      </c>
      <c r="R2225" s="2" t="inlineStr"/>
    </row>
    <row r="2226" ht="15" customHeight="1">
      <c r="A2226" t="inlineStr">
        <is>
          <t>A 67815-2019</t>
        </is>
      </c>
      <c r="B2226" s="1" t="n">
        <v>43815</v>
      </c>
      <c r="C2226" s="1" t="n">
        <v>45212</v>
      </c>
      <c r="D2226" t="inlineStr">
        <is>
          <t>VÄSTERNORRLANDS LÄN</t>
        </is>
      </c>
      <c r="E2226" t="inlineStr">
        <is>
          <t>SOLLEFTEÅ</t>
        </is>
      </c>
      <c r="F2226" t="inlineStr">
        <is>
          <t>SCA</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67825-2019</t>
        </is>
      </c>
      <c r="B2227" s="1" t="n">
        <v>43815</v>
      </c>
      <c r="C2227" s="1" t="n">
        <v>45212</v>
      </c>
      <c r="D2227" t="inlineStr">
        <is>
          <t>VÄSTERNORRLANDS LÄN</t>
        </is>
      </c>
      <c r="E2227" t="inlineStr">
        <is>
          <t>TIMRÅ</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67613-2019</t>
        </is>
      </c>
      <c r="B2228" s="1" t="n">
        <v>43815</v>
      </c>
      <c r="C2228" s="1" t="n">
        <v>45212</v>
      </c>
      <c r="D2228" t="inlineStr">
        <is>
          <t>VÄSTERNORRLANDS LÄN</t>
        </is>
      </c>
      <c r="E2228" t="inlineStr">
        <is>
          <t>ÖRNSKÖLDSVIK</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68788-2019</t>
        </is>
      </c>
      <c r="B2229" s="1" t="n">
        <v>43815</v>
      </c>
      <c r="C2229" s="1" t="n">
        <v>45212</v>
      </c>
      <c r="D2229" t="inlineStr">
        <is>
          <t>VÄSTERNORRLANDS LÄN</t>
        </is>
      </c>
      <c r="E2229" t="inlineStr">
        <is>
          <t>SUNDSVALL</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68809-2019</t>
        </is>
      </c>
      <c r="B2230" s="1" t="n">
        <v>43815</v>
      </c>
      <c r="C2230" s="1" t="n">
        <v>45212</v>
      </c>
      <c r="D2230" t="inlineStr">
        <is>
          <t>VÄSTERNORRLANDS LÄN</t>
        </is>
      </c>
      <c r="E2230" t="inlineStr">
        <is>
          <t>ÅNGE</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500-2020</t>
        </is>
      </c>
      <c r="B2231" s="1" t="n">
        <v>43816</v>
      </c>
      <c r="C2231" s="1" t="n">
        <v>45212</v>
      </c>
      <c r="D2231" t="inlineStr">
        <is>
          <t>VÄSTERNORRLANDS LÄN</t>
        </is>
      </c>
      <c r="E2231" t="inlineStr">
        <is>
          <t>ÖRNSKÖLDSVIK</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494-2020</t>
        </is>
      </c>
      <c r="B2232" s="1" t="n">
        <v>43816</v>
      </c>
      <c r="C2232" s="1" t="n">
        <v>45212</v>
      </c>
      <c r="D2232" t="inlineStr">
        <is>
          <t>VÄSTERNORRLANDS LÄN</t>
        </is>
      </c>
      <c r="E2232" t="inlineStr">
        <is>
          <t>ÖRNSKÖLDSVIK</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714-2020</t>
        </is>
      </c>
      <c r="B2233" s="1" t="n">
        <v>43818</v>
      </c>
      <c r="C2233" s="1" t="n">
        <v>45212</v>
      </c>
      <c r="D2233" t="inlineStr">
        <is>
          <t>VÄSTERNORRLANDS LÄN</t>
        </is>
      </c>
      <c r="E2233" t="inlineStr">
        <is>
          <t>ÅNGE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68686-2019</t>
        </is>
      </c>
      <c r="B2234" s="1" t="n">
        <v>43819</v>
      </c>
      <c r="C2234" s="1" t="n">
        <v>45212</v>
      </c>
      <c r="D2234" t="inlineStr">
        <is>
          <t>VÄSTERNORRLANDS LÄN</t>
        </is>
      </c>
      <c r="E2234" t="inlineStr">
        <is>
          <t>ÖRNSKÖLDSVIK</t>
        </is>
      </c>
      <c r="F2234" t="inlineStr">
        <is>
          <t>Holmen skog AB</t>
        </is>
      </c>
      <c r="G2234" t="n">
        <v>12.2</v>
      </c>
      <c r="H2234" t="n">
        <v>0</v>
      </c>
      <c r="I2234" t="n">
        <v>0</v>
      </c>
      <c r="J2234" t="n">
        <v>0</v>
      </c>
      <c r="K2234" t="n">
        <v>0</v>
      </c>
      <c r="L2234" t="n">
        <v>0</v>
      </c>
      <c r="M2234" t="n">
        <v>0</v>
      </c>
      <c r="N2234" t="n">
        <v>0</v>
      </c>
      <c r="O2234" t="n">
        <v>0</v>
      </c>
      <c r="P2234" t="n">
        <v>0</v>
      </c>
      <c r="Q2234" t="n">
        <v>0</v>
      </c>
      <c r="R2234" s="2" t="inlineStr"/>
    </row>
    <row r="2235" ht="15" customHeight="1">
      <c r="A2235" t="inlineStr">
        <is>
          <t>A 68807-2019</t>
        </is>
      </c>
      <c r="B2235" s="1" t="n">
        <v>43819</v>
      </c>
      <c r="C2235" s="1" t="n">
        <v>45212</v>
      </c>
      <c r="D2235" t="inlineStr">
        <is>
          <t>VÄSTERNORRLANDS LÄN</t>
        </is>
      </c>
      <c r="E2235" t="inlineStr">
        <is>
          <t>ÅNGE</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68845-2019</t>
        </is>
      </c>
      <c r="B2236" s="1" t="n">
        <v>43819</v>
      </c>
      <c r="C2236" s="1" t="n">
        <v>45212</v>
      </c>
      <c r="D2236" t="inlineStr">
        <is>
          <t>VÄSTERNORRLANDS LÄN</t>
        </is>
      </c>
      <c r="E2236" t="inlineStr">
        <is>
          <t>KRAMFORS</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68848-2019</t>
        </is>
      </c>
      <c r="B2237" s="1" t="n">
        <v>43819</v>
      </c>
      <c r="C2237" s="1" t="n">
        <v>45212</v>
      </c>
      <c r="D2237" t="inlineStr">
        <is>
          <t>VÄSTERNORRLANDS LÄN</t>
        </is>
      </c>
      <c r="E2237" t="inlineStr">
        <is>
          <t>KRAMFORS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975-2020</t>
        </is>
      </c>
      <c r="B2238" s="1" t="n">
        <v>43819</v>
      </c>
      <c r="C2238" s="1" t="n">
        <v>45212</v>
      </c>
      <c r="D2238" t="inlineStr">
        <is>
          <t>VÄSTERNORRLANDS LÄN</t>
        </is>
      </c>
      <c r="E2238" t="inlineStr">
        <is>
          <t>KRAMFORS</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68939-2019</t>
        </is>
      </c>
      <c r="B2239" s="1" t="n">
        <v>43822</v>
      </c>
      <c r="C2239" s="1" t="n">
        <v>45212</v>
      </c>
      <c r="D2239" t="inlineStr">
        <is>
          <t>VÄSTERNORRLANDS LÄN</t>
        </is>
      </c>
      <c r="E2239" t="inlineStr">
        <is>
          <t>ÖRNSKÖLDSVIK</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69043-2019</t>
        </is>
      </c>
      <c r="B2240" s="1" t="n">
        <v>43826</v>
      </c>
      <c r="C2240" s="1" t="n">
        <v>45212</v>
      </c>
      <c r="D2240" t="inlineStr">
        <is>
          <t>VÄSTERNORRLANDS LÄN</t>
        </is>
      </c>
      <c r="E2240" t="inlineStr">
        <is>
          <t>SUNDSVALL</t>
        </is>
      </c>
      <c r="F2240" t="inlineStr">
        <is>
          <t>Kommuner</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69042-2019</t>
        </is>
      </c>
      <c r="B2241" s="1" t="n">
        <v>43826</v>
      </c>
      <c r="C2241" s="1" t="n">
        <v>45212</v>
      </c>
      <c r="D2241" t="inlineStr">
        <is>
          <t>VÄSTERNORRLANDS LÄN</t>
        </is>
      </c>
      <c r="E2241" t="inlineStr">
        <is>
          <t>SUNDSVALL</t>
        </is>
      </c>
      <c r="F2241" t="inlineStr">
        <is>
          <t>Kommuner</t>
        </is>
      </c>
      <c r="G2241" t="n">
        <v>5.5</v>
      </c>
      <c r="H2241" t="n">
        <v>0</v>
      </c>
      <c r="I2241" t="n">
        <v>0</v>
      </c>
      <c r="J2241" t="n">
        <v>0</v>
      </c>
      <c r="K2241" t="n">
        <v>0</v>
      </c>
      <c r="L2241" t="n">
        <v>0</v>
      </c>
      <c r="M2241" t="n">
        <v>0</v>
      </c>
      <c r="N2241" t="n">
        <v>0</v>
      </c>
      <c r="O2241" t="n">
        <v>0</v>
      </c>
      <c r="P2241" t="n">
        <v>0</v>
      </c>
      <c r="Q2241" t="n">
        <v>0</v>
      </c>
      <c r="R2241" s="2" t="inlineStr"/>
    </row>
    <row r="2242" ht="15" customHeight="1">
      <c r="A2242" t="inlineStr">
        <is>
          <t>A 69040-2019</t>
        </is>
      </c>
      <c r="B2242" s="1" t="n">
        <v>43826</v>
      </c>
      <c r="C2242" s="1" t="n">
        <v>45212</v>
      </c>
      <c r="D2242" t="inlineStr">
        <is>
          <t>VÄSTERNORRLANDS LÄN</t>
        </is>
      </c>
      <c r="E2242" t="inlineStr">
        <is>
          <t>SUNDSVALL</t>
        </is>
      </c>
      <c r="F2242" t="inlineStr">
        <is>
          <t>Kommuner</t>
        </is>
      </c>
      <c r="G2242" t="n">
        <v>6.1</v>
      </c>
      <c r="H2242" t="n">
        <v>0</v>
      </c>
      <c r="I2242" t="n">
        <v>0</v>
      </c>
      <c r="J2242" t="n">
        <v>0</v>
      </c>
      <c r="K2242" t="n">
        <v>0</v>
      </c>
      <c r="L2242" t="n">
        <v>0</v>
      </c>
      <c r="M2242" t="n">
        <v>0</v>
      </c>
      <c r="N2242" t="n">
        <v>0</v>
      </c>
      <c r="O2242" t="n">
        <v>0</v>
      </c>
      <c r="P2242" t="n">
        <v>0</v>
      </c>
      <c r="Q2242" t="n">
        <v>0</v>
      </c>
      <c r="R2242" s="2" t="inlineStr"/>
    </row>
    <row r="2243" ht="15" customHeight="1">
      <c r="A2243" t="inlineStr">
        <is>
          <t>A 1627-2020</t>
        </is>
      </c>
      <c r="B2243" s="1" t="n">
        <v>43829</v>
      </c>
      <c r="C2243" s="1" t="n">
        <v>45212</v>
      </c>
      <c r="D2243" t="inlineStr">
        <is>
          <t>VÄSTERNORRLANDS LÄN</t>
        </is>
      </c>
      <c r="E2243" t="inlineStr">
        <is>
          <t>SOLLEFTEÅ</t>
        </is>
      </c>
      <c r="G2243" t="n">
        <v>9</v>
      </c>
      <c r="H2243" t="n">
        <v>0</v>
      </c>
      <c r="I2243" t="n">
        <v>0</v>
      </c>
      <c r="J2243" t="n">
        <v>0</v>
      </c>
      <c r="K2243" t="n">
        <v>0</v>
      </c>
      <c r="L2243" t="n">
        <v>0</v>
      </c>
      <c r="M2243" t="n">
        <v>0</v>
      </c>
      <c r="N2243" t="n">
        <v>0</v>
      </c>
      <c r="O2243" t="n">
        <v>0</v>
      </c>
      <c r="P2243" t="n">
        <v>0</v>
      </c>
      <c r="Q2243" t="n">
        <v>0</v>
      </c>
      <c r="R2243" s="2" t="inlineStr"/>
    </row>
    <row r="2244" ht="15" customHeight="1">
      <c r="A2244" t="inlineStr">
        <is>
          <t>A 69169-2019</t>
        </is>
      </c>
      <c r="B2244" s="1" t="n">
        <v>43830</v>
      </c>
      <c r="C2244" s="1" t="n">
        <v>45212</v>
      </c>
      <c r="D2244" t="inlineStr">
        <is>
          <t>VÄSTERNORRLANDS LÄN</t>
        </is>
      </c>
      <c r="E2244" t="inlineStr">
        <is>
          <t>ÅNGE</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69171-2019</t>
        </is>
      </c>
      <c r="B2245" s="1" t="n">
        <v>43830</v>
      </c>
      <c r="C2245" s="1" t="n">
        <v>45212</v>
      </c>
      <c r="D2245" t="inlineStr">
        <is>
          <t>VÄSTERNORRLANDS LÄN</t>
        </is>
      </c>
      <c r="E2245" t="inlineStr">
        <is>
          <t>ÅNGE</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114-2020</t>
        </is>
      </c>
      <c r="B2246" s="1" t="n">
        <v>43832</v>
      </c>
      <c r="C2246" s="1" t="n">
        <v>45212</v>
      </c>
      <c r="D2246" t="inlineStr">
        <is>
          <t>VÄSTERNORRLANDS LÄN</t>
        </is>
      </c>
      <c r="E2246" t="inlineStr">
        <is>
          <t>ÅNGE</t>
        </is>
      </c>
      <c r="F2246" t="inlineStr">
        <is>
          <t>SCA</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125-2020</t>
        </is>
      </c>
      <c r="B2247" s="1" t="n">
        <v>43832</v>
      </c>
      <c r="C2247" s="1" t="n">
        <v>45212</v>
      </c>
      <c r="D2247" t="inlineStr">
        <is>
          <t>VÄSTERNORRLANDS LÄN</t>
        </is>
      </c>
      <c r="E2247" t="inlineStr">
        <is>
          <t>SOLLEFTEÅ</t>
        </is>
      </c>
      <c r="F2247" t="inlineStr">
        <is>
          <t>SCA</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126-2020</t>
        </is>
      </c>
      <c r="B2248" s="1" t="n">
        <v>43832</v>
      </c>
      <c r="C2248" s="1" t="n">
        <v>45212</v>
      </c>
      <c r="D2248" t="inlineStr">
        <is>
          <t>VÄSTERNORRLANDS LÄN</t>
        </is>
      </c>
      <c r="E2248" t="inlineStr">
        <is>
          <t>SOLLEFTEÅ</t>
        </is>
      </c>
      <c r="F2248" t="inlineStr">
        <is>
          <t>SCA</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113-2020</t>
        </is>
      </c>
      <c r="B2249" s="1" t="n">
        <v>43832</v>
      </c>
      <c r="C2249" s="1" t="n">
        <v>45212</v>
      </c>
      <c r="D2249" t="inlineStr">
        <is>
          <t>VÄSTERNORRLANDS LÄN</t>
        </is>
      </c>
      <c r="E2249" t="inlineStr">
        <is>
          <t>SUNDSVALL</t>
        </is>
      </c>
      <c r="F2249" t="inlineStr">
        <is>
          <t>SCA</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127-2020</t>
        </is>
      </c>
      <c r="B2250" s="1" t="n">
        <v>43832</v>
      </c>
      <c r="C2250" s="1" t="n">
        <v>45212</v>
      </c>
      <c r="D2250" t="inlineStr">
        <is>
          <t>VÄSTERNORRLANDS LÄN</t>
        </is>
      </c>
      <c r="E2250" t="inlineStr">
        <is>
          <t>SOLLEFTEÅ</t>
        </is>
      </c>
      <c r="F2250" t="inlineStr">
        <is>
          <t>SCA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402-2020</t>
        </is>
      </c>
      <c r="B2251" s="1" t="n">
        <v>43837</v>
      </c>
      <c r="C2251" s="1" t="n">
        <v>45212</v>
      </c>
      <c r="D2251" t="inlineStr">
        <is>
          <t>VÄSTERNORRLANDS LÄN</t>
        </is>
      </c>
      <c r="E2251" t="inlineStr">
        <is>
          <t>HÄRNÖSAND</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473-2020</t>
        </is>
      </c>
      <c r="B2252" s="1" t="n">
        <v>43837</v>
      </c>
      <c r="C2252" s="1" t="n">
        <v>45212</v>
      </c>
      <c r="D2252" t="inlineStr">
        <is>
          <t>VÄSTERNORRLANDS LÄN</t>
        </is>
      </c>
      <c r="E2252" t="inlineStr">
        <is>
          <t>SUNDSVALL</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409-2020</t>
        </is>
      </c>
      <c r="B2253" s="1" t="n">
        <v>43837</v>
      </c>
      <c r="C2253" s="1" t="n">
        <v>45212</v>
      </c>
      <c r="D2253" t="inlineStr">
        <is>
          <t>VÄSTERNORRLANDS LÄN</t>
        </is>
      </c>
      <c r="E2253" t="inlineStr">
        <is>
          <t>ÖRNSKÖLDSVIK</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475-2020</t>
        </is>
      </c>
      <c r="B2254" s="1" t="n">
        <v>43837</v>
      </c>
      <c r="C2254" s="1" t="n">
        <v>45212</v>
      </c>
      <c r="D2254" t="inlineStr">
        <is>
          <t>VÄSTERNORRLANDS LÄN</t>
        </is>
      </c>
      <c r="E2254" t="inlineStr">
        <is>
          <t>ÖRNSKÖLDSVIK</t>
        </is>
      </c>
      <c r="F2254" t="inlineStr">
        <is>
          <t>Holmen skog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503-2020</t>
        </is>
      </c>
      <c r="B2255" s="1" t="n">
        <v>43837</v>
      </c>
      <c r="C2255" s="1" t="n">
        <v>45212</v>
      </c>
      <c r="D2255" t="inlineStr">
        <is>
          <t>VÄSTERNORRLANDS LÄN</t>
        </is>
      </c>
      <c r="E2255" t="inlineStr">
        <is>
          <t>SUNDSVALL</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531-2020</t>
        </is>
      </c>
      <c r="B2256" s="1" t="n">
        <v>43837</v>
      </c>
      <c r="C2256" s="1" t="n">
        <v>45212</v>
      </c>
      <c r="D2256" t="inlineStr">
        <is>
          <t>VÄSTERNORRLANDS LÄN</t>
        </is>
      </c>
      <c r="E2256" t="inlineStr">
        <is>
          <t>ÅNGE</t>
        </is>
      </c>
      <c r="F2256" t="inlineStr">
        <is>
          <t>SCA</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415-2020</t>
        </is>
      </c>
      <c r="B2257" s="1" t="n">
        <v>43837</v>
      </c>
      <c r="C2257" s="1" t="n">
        <v>45212</v>
      </c>
      <c r="D2257" t="inlineStr">
        <is>
          <t>VÄSTERNORRLANDS LÄN</t>
        </is>
      </c>
      <c r="E2257" t="inlineStr">
        <is>
          <t>ÖRNSKÖLDSVIK</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538-2020</t>
        </is>
      </c>
      <c r="B2258" s="1" t="n">
        <v>43837</v>
      </c>
      <c r="C2258" s="1" t="n">
        <v>45212</v>
      </c>
      <c r="D2258" t="inlineStr">
        <is>
          <t>VÄSTERNORRLANDS LÄN</t>
        </is>
      </c>
      <c r="E2258" t="inlineStr">
        <is>
          <t>SOLLEFTEÅ</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392-2020</t>
        </is>
      </c>
      <c r="B2259" s="1" t="n">
        <v>43837</v>
      </c>
      <c r="C2259" s="1" t="n">
        <v>45212</v>
      </c>
      <c r="D2259" t="inlineStr">
        <is>
          <t>VÄSTERNORRLANDS LÄN</t>
        </is>
      </c>
      <c r="E2259" t="inlineStr">
        <is>
          <t>HÄRNÖSAND</t>
        </is>
      </c>
      <c r="G2259" t="n">
        <v>18.4</v>
      </c>
      <c r="H2259" t="n">
        <v>0</v>
      </c>
      <c r="I2259" t="n">
        <v>0</v>
      </c>
      <c r="J2259" t="n">
        <v>0</v>
      </c>
      <c r="K2259" t="n">
        <v>0</v>
      </c>
      <c r="L2259" t="n">
        <v>0</v>
      </c>
      <c r="M2259" t="n">
        <v>0</v>
      </c>
      <c r="N2259" t="n">
        <v>0</v>
      </c>
      <c r="O2259" t="n">
        <v>0</v>
      </c>
      <c r="P2259" t="n">
        <v>0</v>
      </c>
      <c r="Q2259" t="n">
        <v>0</v>
      </c>
      <c r="R2259" s="2" t="inlineStr"/>
    </row>
    <row r="2260" ht="15" customHeight="1">
      <c r="A2260" t="inlineStr">
        <is>
          <t>A 428-2020</t>
        </is>
      </c>
      <c r="B2260" s="1" t="n">
        <v>43837</v>
      </c>
      <c r="C2260" s="1" t="n">
        <v>45212</v>
      </c>
      <c r="D2260" t="inlineStr">
        <is>
          <t>VÄSTERNORRLANDS LÄN</t>
        </is>
      </c>
      <c r="E2260" t="inlineStr">
        <is>
          <t>ÖRNSKÖLDSVIK</t>
        </is>
      </c>
      <c r="F2260" t="inlineStr">
        <is>
          <t>Holmen skog AB</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477-2020</t>
        </is>
      </c>
      <c r="B2261" s="1" t="n">
        <v>43837</v>
      </c>
      <c r="C2261" s="1" t="n">
        <v>45212</v>
      </c>
      <c r="D2261" t="inlineStr">
        <is>
          <t>VÄSTERNORRLANDS LÄN</t>
        </is>
      </c>
      <c r="E2261" t="inlineStr">
        <is>
          <t>ÖRNSKÖLDSVIK</t>
        </is>
      </c>
      <c r="F2261" t="inlineStr">
        <is>
          <t>Holmen skog AB</t>
        </is>
      </c>
      <c r="G2261" t="n">
        <v>0.2</v>
      </c>
      <c r="H2261" t="n">
        <v>0</v>
      </c>
      <c r="I2261" t="n">
        <v>0</v>
      </c>
      <c r="J2261" t="n">
        <v>0</v>
      </c>
      <c r="K2261" t="n">
        <v>0</v>
      </c>
      <c r="L2261" t="n">
        <v>0</v>
      </c>
      <c r="M2261" t="n">
        <v>0</v>
      </c>
      <c r="N2261" t="n">
        <v>0</v>
      </c>
      <c r="O2261" t="n">
        <v>0</v>
      </c>
      <c r="P2261" t="n">
        <v>0</v>
      </c>
      <c r="Q2261" t="n">
        <v>0</v>
      </c>
      <c r="R2261" s="2" t="inlineStr"/>
    </row>
    <row r="2262" ht="15" customHeight="1">
      <c r="A2262" t="inlineStr">
        <is>
          <t>A 664-2020</t>
        </is>
      </c>
      <c r="B2262" s="1" t="n">
        <v>43838</v>
      </c>
      <c r="C2262" s="1" t="n">
        <v>45212</v>
      </c>
      <c r="D2262" t="inlineStr">
        <is>
          <t>VÄSTERNORRLANDS LÄN</t>
        </is>
      </c>
      <c r="E2262" t="inlineStr">
        <is>
          <t>ÅNGE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805-2020</t>
        </is>
      </c>
      <c r="B2263" s="1" t="n">
        <v>43838</v>
      </c>
      <c r="C2263" s="1" t="n">
        <v>45212</v>
      </c>
      <c r="D2263" t="inlineStr">
        <is>
          <t>VÄSTERNORRLANDS LÄN</t>
        </is>
      </c>
      <c r="E2263" t="inlineStr">
        <is>
          <t>SUNDSVALL</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638-2020</t>
        </is>
      </c>
      <c r="B2264" s="1" t="n">
        <v>43838</v>
      </c>
      <c r="C2264" s="1" t="n">
        <v>45212</v>
      </c>
      <c r="D2264" t="inlineStr">
        <is>
          <t>VÄSTERNORRLANDS LÄN</t>
        </is>
      </c>
      <c r="E2264" t="inlineStr">
        <is>
          <t>ÖRNSKÖLDSVIK</t>
        </is>
      </c>
      <c r="F2264" t="inlineStr">
        <is>
          <t>Holmen skog AB</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803-2020</t>
        </is>
      </c>
      <c r="B2265" s="1" t="n">
        <v>43838</v>
      </c>
      <c r="C2265" s="1" t="n">
        <v>45212</v>
      </c>
      <c r="D2265" t="inlineStr">
        <is>
          <t>VÄSTERNORRLANDS LÄN</t>
        </is>
      </c>
      <c r="E2265" t="inlineStr">
        <is>
          <t>SUNDSVALL</t>
        </is>
      </c>
      <c r="G2265" t="n">
        <v>7</v>
      </c>
      <c r="H2265" t="n">
        <v>0</v>
      </c>
      <c r="I2265" t="n">
        <v>0</v>
      </c>
      <c r="J2265" t="n">
        <v>0</v>
      </c>
      <c r="K2265" t="n">
        <v>0</v>
      </c>
      <c r="L2265" t="n">
        <v>0</v>
      </c>
      <c r="M2265" t="n">
        <v>0</v>
      </c>
      <c r="N2265" t="n">
        <v>0</v>
      </c>
      <c r="O2265" t="n">
        <v>0</v>
      </c>
      <c r="P2265" t="n">
        <v>0</v>
      </c>
      <c r="Q2265" t="n">
        <v>0</v>
      </c>
      <c r="R2265" s="2" t="inlineStr"/>
    </row>
    <row r="2266" ht="15" customHeight="1">
      <c r="A2266" t="inlineStr">
        <is>
          <t>A 2143-2020</t>
        </is>
      </c>
      <c r="B2266" s="1" t="n">
        <v>43839</v>
      </c>
      <c r="C2266" s="1" t="n">
        <v>45212</v>
      </c>
      <c r="D2266" t="inlineStr">
        <is>
          <t>VÄSTERNORRLANDS LÄN</t>
        </is>
      </c>
      <c r="E2266" t="inlineStr">
        <is>
          <t>ÖRNSKÖLDSVIK</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1213-2020</t>
        </is>
      </c>
      <c r="B2267" s="1" t="n">
        <v>43840</v>
      </c>
      <c r="C2267" s="1" t="n">
        <v>45212</v>
      </c>
      <c r="D2267" t="inlineStr">
        <is>
          <t>VÄSTERNORRLANDS LÄN</t>
        </is>
      </c>
      <c r="E2267" t="inlineStr">
        <is>
          <t>SOLLEFTEÅ</t>
        </is>
      </c>
      <c r="F2267" t="inlineStr">
        <is>
          <t>Kyrkan</t>
        </is>
      </c>
      <c r="G2267" t="n">
        <v>13.9</v>
      </c>
      <c r="H2267" t="n">
        <v>0</v>
      </c>
      <c r="I2267" t="n">
        <v>0</v>
      </c>
      <c r="J2267" t="n">
        <v>0</v>
      </c>
      <c r="K2267" t="n">
        <v>0</v>
      </c>
      <c r="L2267" t="n">
        <v>0</v>
      </c>
      <c r="M2267" t="n">
        <v>0</v>
      </c>
      <c r="N2267" t="n">
        <v>0</v>
      </c>
      <c r="O2267" t="n">
        <v>0</v>
      </c>
      <c r="P2267" t="n">
        <v>0</v>
      </c>
      <c r="Q2267" t="n">
        <v>0</v>
      </c>
      <c r="R2267" s="2" t="inlineStr"/>
    </row>
    <row r="2268" ht="15" customHeight="1">
      <c r="A2268" t="inlineStr">
        <is>
          <t>A 1222-2020</t>
        </is>
      </c>
      <c r="B2268" s="1" t="n">
        <v>43840</v>
      </c>
      <c r="C2268" s="1" t="n">
        <v>45212</v>
      </c>
      <c r="D2268" t="inlineStr">
        <is>
          <t>VÄSTERNORRLANDS LÄN</t>
        </is>
      </c>
      <c r="E2268" t="inlineStr">
        <is>
          <t>ÖRNSKÖLDSVIK</t>
        </is>
      </c>
      <c r="F2268" t="inlineStr">
        <is>
          <t>Holmen skog AB</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1164-2020</t>
        </is>
      </c>
      <c r="B2269" s="1" t="n">
        <v>43840</v>
      </c>
      <c r="C2269" s="1" t="n">
        <v>45212</v>
      </c>
      <c r="D2269" t="inlineStr">
        <is>
          <t>VÄSTERNORRLANDS LÄN</t>
        </is>
      </c>
      <c r="E2269" t="inlineStr">
        <is>
          <t>ÖRNSKÖLDSVIK</t>
        </is>
      </c>
      <c r="F2269" t="inlineStr">
        <is>
          <t>Holmen skog AB</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1170-2020</t>
        </is>
      </c>
      <c r="B2270" s="1" t="n">
        <v>43840</v>
      </c>
      <c r="C2270" s="1" t="n">
        <v>45212</v>
      </c>
      <c r="D2270" t="inlineStr">
        <is>
          <t>VÄSTERNORRLANDS LÄN</t>
        </is>
      </c>
      <c r="E2270" t="inlineStr">
        <is>
          <t>ÖRNSKÖLDSVIK</t>
        </is>
      </c>
      <c r="F2270" t="inlineStr">
        <is>
          <t>Holmen skog AB</t>
        </is>
      </c>
      <c r="G2270" t="n">
        <v>7.6</v>
      </c>
      <c r="H2270" t="n">
        <v>0</v>
      </c>
      <c r="I2270" t="n">
        <v>0</v>
      </c>
      <c r="J2270" t="n">
        <v>0</v>
      </c>
      <c r="K2270" t="n">
        <v>0</v>
      </c>
      <c r="L2270" t="n">
        <v>0</v>
      </c>
      <c r="M2270" t="n">
        <v>0</v>
      </c>
      <c r="N2270" t="n">
        <v>0</v>
      </c>
      <c r="O2270" t="n">
        <v>0</v>
      </c>
      <c r="P2270" t="n">
        <v>0</v>
      </c>
      <c r="Q2270" t="n">
        <v>0</v>
      </c>
      <c r="R2270" s="2" t="inlineStr"/>
    </row>
    <row r="2271" ht="15" customHeight="1">
      <c r="A2271" t="inlineStr">
        <is>
          <t>A 1219-2020</t>
        </is>
      </c>
      <c r="B2271" s="1" t="n">
        <v>43840</v>
      </c>
      <c r="C2271" s="1" t="n">
        <v>45212</v>
      </c>
      <c r="D2271" t="inlineStr">
        <is>
          <t>VÄSTERNORRLANDS LÄN</t>
        </is>
      </c>
      <c r="E2271" t="inlineStr">
        <is>
          <t>ÖRNSKÖLDSVIK</t>
        </is>
      </c>
      <c r="F2271" t="inlineStr">
        <is>
          <t>Holmen skog AB</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1263-2020</t>
        </is>
      </c>
      <c r="B2272" s="1" t="n">
        <v>43840</v>
      </c>
      <c r="C2272" s="1" t="n">
        <v>45212</v>
      </c>
      <c r="D2272" t="inlineStr">
        <is>
          <t>VÄSTERNORRLANDS LÄN</t>
        </is>
      </c>
      <c r="E2272" t="inlineStr">
        <is>
          <t>SOLLEFTEÅ</t>
        </is>
      </c>
      <c r="F2272" t="inlineStr">
        <is>
          <t>SCA</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1262-2020</t>
        </is>
      </c>
      <c r="B2273" s="1" t="n">
        <v>43840</v>
      </c>
      <c r="C2273" s="1" t="n">
        <v>45212</v>
      </c>
      <c r="D2273" t="inlineStr">
        <is>
          <t>VÄSTERNORRLANDS LÄN</t>
        </is>
      </c>
      <c r="E2273" t="inlineStr">
        <is>
          <t>SOLLEFTEÅ</t>
        </is>
      </c>
      <c r="F2273" t="inlineStr">
        <is>
          <t>SCA</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1298-2020</t>
        </is>
      </c>
      <c r="B2274" s="1" t="n">
        <v>43842</v>
      </c>
      <c r="C2274" s="1" t="n">
        <v>45212</v>
      </c>
      <c r="D2274" t="inlineStr">
        <is>
          <t>VÄSTERNORRLANDS LÄN</t>
        </is>
      </c>
      <c r="E2274" t="inlineStr">
        <is>
          <t>TIMRÅ</t>
        </is>
      </c>
      <c r="G2274" t="n">
        <v>10.8</v>
      </c>
      <c r="H2274" t="n">
        <v>0</v>
      </c>
      <c r="I2274" t="n">
        <v>0</v>
      </c>
      <c r="J2274" t="n">
        <v>0</v>
      </c>
      <c r="K2274" t="n">
        <v>0</v>
      </c>
      <c r="L2274" t="n">
        <v>0</v>
      </c>
      <c r="M2274" t="n">
        <v>0</v>
      </c>
      <c r="N2274" t="n">
        <v>0</v>
      </c>
      <c r="O2274" t="n">
        <v>0</v>
      </c>
      <c r="P2274" t="n">
        <v>0</v>
      </c>
      <c r="Q2274" t="n">
        <v>0</v>
      </c>
      <c r="R2274" s="2" t="inlineStr"/>
    </row>
    <row r="2275" ht="15" customHeight="1">
      <c r="A2275" t="inlineStr">
        <is>
          <t>A 1280-2020</t>
        </is>
      </c>
      <c r="B2275" s="1" t="n">
        <v>43842</v>
      </c>
      <c r="C2275" s="1" t="n">
        <v>45212</v>
      </c>
      <c r="D2275" t="inlineStr">
        <is>
          <t>VÄSTERNORRLANDS LÄN</t>
        </is>
      </c>
      <c r="E2275" t="inlineStr">
        <is>
          <t>SUNDSVALL</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1416-2020</t>
        </is>
      </c>
      <c r="B2276" s="1" t="n">
        <v>43843</v>
      </c>
      <c r="C2276" s="1" t="n">
        <v>45212</v>
      </c>
      <c r="D2276" t="inlineStr">
        <is>
          <t>VÄSTERNORRLANDS LÄN</t>
        </is>
      </c>
      <c r="E2276" t="inlineStr">
        <is>
          <t>ÖRNSKÖLDSVIK</t>
        </is>
      </c>
      <c r="F2276" t="inlineStr">
        <is>
          <t>Kommuner</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3043-2020</t>
        </is>
      </c>
      <c r="B2277" s="1" t="n">
        <v>43843</v>
      </c>
      <c r="C2277" s="1" t="n">
        <v>45212</v>
      </c>
      <c r="D2277" t="inlineStr">
        <is>
          <t>VÄSTERNORRLANDS LÄN</t>
        </is>
      </c>
      <c r="E2277" t="inlineStr">
        <is>
          <t>ÖRNSKÖLDSVIK</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1568-2020</t>
        </is>
      </c>
      <c r="B2278" s="1" t="n">
        <v>43844</v>
      </c>
      <c r="C2278" s="1" t="n">
        <v>45212</v>
      </c>
      <c r="D2278" t="inlineStr">
        <is>
          <t>VÄSTERNORRLANDS LÄN</t>
        </is>
      </c>
      <c r="E2278" t="inlineStr">
        <is>
          <t>SOLLEFTEÅ</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1639-2020</t>
        </is>
      </c>
      <c r="B2279" s="1" t="n">
        <v>43844</v>
      </c>
      <c r="C2279" s="1" t="n">
        <v>45212</v>
      </c>
      <c r="D2279" t="inlineStr">
        <is>
          <t>VÄSTERNORRLANDS LÄN</t>
        </is>
      </c>
      <c r="E2279" t="inlineStr">
        <is>
          <t>SUNDSVALL</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1856-2020</t>
        </is>
      </c>
      <c r="B2280" s="1" t="n">
        <v>43844</v>
      </c>
      <c r="C2280" s="1" t="n">
        <v>45212</v>
      </c>
      <c r="D2280" t="inlineStr">
        <is>
          <t>VÄSTERNORRLANDS LÄN</t>
        </is>
      </c>
      <c r="E2280" t="inlineStr">
        <is>
          <t>SUNDSVALL</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1655-2020</t>
        </is>
      </c>
      <c r="B2281" s="1" t="n">
        <v>43844</v>
      </c>
      <c r="C2281" s="1" t="n">
        <v>45212</v>
      </c>
      <c r="D2281" t="inlineStr">
        <is>
          <t>VÄSTERNORRLANDS LÄN</t>
        </is>
      </c>
      <c r="E2281" t="inlineStr">
        <is>
          <t>SUNDSVALL</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1830-2020</t>
        </is>
      </c>
      <c r="B2282" s="1" t="n">
        <v>43844</v>
      </c>
      <c r="C2282" s="1" t="n">
        <v>45212</v>
      </c>
      <c r="D2282" t="inlineStr">
        <is>
          <t>VÄSTERNORRLANDS LÄN</t>
        </is>
      </c>
      <c r="E2282" t="inlineStr">
        <is>
          <t>HÄRNÖSAND</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1937-2020</t>
        </is>
      </c>
      <c r="B2283" s="1" t="n">
        <v>43845</v>
      </c>
      <c r="C2283" s="1" t="n">
        <v>45212</v>
      </c>
      <c r="D2283" t="inlineStr">
        <is>
          <t>VÄSTERNORRLANDS LÄN</t>
        </is>
      </c>
      <c r="E2283" t="inlineStr">
        <is>
          <t>SUNDSVALL</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1979-2020</t>
        </is>
      </c>
      <c r="B2284" s="1" t="n">
        <v>43845</v>
      </c>
      <c r="C2284" s="1" t="n">
        <v>45212</v>
      </c>
      <c r="D2284" t="inlineStr">
        <is>
          <t>VÄSTERNORRLANDS LÄN</t>
        </is>
      </c>
      <c r="E2284" t="inlineStr">
        <is>
          <t>SUNDSVALL</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2052-2020</t>
        </is>
      </c>
      <c r="B2285" s="1" t="n">
        <v>43845</v>
      </c>
      <c r="C2285" s="1" t="n">
        <v>45212</v>
      </c>
      <c r="D2285" t="inlineStr">
        <is>
          <t>VÄSTERNORRLANDS LÄN</t>
        </is>
      </c>
      <c r="E2285" t="inlineStr">
        <is>
          <t>SUNDSVALL</t>
        </is>
      </c>
      <c r="F2285" t="inlineStr">
        <is>
          <t>Kommuner</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2100-2020</t>
        </is>
      </c>
      <c r="B2286" s="1" t="n">
        <v>43845</v>
      </c>
      <c r="C2286" s="1" t="n">
        <v>45212</v>
      </c>
      <c r="D2286" t="inlineStr">
        <is>
          <t>VÄSTERNORRLANDS LÄN</t>
        </is>
      </c>
      <c r="E2286" t="inlineStr">
        <is>
          <t>SUNDSVALL</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1919-2020</t>
        </is>
      </c>
      <c r="B2287" s="1" t="n">
        <v>43845</v>
      </c>
      <c r="C2287" s="1" t="n">
        <v>45212</v>
      </c>
      <c r="D2287" t="inlineStr">
        <is>
          <t>VÄSTERNORRLANDS LÄN</t>
        </is>
      </c>
      <c r="E2287" t="inlineStr">
        <is>
          <t>SUNDSVALL</t>
        </is>
      </c>
      <c r="F2287" t="inlineStr">
        <is>
          <t>Kommuner</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1928-2020</t>
        </is>
      </c>
      <c r="B2288" s="1" t="n">
        <v>43845</v>
      </c>
      <c r="C2288" s="1" t="n">
        <v>45212</v>
      </c>
      <c r="D2288" t="inlineStr">
        <is>
          <t>VÄSTERNORRLANDS LÄN</t>
        </is>
      </c>
      <c r="E2288" t="inlineStr">
        <is>
          <t>SUNDSVALL</t>
        </is>
      </c>
      <c r="F2288" t="inlineStr">
        <is>
          <t>Kommuner</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2065-2020</t>
        </is>
      </c>
      <c r="B2289" s="1" t="n">
        <v>43845</v>
      </c>
      <c r="C2289" s="1" t="n">
        <v>45212</v>
      </c>
      <c r="D2289" t="inlineStr">
        <is>
          <t>VÄSTERNORRLANDS LÄN</t>
        </is>
      </c>
      <c r="E2289" t="inlineStr">
        <is>
          <t>SUNDSVALL</t>
        </is>
      </c>
      <c r="F2289" t="inlineStr">
        <is>
          <t>Kommuner</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3550-2020</t>
        </is>
      </c>
      <c r="B2290" s="1" t="n">
        <v>43845</v>
      </c>
      <c r="C2290" s="1" t="n">
        <v>45212</v>
      </c>
      <c r="D2290" t="inlineStr">
        <is>
          <t>VÄSTERNORRLANDS LÄN</t>
        </is>
      </c>
      <c r="E2290" t="inlineStr">
        <is>
          <t>SUNDSVALL</t>
        </is>
      </c>
      <c r="F2290" t="inlineStr">
        <is>
          <t>Övriga statliga verk och myndigheter</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1946-2020</t>
        </is>
      </c>
      <c r="B2291" s="1" t="n">
        <v>43845</v>
      </c>
      <c r="C2291" s="1" t="n">
        <v>45212</v>
      </c>
      <c r="D2291" t="inlineStr">
        <is>
          <t>VÄSTERNORRLANDS LÄN</t>
        </is>
      </c>
      <c r="E2291" t="inlineStr">
        <is>
          <t>SUNDSVALL</t>
        </is>
      </c>
      <c r="F2291" t="inlineStr">
        <is>
          <t>Kommuner</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1982-2020</t>
        </is>
      </c>
      <c r="B2292" s="1" t="n">
        <v>43845</v>
      </c>
      <c r="C2292" s="1" t="n">
        <v>45212</v>
      </c>
      <c r="D2292" t="inlineStr">
        <is>
          <t>VÄSTERNORRLANDS LÄN</t>
        </is>
      </c>
      <c r="E2292" t="inlineStr">
        <is>
          <t>KRAMFORS</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2106-2020</t>
        </is>
      </c>
      <c r="B2293" s="1" t="n">
        <v>43845</v>
      </c>
      <c r="C2293" s="1" t="n">
        <v>45212</v>
      </c>
      <c r="D2293" t="inlineStr">
        <is>
          <t>VÄSTERNORRLANDS LÄN</t>
        </is>
      </c>
      <c r="E2293" t="inlineStr">
        <is>
          <t>SUNDSVALL</t>
        </is>
      </c>
      <c r="F2293" t="inlineStr">
        <is>
          <t>Naturvårdsverket</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2361-2020</t>
        </is>
      </c>
      <c r="B2294" s="1" t="n">
        <v>43846</v>
      </c>
      <c r="C2294" s="1" t="n">
        <v>45212</v>
      </c>
      <c r="D2294" t="inlineStr">
        <is>
          <t>VÄSTERNORRLANDS LÄN</t>
        </is>
      </c>
      <c r="E2294" t="inlineStr">
        <is>
          <t>KRAMFORS</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2297-2020</t>
        </is>
      </c>
      <c r="B2295" s="1" t="n">
        <v>43846</v>
      </c>
      <c r="C2295" s="1" t="n">
        <v>45212</v>
      </c>
      <c r="D2295" t="inlineStr">
        <is>
          <t>VÄSTERNORRLANDS LÄN</t>
        </is>
      </c>
      <c r="E2295" t="inlineStr">
        <is>
          <t>ÖRNSKÖLDSVIK</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2314-2020</t>
        </is>
      </c>
      <c r="B2296" s="1" t="n">
        <v>43846</v>
      </c>
      <c r="C2296" s="1" t="n">
        <v>45212</v>
      </c>
      <c r="D2296" t="inlineStr">
        <is>
          <t>VÄSTERNORRLANDS LÄN</t>
        </is>
      </c>
      <c r="E2296" t="inlineStr">
        <is>
          <t>SUNDSVALL</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2650-2020</t>
        </is>
      </c>
      <c r="B2297" s="1" t="n">
        <v>43847</v>
      </c>
      <c r="C2297" s="1" t="n">
        <v>45212</v>
      </c>
      <c r="D2297" t="inlineStr">
        <is>
          <t>VÄSTERNORRLANDS LÄN</t>
        </is>
      </c>
      <c r="E2297" t="inlineStr">
        <is>
          <t>ÅNGE</t>
        </is>
      </c>
      <c r="F2297" t="inlineStr">
        <is>
          <t>SCA</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2478-2020</t>
        </is>
      </c>
      <c r="B2298" s="1" t="n">
        <v>43847</v>
      </c>
      <c r="C2298" s="1" t="n">
        <v>45212</v>
      </c>
      <c r="D2298" t="inlineStr">
        <is>
          <t>VÄSTERNORRLANDS LÄN</t>
        </is>
      </c>
      <c r="E2298" t="inlineStr">
        <is>
          <t>SUNDSVALL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2630-2020</t>
        </is>
      </c>
      <c r="B2299" s="1" t="n">
        <v>43847</v>
      </c>
      <c r="C2299" s="1" t="n">
        <v>45212</v>
      </c>
      <c r="D2299" t="inlineStr">
        <is>
          <t>VÄSTERNORRLANDS LÄN</t>
        </is>
      </c>
      <c r="E2299" t="inlineStr">
        <is>
          <t>SUNDSVALL</t>
        </is>
      </c>
      <c r="F2299" t="inlineStr">
        <is>
          <t>Kommuner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2631-2020</t>
        </is>
      </c>
      <c r="B2300" s="1" t="n">
        <v>43847</v>
      </c>
      <c r="C2300" s="1" t="n">
        <v>45212</v>
      </c>
      <c r="D2300" t="inlineStr">
        <is>
          <t>VÄSTERNORRLANDS LÄN</t>
        </is>
      </c>
      <c r="E2300" t="inlineStr">
        <is>
          <t>SUNDSVALL</t>
        </is>
      </c>
      <c r="F2300" t="inlineStr">
        <is>
          <t>Kommuner</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3002-2020</t>
        </is>
      </c>
      <c r="B2301" s="1" t="n">
        <v>43850</v>
      </c>
      <c r="C2301" s="1" t="n">
        <v>45212</v>
      </c>
      <c r="D2301" t="inlineStr">
        <is>
          <t>VÄSTERNORRLANDS LÄN</t>
        </is>
      </c>
      <c r="E2301" t="inlineStr">
        <is>
          <t>SUNDSVALL</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3010-2020</t>
        </is>
      </c>
      <c r="B2302" s="1" t="n">
        <v>43850</v>
      </c>
      <c r="C2302" s="1" t="n">
        <v>45212</v>
      </c>
      <c r="D2302" t="inlineStr">
        <is>
          <t>VÄSTERNORRLANDS LÄN</t>
        </is>
      </c>
      <c r="E2302" t="inlineStr">
        <is>
          <t>TIMRÅ</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4612-2020</t>
        </is>
      </c>
      <c r="B2303" s="1" t="n">
        <v>43850</v>
      </c>
      <c r="C2303" s="1" t="n">
        <v>45212</v>
      </c>
      <c r="D2303" t="inlineStr">
        <is>
          <t>VÄSTERNORRLANDS LÄN</t>
        </is>
      </c>
      <c r="E2303" t="inlineStr">
        <is>
          <t>ÖRNSKÖLDSVIK</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2782-2020</t>
        </is>
      </c>
      <c r="B2304" s="1" t="n">
        <v>43850</v>
      </c>
      <c r="C2304" s="1" t="n">
        <v>45212</v>
      </c>
      <c r="D2304" t="inlineStr">
        <is>
          <t>VÄSTERNORRLANDS LÄN</t>
        </is>
      </c>
      <c r="E2304" t="inlineStr">
        <is>
          <t>ÖRNSKÖLDSVIK</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2794-2020</t>
        </is>
      </c>
      <c r="B2305" s="1" t="n">
        <v>43850</v>
      </c>
      <c r="C2305" s="1" t="n">
        <v>45212</v>
      </c>
      <c r="D2305" t="inlineStr">
        <is>
          <t>VÄSTERNORRLANDS LÄN</t>
        </is>
      </c>
      <c r="E2305" t="inlineStr">
        <is>
          <t>KRAMFORS</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3006-2020</t>
        </is>
      </c>
      <c r="B2306" s="1" t="n">
        <v>43850</v>
      </c>
      <c r="C2306" s="1" t="n">
        <v>45212</v>
      </c>
      <c r="D2306" t="inlineStr">
        <is>
          <t>VÄSTERNORRLANDS LÄN</t>
        </is>
      </c>
      <c r="E2306" t="inlineStr">
        <is>
          <t>TIMRÅ</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4644-2020</t>
        </is>
      </c>
      <c r="B2307" s="1" t="n">
        <v>43850</v>
      </c>
      <c r="C2307" s="1" t="n">
        <v>45212</v>
      </c>
      <c r="D2307" t="inlineStr">
        <is>
          <t>VÄSTERNORRLANDS LÄN</t>
        </is>
      </c>
      <c r="E2307" t="inlineStr">
        <is>
          <t>ÖRNSKÖLDSVIK</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2897-2020</t>
        </is>
      </c>
      <c r="B2308" s="1" t="n">
        <v>43850</v>
      </c>
      <c r="C2308" s="1" t="n">
        <v>45212</v>
      </c>
      <c r="D2308" t="inlineStr">
        <is>
          <t>VÄSTERNORRLANDS LÄN</t>
        </is>
      </c>
      <c r="E2308" t="inlineStr">
        <is>
          <t>SOLLEFTEÅ</t>
        </is>
      </c>
      <c r="G2308" t="n">
        <v>7.6</v>
      </c>
      <c r="H2308" t="n">
        <v>0</v>
      </c>
      <c r="I2308" t="n">
        <v>0</v>
      </c>
      <c r="J2308" t="n">
        <v>0</v>
      </c>
      <c r="K2308" t="n">
        <v>0</v>
      </c>
      <c r="L2308" t="n">
        <v>0</v>
      </c>
      <c r="M2308" t="n">
        <v>0</v>
      </c>
      <c r="N2308" t="n">
        <v>0</v>
      </c>
      <c r="O2308" t="n">
        <v>0</v>
      </c>
      <c r="P2308" t="n">
        <v>0</v>
      </c>
      <c r="Q2308" t="n">
        <v>0</v>
      </c>
      <c r="R2308" s="2" t="inlineStr"/>
    </row>
    <row r="2309" ht="15" customHeight="1">
      <c r="A2309" t="inlineStr">
        <is>
          <t>A 3007-2020</t>
        </is>
      </c>
      <c r="B2309" s="1" t="n">
        <v>43850</v>
      </c>
      <c r="C2309" s="1" t="n">
        <v>45212</v>
      </c>
      <c r="D2309" t="inlineStr">
        <is>
          <t>VÄSTERNORRLANDS LÄN</t>
        </is>
      </c>
      <c r="E2309" t="inlineStr">
        <is>
          <t>TIMRÅ</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2793-2020</t>
        </is>
      </c>
      <c r="B2310" s="1" t="n">
        <v>43850</v>
      </c>
      <c r="C2310" s="1" t="n">
        <v>45212</v>
      </c>
      <c r="D2310" t="inlineStr">
        <is>
          <t>VÄSTERNORRLANDS LÄN</t>
        </is>
      </c>
      <c r="E2310" t="inlineStr">
        <is>
          <t>KRAMFORS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3003-2020</t>
        </is>
      </c>
      <c r="B2311" s="1" t="n">
        <v>43850</v>
      </c>
      <c r="C2311" s="1" t="n">
        <v>45212</v>
      </c>
      <c r="D2311" t="inlineStr">
        <is>
          <t>VÄSTERNORRLANDS LÄN</t>
        </is>
      </c>
      <c r="E2311" t="inlineStr">
        <is>
          <t>SUNDSVALL</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4641-2020</t>
        </is>
      </c>
      <c r="B2312" s="1" t="n">
        <v>43850</v>
      </c>
      <c r="C2312" s="1" t="n">
        <v>45212</v>
      </c>
      <c r="D2312" t="inlineStr">
        <is>
          <t>VÄSTERNORRLANDS LÄN</t>
        </is>
      </c>
      <c r="E2312" t="inlineStr">
        <is>
          <t>ÖRNSKÖLDSVIK</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4758-2020</t>
        </is>
      </c>
      <c r="B2313" s="1" t="n">
        <v>43850</v>
      </c>
      <c r="C2313" s="1" t="n">
        <v>45212</v>
      </c>
      <c r="D2313" t="inlineStr">
        <is>
          <t>VÄSTERNORRLANDS LÄN</t>
        </is>
      </c>
      <c r="E2313" t="inlineStr">
        <is>
          <t>ÖRNSKÖLDSVIK</t>
        </is>
      </c>
      <c r="G2313" t="n">
        <v>3.3</v>
      </c>
      <c r="H2313" t="n">
        <v>0</v>
      </c>
      <c r="I2313" t="n">
        <v>0</v>
      </c>
      <c r="J2313" t="n">
        <v>0</v>
      </c>
      <c r="K2313" t="n">
        <v>0</v>
      </c>
      <c r="L2313" t="n">
        <v>0</v>
      </c>
      <c r="M2313" t="n">
        <v>0</v>
      </c>
      <c r="N2313" t="n">
        <v>0</v>
      </c>
      <c r="O2313" t="n">
        <v>0</v>
      </c>
      <c r="P2313" t="n">
        <v>0</v>
      </c>
      <c r="Q2313" t="n">
        <v>0</v>
      </c>
      <c r="R2313" s="2" t="inlineStr"/>
    </row>
    <row r="2314" ht="15" customHeight="1">
      <c r="A2314" t="inlineStr">
        <is>
          <t>A 3030-2020</t>
        </is>
      </c>
      <c r="B2314" s="1" t="n">
        <v>43851</v>
      </c>
      <c r="C2314" s="1" t="n">
        <v>45212</v>
      </c>
      <c r="D2314" t="inlineStr">
        <is>
          <t>VÄSTERNORRLANDS LÄN</t>
        </is>
      </c>
      <c r="E2314" t="inlineStr">
        <is>
          <t>TIMRÅ</t>
        </is>
      </c>
      <c r="F2314" t="inlineStr">
        <is>
          <t>Kyrkan</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3092-2020</t>
        </is>
      </c>
      <c r="B2315" s="1" t="n">
        <v>43851</v>
      </c>
      <c r="C2315" s="1" t="n">
        <v>45212</v>
      </c>
      <c r="D2315" t="inlineStr">
        <is>
          <t>VÄSTERNORRLANDS LÄN</t>
        </is>
      </c>
      <c r="E2315" t="inlineStr">
        <is>
          <t>SUNDSVALL</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3193-2020</t>
        </is>
      </c>
      <c r="B2316" s="1" t="n">
        <v>43851</v>
      </c>
      <c r="C2316" s="1" t="n">
        <v>45212</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3230-2020</t>
        </is>
      </c>
      <c r="B2317" s="1" t="n">
        <v>43851</v>
      </c>
      <c r="C2317" s="1" t="n">
        <v>45212</v>
      </c>
      <c r="D2317" t="inlineStr">
        <is>
          <t>VÄSTERNORRLANDS LÄN</t>
        </is>
      </c>
      <c r="E2317" t="inlineStr">
        <is>
          <t>SOLLEFTEÅ</t>
        </is>
      </c>
      <c r="F2317" t="inlineStr">
        <is>
          <t>Övriga statliga verk och myndigheter</t>
        </is>
      </c>
      <c r="G2317" t="n">
        <v>9.199999999999999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3240-2020</t>
        </is>
      </c>
      <c r="B2318" s="1" t="n">
        <v>43852</v>
      </c>
      <c r="C2318" s="1" t="n">
        <v>45212</v>
      </c>
      <c r="D2318" t="inlineStr">
        <is>
          <t>VÄSTERNORRLANDS LÄN</t>
        </is>
      </c>
      <c r="E2318" t="inlineStr">
        <is>
          <t>ÖRNSKÖLDSVIK</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3415-2020</t>
        </is>
      </c>
      <c r="B2319" s="1" t="n">
        <v>43852</v>
      </c>
      <c r="C2319" s="1" t="n">
        <v>45212</v>
      </c>
      <c r="D2319" t="inlineStr">
        <is>
          <t>VÄSTERNORRLANDS LÄN</t>
        </is>
      </c>
      <c r="E2319" t="inlineStr">
        <is>
          <t>SUNDSVALL</t>
        </is>
      </c>
      <c r="F2319" t="inlineStr">
        <is>
          <t>Kommuner</t>
        </is>
      </c>
      <c r="G2319" t="n">
        <v>6.3</v>
      </c>
      <c r="H2319" t="n">
        <v>0</v>
      </c>
      <c r="I2319" t="n">
        <v>0</v>
      </c>
      <c r="J2319" t="n">
        <v>0</v>
      </c>
      <c r="K2319" t="n">
        <v>0</v>
      </c>
      <c r="L2319" t="n">
        <v>0</v>
      </c>
      <c r="M2319" t="n">
        <v>0</v>
      </c>
      <c r="N2319" t="n">
        <v>0</v>
      </c>
      <c r="O2319" t="n">
        <v>0</v>
      </c>
      <c r="P2319" t="n">
        <v>0</v>
      </c>
      <c r="Q2319" t="n">
        <v>0</v>
      </c>
      <c r="R2319" s="2" t="inlineStr"/>
    </row>
    <row r="2320" ht="15" customHeight="1">
      <c r="A2320" t="inlineStr">
        <is>
          <t>A 3283-2020</t>
        </is>
      </c>
      <c r="B2320" s="1" t="n">
        <v>43852</v>
      </c>
      <c r="C2320" s="1" t="n">
        <v>45212</v>
      </c>
      <c r="D2320" t="inlineStr">
        <is>
          <t>VÄSTERNORRLANDS LÄN</t>
        </is>
      </c>
      <c r="E2320" t="inlineStr">
        <is>
          <t>TIMRÅ</t>
        </is>
      </c>
      <c r="G2320" t="n">
        <v>3</v>
      </c>
      <c r="H2320" t="n">
        <v>0</v>
      </c>
      <c r="I2320" t="n">
        <v>0</v>
      </c>
      <c r="J2320" t="n">
        <v>0</v>
      </c>
      <c r="K2320" t="n">
        <v>0</v>
      </c>
      <c r="L2320" t="n">
        <v>0</v>
      </c>
      <c r="M2320" t="n">
        <v>0</v>
      </c>
      <c r="N2320" t="n">
        <v>0</v>
      </c>
      <c r="O2320" t="n">
        <v>0</v>
      </c>
      <c r="P2320" t="n">
        <v>0</v>
      </c>
      <c r="Q2320" t="n">
        <v>0</v>
      </c>
      <c r="R2320" s="2" t="inlineStr"/>
    </row>
    <row r="2321" ht="15" customHeight="1">
      <c r="A2321" t="inlineStr">
        <is>
          <t>A 3490-2020</t>
        </is>
      </c>
      <c r="B2321" s="1" t="n">
        <v>43852</v>
      </c>
      <c r="C2321" s="1" t="n">
        <v>45212</v>
      </c>
      <c r="D2321" t="inlineStr">
        <is>
          <t>VÄSTERNORRLANDS LÄN</t>
        </is>
      </c>
      <c r="E2321" t="inlineStr">
        <is>
          <t>KRAMFORS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4889-2020</t>
        </is>
      </c>
      <c r="B2322" s="1" t="n">
        <v>43852</v>
      </c>
      <c r="C2322" s="1" t="n">
        <v>45212</v>
      </c>
      <c r="D2322" t="inlineStr">
        <is>
          <t>VÄSTERNORRLANDS LÄN</t>
        </is>
      </c>
      <c r="E2322" t="inlineStr">
        <is>
          <t>ÖRNSKÖLDSVIK</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3281-2020</t>
        </is>
      </c>
      <c r="B2323" s="1" t="n">
        <v>43852</v>
      </c>
      <c r="C2323" s="1" t="n">
        <v>45212</v>
      </c>
      <c r="D2323" t="inlineStr">
        <is>
          <t>VÄSTERNORRLANDS LÄN</t>
        </is>
      </c>
      <c r="E2323" t="inlineStr">
        <is>
          <t>ÖRNSKÖLDSVIK</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3299-2020</t>
        </is>
      </c>
      <c r="B2324" s="1" t="n">
        <v>43852</v>
      </c>
      <c r="C2324" s="1" t="n">
        <v>45212</v>
      </c>
      <c r="D2324" t="inlineStr">
        <is>
          <t>VÄSTERNORRLANDS LÄN</t>
        </is>
      </c>
      <c r="E2324" t="inlineStr">
        <is>
          <t>ÖRNSKÖLDSVIK</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3266-2020</t>
        </is>
      </c>
      <c r="B2325" s="1" t="n">
        <v>43852</v>
      </c>
      <c r="C2325" s="1" t="n">
        <v>45212</v>
      </c>
      <c r="D2325" t="inlineStr">
        <is>
          <t>VÄSTERNORRLANDS LÄN</t>
        </is>
      </c>
      <c r="E2325" t="inlineStr">
        <is>
          <t>HÄRNÖSAND</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3285-2020</t>
        </is>
      </c>
      <c r="B2326" s="1" t="n">
        <v>43852</v>
      </c>
      <c r="C2326" s="1" t="n">
        <v>45212</v>
      </c>
      <c r="D2326" t="inlineStr">
        <is>
          <t>VÄSTERNORRLANDS LÄN</t>
        </is>
      </c>
      <c r="E2326" t="inlineStr">
        <is>
          <t>TIMRÅ</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3496-2020</t>
        </is>
      </c>
      <c r="B2327" s="1" t="n">
        <v>43852</v>
      </c>
      <c r="C2327" s="1" t="n">
        <v>45212</v>
      </c>
      <c r="D2327" t="inlineStr">
        <is>
          <t>VÄSTERNORRLANDS LÄN</t>
        </is>
      </c>
      <c r="E2327" t="inlineStr">
        <is>
          <t>KRAMFORS</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3633-2020</t>
        </is>
      </c>
      <c r="B2328" s="1" t="n">
        <v>43853</v>
      </c>
      <c r="C2328" s="1" t="n">
        <v>45212</v>
      </c>
      <c r="D2328" t="inlineStr">
        <is>
          <t>VÄSTERNORRLANDS LÄN</t>
        </is>
      </c>
      <c r="E2328" t="inlineStr">
        <is>
          <t>ÖRNSKÖLDSVIK</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3658-2020</t>
        </is>
      </c>
      <c r="B2329" s="1" t="n">
        <v>43853</v>
      </c>
      <c r="C2329" s="1" t="n">
        <v>45212</v>
      </c>
      <c r="D2329" t="inlineStr">
        <is>
          <t>VÄSTERNORRLANDS LÄN</t>
        </is>
      </c>
      <c r="E2329" t="inlineStr">
        <is>
          <t>ÅNGE</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3538-2020</t>
        </is>
      </c>
      <c r="B2330" s="1" t="n">
        <v>43853</v>
      </c>
      <c r="C2330" s="1" t="n">
        <v>45212</v>
      </c>
      <c r="D2330" t="inlineStr">
        <is>
          <t>VÄSTERNORRLANDS LÄN</t>
        </is>
      </c>
      <c r="E2330" t="inlineStr">
        <is>
          <t>SUNDSVALL</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3664-2020</t>
        </is>
      </c>
      <c r="B2331" s="1" t="n">
        <v>43853</v>
      </c>
      <c r="C2331" s="1" t="n">
        <v>45212</v>
      </c>
      <c r="D2331" t="inlineStr">
        <is>
          <t>VÄSTERNORRLANDS LÄN</t>
        </is>
      </c>
      <c r="E2331" t="inlineStr">
        <is>
          <t>ÅNGE</t>
        </is>
      </c>
      <c r="G2331" t="n">
        <v>10.8</v>
      </c>
      <c r="H2331" t="n">
        <v>0</v>
      </c>
      <c r="I2331" t="n">
        <v>0</v>
      </c>
      <c r="J2331" t="n">
        <v>0</v>
      </c>
      <c r="K2331" t="n">
        <v>0</v>
      </c>
      <c r="L2331" t="n">
        <v>0</v>
      </c>
      <c r="M2331" t="n">
        <v>0</v>
      </c>
      <c r="N2331" t="n">
        <v>0</v>
      </c>
      <c r="O2331" t="n">
        <v>0</v>
      </c>
      <c r="P2331" t="n">
        <v>0</v>
      </c>
      <c r="Q2331" t="n">
        <v>0</v>
      </c>
      <c r="R2331" s="2" t="inlineStr"/>
    </row>
    <row r="2332" ht="15" customHeight="1">
      <c r="A2332" t="inlineStr">
        <is>
          <t>A 3681-2020</t>
        </is>
      </c>
      <c r="B2332" s="1" t="n">
        <v>43853</v>
      </c>
      <c r="C2332" s="1" t="n">
        <v>45212</v>
      </c>
      <c r="D2332" t="inlineStr">
        <is>
          <t>VÄSTERNORRLANDS LÄN</t>
        </is>
      </c>
      <c r="E2332" t="inlineStr">
        <is>
          <t>ÖRNSKÖLDSVIK</t>
        </is>
      </c>
      <c r="F2332" t="inlineStr">
        <is>
          <t>Holmen skog AB</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3993-2020</t>
        </is>
      </c>
      <c r="B2333" s="1" t="n">
        <v>43856</v>
      </c>
      <c r="C2333" s="1" t="n">
        <v>45212</v>
      </c>
      <c r="D2333" t="inlineStr">
        <is>
          <t>VÄSTERNORRLANDS LÄN</t>
        </is>
      </c>
      <c r="E2333" t="inlineStr">
        <is>
          <t>ÅNGE</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4363-2020</t>
        </is>
      </c>
      <c r="B2334" s="1" t="n">
        <v>43857</v>
      </c>
      <c r="C2334" s="1" t="n">
        <v>45212</v>
      </c>
      <c r="D2334" t="inlineStr">
        <is>
          <t>VÄSTERNORRLANDS LÄN</t>
        </is>
      </c>
      <c r="E2334" t="inlineStr">
        <is>
          <t>SOLLEFTEÅ</t>
        </is>
      </c>
      <c r="G2334" t="n">
        <v>6.4</v>
      </c>
      <c r="H2334" t="n">
        <v>0</v>
      </c>
      <c r="I2334" t="n">
        <v>0</v>
      </c>
      <c r="J2334" t="n">
        <v>0</v>
      </c>
      <c r="K2334" t="n">
        <v>0</v>
      </c>
      <c r="L2334" t="n">
        <v>0</v>
      </c>
      <c r="M2334" t="n">
        <v>0</v>
      </c>
      <c r="N2334" t="n">
        <v>0</v>
      </c>
      <c r="O2334" t="n">
        <v>0</v>
      </c>
      <c r="P2334" t="n">
        <v>0</v>
      </c>
      <c r="Q2334" t="n">
        <v>0</v>
      </c>
      <c r="R2334" s="2" t="inlineStr"/>
    </row>
    <row r="2335" ht="15" customHeight="1">
      <c r="A2335" t="inlineStr">
        <is>
          <t>A 5248-2020</t>
        </is>
      </c>
      <c r="B2335" s="1" t="n">
        <v>43857</v>
      </c>
      <c r="C2335" s="1" t="n">
        <v>45212</v>
      </c>
      <c r="D2335" t="inlineStr">
        <is>
          <t>VÄSTERNORRLANDS LÄN</t>
        </is>
      </c>
      <c r="E2335" t="inlineStr">
        <is>
          <t>SOLLEFTEÅ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4365-2020</t>
        </is>
      </c>
      <c r="B2336" s="1" t="n">
        <v>43857</v>
      </c>
      <c r="C2336" s="1" t="n">
        <v>45212</v>
      </c>
      <c r="D2336" t="inlineStr">
        <is>
          <t>VÄSTERNORRLANDS LÄN</t>
        </is>
      </c>
      <c r="E2336" t="inlineStr">
        <is>
          <t>ÅNGE</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4528-2020</t>
        </is>
      </c>
      <c r="B2337" s="1" t="n">
        <v>43858</v>
      </c>
      <c r="C2337" s="1" t="n">
        <v>45212</v>
      </c>
      <c r="D2337" t="inlineStr">
        <is>
          <t>VÄSTERNORRLANDS LÄN</t>
        </is>
      </c>
      <c r="E2337" t="inlineStr">
        <is>
          <t>SUNDSVALL</t>
        </is>
      </c>
      <c r="F2337" t="inlineStr">
        <is>
          <t>Kommuner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4458-2020</t>
        </is>
      </c>
      <c r="B2338" s="1" t="n">
        <v>43858</v>
      </c>
      <c r="C2338" s="1" t="n">
        <v>45212</v>
      </c>
      <c r="D2338" t="inlineStr">
        <is>
          <t>VÄSTERNORRLANDS LÄN</t>
        </is>
      </c>
      <c r="E2338" t="inlineStr">
        <is>
          <t>ÅNGE</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5102-2020</t>
        </is>
      </c>
      <c r="B2339" s="1" t="n">
        <v>43859</v>
      </c>
      <c r="C2339" s="1" t="n">
        <v>45212</v>
      </c>
      <c r="D2339" t="inlineStr">
        <is>
          <t>VÄSTERNORRLANDS LÄN</t>
        </is>
      </c>
      <c r="E2339" t="inlineStr">
        <is>
          <t>ÅNGE</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5462-2020</t>
        </is>
      </c>
      <c r="B2340" s="1" t="n">
        <v>43859</v>
      </c>
      <c r="C2340" s="1" t="n">
        <v>45212</v>
      </c>
      <c r="D2340" t="inlineStr">
        <is>
          <t>VÄSTERNORRLANDS LÄN</t>
        </is>
      </c>
      <c r="E2340" t="inlineStr">
        <is>
          <t>ÖRNSKÖLDSVIK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5631-2020</t>
        </is>
      </c>
      <c r="B2341" s="1" t="n">
        <v>43860</v>
      </c>
      <c r="C2341" s="1" t="n">
        <v>45212</v>
      </c>
      <c r="D2341" t="inlineStr">
        <is>
          <t>VÄSTERNORRLANDS LÄN</t>
        </is>
      </c>
      <c r="E2341" t="inlineStr">
        <is>
          <t>SUNDSVALL</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5122-2020</t>
        </is>
      </c>
      <c r="B2342" s="1" t="n">
        <v>43860</v>
      </c>
      <c r="C2342" s="1" t="n">
        <v>45212</v>
      </c>
      <c r="D2342" t="inlineStr">
        <is>
          <t>VÄSTERNORRLANDS LÄN</t>
        </is>
      </c>
      <c r="E2342" t="inlineStr">
        <is>
          <t>ÖRNSKÖLDSVIK</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5635-2020</t>
        </is>
      </c>
      <c r="B2343" s="1" t="n">
        <v>43860</v>
      </c>
      <c r="C2343" s="1" t="n">
        <v>45212</v>
      </c>
      <c r="D2343" t="inlineStr">
        <is>
          <t>VÄSTERNORRLANDS LÄN</t>
        </is>
      </c>
      <c r="E2343" t="inlineStr">
        <is>
          <t>SOLLEFTEÅ</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5662-2020</t>
        </is>
      </c>
      <c r="B2344" s="1" t="n">
        <v>43861</v>
      </c>
      <c r="C2344" s="1" t="n">
        <v>45212</v>
      </c>
      <c r="D2344" t="inlineStr">
        <is>
          <t>VÄSTERNORRLANDS LÄN</t>
        </is>
      </c>
      <c r="E2344" t="inlineStr">
        <is>
          <t>SOLLEFTEÅ</t>
        </is>
      </c>
      <c r="F2344" t="inlineStr">
        <is>
          <t>Holmen skog AB</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5705-2020</t>
        </is>
      </c>
      <c r="B2345" s="1" t="n">
        <v>43861</v>
      </c>
      <c r="C2345" s="1" t="n">
        <v>45212</v>
      </c>
      <c r="D2345" t="inlineStr">
        <is>
          <t>VÄSTERNORRLANDS LÄN</t>
        </is>
      </c>
      <c r="E2345" t="inlineStr">
        <is>
          <t>SUNDSVALL</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5707-2020</t>
        </is>
      </c>
      <c r="B2346" s="1" t="n">
        <v>43861</v>
      </c>
      <c r="C2346" s="1" t="n">
        <v>45212</v>
      </c>
      <c r="D2346" t="inlineStr">
        <is>
          <t>VÄSTERNORRLANDS LÄN</t>
        </is>
      </c>
      <c r="E2346" t="inlineStr">
        <is>
          <t>KRAMFORS</t>
        </is>
      </c>
      <c r="G2346" t="n">
        <v>3.9</v>
      </c>
      <c r="H2346" t="n">
        <v>0</v>
      </c>
      <c r="I2346" t="n">
        <v>0</v>
      </c>
      <c r="J2346" t="n">
        <v>0</v>
      </c>
      <c r="K2346" t="n">
        <v>0</v>
      </c>
      <c r="L2346" t="n">
        <v>0</v>
      </c>
      <c r="M2346" t="n">
        <v>0</v>
      </c>
      <c r="N2346" t="n">
        <v>0</v>
      </c>
      <c r="O2346" t="n">
        <v>0</v>
      </c>
      <c r="P2346" t="n">
        <v>0</v>
      </c>
      <c r="Q2346" t="n">
        <v>0</v>
      </c>
      <c r="R2346" s="2" t="inlineStr"/>
    </row>
    <row r="2347" ht="15" customHeight="1">
      <c r="A2347" t="inlineStr">
        <is>
          <t>A 5528-2020</t>
        </is>
      </c>
      <c r="B2347" s="1" t="n">
        <v>43861</v>
      </c>
      <c r="C2347" s="1" t="n">
        <v>45212</v>
      </c>
      <c r="D2347" t="inlineStr">
        <is>
          <t>VÄSTERNORRLANDS LÄN</t>
        </is>
      </c>
      <c r="E2347" t="inlineStr">
        <is>
          <t>SUNDSVALL</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5714-2020</t>
        </is>
      </c>
      <c r="B2348" s="1" t="n">
        <v>43861</v>
      </c>
      <c r="C2348" s="1" t="n">
        <v>45212</v>
      </c>
      <c r="D2348" t="inlineStr">
        <is>
          <t>VÄSTERNORRLANDS LÄN</t>
        </is>
      </c>
      <c r="E2348" t="inlineStr">
        <is>
          <t>SOLLEFTEÅ</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5711-2020</t>
        </is>
      </c>
      <c r="B2349" s="1" t="n">
        <v>43861</v>
      </c>
      <c r="C2349" s="1" t="n">
        <v>45212</v>
      </c>
      <c r="D2349" t="inlineStr">
        <is>
          <t>VÄSTERNORRLANDS LÄN</t>
        </is>
      </c>
      <c r="E2349" t="inlineStr">
        <is>
          <t>SUNDSVALL</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5908-2020</t>
        </is>
      </c>
      <c r="B2350" s="1" t="n">
        <v>43861</v>
      </c>
      <c r="C2350" s="1" t="n">
        <v>45212</v>
      </c>
      <c r="D2350" t="inlineStr">
        <is>
          <t>VÄSTERNORRLANDS LÄN</t>
        </is>
      </c>
      <c r="E2350" t="inlineStr">
        <is>
          <t>SOLLEFTEÅ</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5815-2020</t>
        </is>
      </c>
      <c r="B2351" s="1" t="n">
        <v>43864</v>
      </c>
      <c r="C2351" s="1" t="n">
        <v>45212</v>
      </c>
      <c r="D2351" t="inlineStr">
        <is>
          <t>VÄSTERNORRLANDS LÄN</t>
        </is>
      </c>
      <c r="E2351" t="inlineStr">
        <is>
          <t>SUNDSVALL</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5887-2020</t>
        </is>
      </c>
      <c r="B2352" s="1" t="n">
        <v>43864</v>
      </c>
      <c r="C2352" s="1" t="n">
        <v>45212</v>
      </c>
      <c r="D2352" t="inlineStr">
        <is>
          <t>VÄSTERNORRLANDS LÄN</t>
        </is>
      </c>
      <c r="E2352" t="inlineStr">
        <is>
          <t>ÖRNSKÖLDSVIK</t>
        </is>
      </c>
      <c r="G2352" t="n">
        <v>7.3</v>
      </c>
      <c r="H2352" t="n">
        <v>0</v>
      </c>
      <c r="I2352" t="n">
        <v>0</v>
      </c>
      <c r="J2352" t="n">
        <v>0</v>
      </c>
      <c r="K2352" t="n">
        <v>0</v>
      </c>
      <c r="L2352" t="n">
        <v>0</v>
      </c>
      <c r="M2352" t="n">
        <v>0</v>
      </c>
      <c r="N2352" t="n">
        <v>0</v>
      </c>
      <c r="O2352" t="n">
        <v>0</v>
      </c>
      <c r="P2352" t="n">
        <v>0</v>
      </c>
      <c r="Q2352" t="n">
        <v>0</v>
      </c>
      <c r="R2352" s="2" t="inlineStr"/>
    </row>
    <row r="2353" ht="15" customHeight="1">
      <c r="A2353" t="inlineStr">
        <is>
          <t>A 5975-2020</t>
        </is>
      </c>
      <c r="B2353" s="1" t="n">
        <v>43864</v>
      </c>
      <c r="C2353" s="1" t="n">
        <v>45212</v>
      </c>
      <c r="D2353" t="inlineStr">
        <is>
          <t>VÄSTERNORRLANDS LÄN</t>
        </is>
      </c>
      <c r="E2353" t="inlineStr">
        <is>
          <t>ÅNGE</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5773-2020</t>
        </is>
      </c>
      <c r="B2354" s="1" t="n">
        <v>43864</v>
      </c>
      <c r="C2354" s="1" t="n">
        <v>45212</v>
      </c>
      <c r="D2354" t="inlineStr">
        <is>
          <t>VÄSTERNORRLANDS LÄN</t>
        </is>
      </c>
      <c r="E2354" t="inlineStr">
        <is>
          <t>SUNDSVALL</t>
        </is>
      </c>
      <c r="G2354" t="n">
        <v>4.7</v>
      </c>
      <c r="H2354" t="n">
        <v>0</v>
      </c>
      <c r="I2354" t="n">
        <v>0</v>
      </c>
      <c r="J2354" t="n">
        <v>0</v>
      </c>
      <c r="K2354" t="n">
        <v>0</v>
      </c>
      <c r="L2354" t="n">
        <v>0</v>
      </c>
      <c r="M2354" t="n">
        <v>0</v>
      </c>
      <c r="N2354" t="n">
        <v>0</v>
      </c>
      <c r="O2354" t="n">
        <v>0</v>
      </c>
      <c r="P2354" t="n">
        <v>0</v>
      </c>
      <c r="Q2354" t="n">
        <v>0</v>
      </c>
      <c r="R2354" s="2" t="inlineStr"/>
    </row>
    <row r="2355" ht="15" customHeight="1">
      <c r="A2355" t="inlineStr">
        <is>
          <t>A 5963-2020</t>
        </is>
      </c>
      <c r="B2355" s="1" t="n">
        <v>43864</v>
      </c>
      <c r="C2355" s="1" t="n">
        <v>45212</v>
      </c>
      <c r="D2355" t="inlineStr">
        <is>
          <t>VÄSTERNORRLANDS LÄN</t>
        </is>
      </c>
      <c r="E2355" t="inlineStr">
        <is>
          <t>SUNDSVALL</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5966-2020</t>
        </is>
      </c>
      <c r="B2356" s="1" t="n">
        <v>43864</v>
      </c>
      <c r="C2356" s="1" t="n">
        <v>45212</v>
      </c>
      <c r="D2356" t="inlineStr">
        <is>
          <t>VÄSTERNORRLANDS LÄN</t>
        </is>
      </c>
      <c r="E2356" t="inlineStr">
        <is>
          <t>SUNDSVALL</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6292-2020</t>
        </is>
      </c>
      <c r="B2357" s="1" t="n">
        <v>43866</v>
      </c>
      <c r="C2357" s="1" t="n">
        <v>45212</v>
      </c>
      <c r="D2357" t="inlineStr">
        <is>
          <t>VÄSTERNORRLANDS LÄN</t>
        </is>
      </c>
      <c r="E2357" t="inlineStr">
        <is>
          <t>SUNDSVALL</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6274-2020</t>
        </is>
      </c>
      <c r="B2358" s="1" t="n">
        <v>43866</v>
      </c>
      <c r="C2358" s="1" t="n">
        <v>45212</v>
      </c>
      <c r="D2358" t="inlineStr">
        <is>
          <t>VÄSTERNORRLANDS LÄN</t>
        </is>
      </c>
      <c r="E2358" t="inlineStr">
        <is>
          <t>ÖRNSKÖLDSVIK</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6930-2020</t>
        </is>
      </c>
      <c r="B2359" s="1" t="n">
        <v>43866</v>
      </c>
      <c r="C2359" s="1" t="n">
        <v>45212</v>
      </c>
      <c r="D2359" t="inlineStr">
        <is>
          <t>VÄSTERNORRLANDS LÄN</t>
        </is>
      </c>
      <c r="E2359" t="inlineStr">
        <is>
          <t>ÖRNSKÖLDSVIK</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6269-2020</t>
        </is>
      </c>
      <c r="B2360" s="1" t="n">
        <v>43866</v>
      </c>
      <c r="C2360" s="1" t="n">
        <v>45212</v>
      </c>
      <c r="D2360" t="inlineStr">
        <is>
          <t>VÄSTERNORRLANDS LÄN</t>
        </is>
      </c>
      <c r="E2360" t="inlineStr">
        <is>
          <t>KRAMFORS</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6393-2020</t>
        </is>
      </c>
      <c r="B2361" s="1" t="n">
        <v>43866</v>
      </c>
      <c r="C2361" s="1" t="n">
        <v>45212</v>
      </c>
      <c r="D2361" t="inlineStr">
        <is>
          <t>VÄSTERNORRLANDS LÄN</t>
        </is>
      </c>
      <c r="E2361" t="inlineStr">
        <is>
          <t>ÅNGE</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6555-2020</t>
        </is>
      </c>
      <c r="B2362" s="1" t="n">
        <v>43867</v>
      </c>
      <c r="C2362" s="1" t="n">
        <v>45212</v>
      </c>
      <c r="D2362" t="inlineStr">
        <is>
          <t>VÄSTERNORRLANDS LÄN</t>
        </is>
      </c>
      <c r="E2362" t="inlineStr">
        <is>
          <t>ÅNGE</t>
        </is>
      </c>
      <c r="G2362" t="n">
        <v>6.7</v>
      </c>
      <c r="H2362" t="n">
        <v>0</v>
      </c>
      <c r="I2362" t="n">
        <v>0</v>
      </c>
      <c r="J2362" t="n">
        <v>0</v>
      </c>
      <c r="K2362" t="n">
        <v>0</v>
      </c>
      <c r="L2362" t="n">
        <v>0</v>
      </c>
      <c r="M2362" t="n">
        <v>0</v>
      </c>
      <c r="N2362" t="n">
        <v>0</v>
      </c>
      <c r="O2362" t="n">
        <v>0</v>
      </c>
      <c r="P2362" t="n">
        <v>0</v>
      </c>
      <c r="Q2362" t="n">
        <v>0</v>
      </c>
      <c r="R2362" s="2" t="inlineStr"/>
    </row>
    <row r="2363" ht="15" customHeight="1">
      <c r="A2363" t="inlineStr">
        <is>
          <t>A 6807-2020</t>
        </is>
      </c>
      <c r="B2363" s="1" t="n">
        <v>43867</v>
      </c>
      <c r="C2363" s="1" t="n">
        <v>45212</v>
      </c>
      <c r="D2363" t="inlineStr">
        <is>
          <t>VÄSTERNORRLANDS LÄN</t>
        </is>
      </c>
      <c r="E2363" t="inlineStr">
        <is>
          <t>SUNDSVALL</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8130-2020</t>
        </is>
      </c>
      <c r="B2364" s="1" t="n">
        <v>43867</v>
      </c>
      <c r="C2364" s="1" t="n">
        <v>45212</v>
      </c>
      <c r="D2364" t="inlineStr">
        <is>
          <t>VÄSTERNORRLANDS LÄN</t>
        </is>
      </c>
      <c r="E2364" t="inlineStr">
        <is>
          <t>KRAMFORS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6557-2020</t>
        </is>
      </c>
      <c r="B2365" s="1" t="n">
        <v>43867</v>
      </c>
      <c r="C2365" s="1" t="n">
        <v>45212</v>
      </c>
      <c r="D2365" t="inlineStr">
        <is>
          <t>VÄSTERNORRLANDS LÄN</t>
        </is>
      </c>
      <c r="E2365" t="inlineStr">
        <is>
          <t>ÅNGE</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6565-2020</t>
        </is>
      </c>
      <c r="B2366" s="1" t="n">
        <v>43867</v>
      </c>
      <c r="C2366" s="1" t="n">
        <v>45212</v>
      </c>
      <c r="D2366" t="inlineStr">
        <is>
          <t>VÄSTERNORRLANDS LÄN</t>
        </is>
      </c>
      <c r="E2366" t="inlineStr">
        <is>
          <t>ÅNGE</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6551-2020</t>
        </is>
      </c>
      <c r="B2367" s="1" t="n">
        <v>43867</v>
      </c>
      <c r="C2367" s="1" t="n">
        <v>45212</v>
      </c>
      <c r="D2367" t="inlineStr">
        <is>
          <t>VÄSTERNORRLANDS LÄN</t>
        </is>
      </c>
      <c r="E2367" t="inlineStr">
        <is>
          <t>ÅNGE</t>
        </is>
      </c>
      <c r="G2367" t="n">
        <v>12.5</v>
      </c>
      <c r="H2367" t="n">
        <v>0</v>
      </c>
      <c r="I2367" t="n">
        <v>0</v>
      </c>
      <c r="J2367" t="n">
        <v>0</v>
      </c>
      <c r="K2367" t="n">
        <v>0</v>
      </c>
      <c r="L2367" t="n">
        <v>0</v>
      </c>
      <c r="M2367" t="n">
        <v>0</v>
      </c>
      <c r="N2367" t="n">
        <v>0</v>
      </c>
      <c r="O2367" t="n">
        <v>0</v>
      </c>
      <c r="P2367" t="n">
        <v>0</v>
      </c>
      <c r="Q2367" t="n">
        <v>0</v>
      </c>
      <c r="R2367" s="2" t="inlineStr"/>
    </row>
    <row r="2368" ht="15" customHeight="1">
      <c r="A2368" t="inlineStr">
        <is>
          <t>A 6563-2020</t>
        </is>
      </c>
      <c r="B2368" s="1" t="n">
        <v>43867</v>
      </c>
      <c r="C2368" s="1" t="n">
        <v>45212</v>
      </c>
      <c r="D2368" t="inlineStr">
        <is>
          <t>VÄSTERNORRLANDS LÄN</t>
        </is>
      </c>
      <c r="E2368" t="inlineStr">
        <is>
          <t>ÅNGE</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6562-2020</t>
        </is>
      </c>
      <c r="B2369" s="1" t="n">
        <v>43867</v>
      </c>
      <c r="C2369" s="1" t="n">
        <v>45212</v>
      </c>
      <c r="D2369" t="inlineStr">
        <is>
          <t>VÄSTERNORRLANDS LÄN</t>
        </is>
      </c>
      <c r="E2369" t="inlineStr">
        <is>
          <t>ÅNGE</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7134-2020</t>
        </is>
      </c>
      <c r="B2370" s="1" t="n">
        <v>43868</v>
      </c>
      <c r="C2370" s="1" t="n">
        <v>45212</v>
      </c>
      <c r="D2370" t="inlineStr">
        <is>
          <t>VÄSTERNORRLANDS LÄN</t>
        </is>
      </c>
      <c r="E2370" t="inlineStr">
        <is>
          <t>TIMRÅ</t>
        </is>
      </c>
      <c r="F2370" t="inlineStr">
        <is>
          <t>SCA</t>
        </is>
      </c>
      <c r="G2370" t="n">
        <v>25.8</v>
      </c>
      <c r="H2370" t="n">
        <v>0</v>
      </c>
      <c r="I2370" t="n">
        <v>0</v>
      </c>
      <c r="J2370" t="n">
        <v>0</v>
      </c>
      <c r="K2370" t="n">
        <v>0</v>
      </c>
      <c r="L2370" t="n">
        <v>0</v>
      </c>
      <c r="M2370" t="n">
        <v>0</v>
      </c>
      <c r="N2370" t="n">
        <v>0</v>
      </c>
      <c r="O2370" t="n">
        <v>0</v>
      </c>
      <c r="P2370" t="n">
        <v>0</v>
      </c>
      <c r="Q2370" t="n">
        <v>0</v>
      </c>
      <c r="R2370" s="2" t="inlineStr"/>
    </row>
    <row r="2371" ht="15" customHeight="1">
      <c r="A2371" t="inlineStr">
        <is>
          <t>A 7175-2020</t>
        </is>
      </c>
      <c r="B2371" s="1" t="n">
        <v>43868</v>
      </c>
      <c r="C2371" s="1" t="n">
        <v>45212</v>
      </c>
      <c r="D2371" t="inlineStr">
        <is>
          <t>VÄSTERNORRLANDS LÄN</t>
        </is>
      </c>
      <c r="E2371" t="inlineStr">
        <is>
          <t>KRAMFORS</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7498-2020</t>
        </is>
      </c>
      <c r="B2372" s="1" t="n">
        <v>43871</v>
      </c>
      <c r="C2372" s="1" t="n">
        <v>45212</v>
      </c>
      <c r="D2372" t="inlineStr">
        <is>
          <t>VÄSTERNORRLANDS LÄN</t>
        </is>
      </c>
      <c r="E2372" t="inlineStr">
        <is>
          <t>SUNDSVALL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7503-2020</t>
        </is>
      </c>
      <c r="B2373" s="1" t="n">
        <v>43871</v>
      </c>
      <c r="C2373" s="1" t="n">
        <v>45212</v>
      </c>
      <c r="D2373" t="inlineStr">
        <is>
          <t>VÄSTERNORRLANDS LÄN</t>
        </is>
      </c>
      <c r="E2373" t="inlineStr">
        <is>
          <t>SUNDSVALL</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7501-2020</t>
        </is>
      </c>
      <c r="B2374" s="1" t="n">
        <v>43871</v>
      </c>
      <c r="C2374" s="1" t="n">
        <v>45212</v>
      </c>
      <c r="D2374" t="inlineStr">
        <is>
          <t>VÄSTERNORRLANDS LÄN</t>
        </is>
      </c>
      <c r="E2374" t="inlineStr">
        <is>
          <t>SUNDSVALL</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7497-2020</t>
        </is>
      </c>
      <c r="B2375" s="1" t="n">
        <v>43871</v>
      </c>
      <c r="C2375" s="1" t="n">
        <v>45212</v>
      </c>
      <c r="D2375" t="inlineStr">
        <is>
          <t>VÄSTERNORRLANDS LÄN</t>
        </is>
      </c>
      <c r="E2375" t="inlineStr">
        <is>
          <t>SUNDSVALL</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7502-2020</t>
        </is>
      </c>
      <c r="B2376" s="1" t="n">
        <v>43871</v>
      </c>
      <c r="C2376" s="1" t="n">
        <v>45212</v>
      </c>
      <c r="D2376" t="inlineStr">
        <is>
          <t>VÄSTERNORRLANDS LÄN</t>
        </is>
      </c>
      <c r="E2376" t="inlineStr">
        <is>
          <t>SUNDSVALL</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7499-2020</t>
        </is>
      </c>
      <c r="B2377" s="1" t="n">
        <v>43871</v>
      </c>
      <c r="C2377" s="1" t="n">
        <v>45212</v>
      </c>
      <c r="D2377" t="inlineStr">
        <is>
          <t>VÄSTERNORRLANDS LÄN</t>
        </is>
      </c>
      <c r="E2377" t="inlineStr">
        <is>
          <t>SUNDSVALL</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7505-2020</t>
        </is>
      </c>
      <c r="B2378" s="1" t="n">
        <v>43871</v>
      </c>
      <c r="C2378" s="1" t="n">
        <v>45212</v>
      </c>
      <c r="D2378" t="inlineStr">
        <is>
          <t>VÄSTERNORRLANDS LÄN</t>
        </is>
      </c>
      <c r="E2378" t="inlineStr">
        <is>
          <t>SUNDSVALL</t>
        </is>
      </c>
      <c r="G2378" t="n">
        <v>10</v>
      </c>
      <c r="H2378" t="n">
        <v>0</v>
      </c>
      <c r="I2378" t="n">
        <v>0</v>
      </c>
      <c r="J2378" t="n">
        <v>0</v>
      </c>
      <c r="K2378" t="n">
        <v>0</v>
      </c>
      <c r="L2378" t="n">
        <v>0</v>
      </c>
      <c r="M2378" t="n">
        <v>0</v>
      </c>
      <c r="N2378" t="n">
        <v>0</v>
      </c>
      <c r="O2378" t="n">
        <v>0</v>
      </c>
      <c r="P2378" t="n">
        <v>0</v>
      </c>
      <c r="Q2378" t="n">
        <v>0</v>
      </c>
      <c r="R2378" s="2" t="inlineStr"/>
    </row>
    <row r="2379" ht="15" customHeight="1">
      <c r="A2379" t="inlineStr">
        <is>
          <t>A 7596-2020</t>
        </is>
      </c>
      <c r="B2379" s="1" t="n">
        <v>43872</v>
      </c>
      <c r="C2379" s="1" t="n">
        <v>45212</v>
      </c>
      <c r="D2379" t="inlineStr">
        <is>
          <t>VÄSTERNORRLANDS LÄN</t>
        </is>
      </c>
      <c r="E2379" t="inlineStr">
        <is>
          <t>ÖRNSKÖLDSVIK</t>
        </is>
      </c>
      <c r="G2379" t="n">
        <v>5.1</v>
      </c>
      <c r="H2379" t="n">
        <v>0</v>
      </c>
      <c r="I2379" t="n">
        <v>0</v>
      </c>
      <c r="J2379" t="n">
        <v>0</v>
      </c>
      <c r="K2379" t="n">
        <v>0</v>
      </c>
      <c r="L2379" t="n">
        <v>0</v>
      </c>
      <c r="M2379" t="n">
        <v>0</v>
      </c>
      <c r="N2379" t="n">
        <v>0</v>
      </c>
      <c r="O2379" t="n">
        <v>0</v>
      </c>
      <c r="P2379" t="n">
        <v>0</v>
      </c>
      <c r="Q2379" t="n">
        <v>0</v>
      </c>
      <c r="R2379" s="2" t="inlineStr"/>
    </row>
    <row r="2380" ht="15" customHeight="1">
      <c r="A2380" t="inlineStr">
        <is>
          <t>A 7717-2020</t>
        </is>
      </c>
      <c r="B2380" s="1" t="n">
        <v>43872</v>
      </c>
      <c r="C2380" s="1" t="n">
        <v>45212</v>
      </c>
      <c r="D2380" t="inlineStr">
        <is>
          <t>VÄSTERNORRLANDS LÄN</t>
        </is>
      </c>
      <c r="E2380" t="inlineStr">
        <is>
          <t>HÄRNÖSAND</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7787-2020</t>
        </is>
      </c>
      <c r="B2381" s="1" t="n">
        <v>43872</v>
      </c>
      <c r="C2381" s="1" t="n">
        <v>45212</v>
      </c>
      <c r="D2381" t="inlineStr">
        <is>
          <t>VÄSTERNORRLANDS LÄN</t>
        </is>
      </c>
      <c r="E2381" t="inlineStr">
        <is>
          <t>ÅNGE</t>
        </is>
      </c>
      <c r="F2381" t="inlineStr">
        <is>
          <t>SCA</t>
        </is>
      </c>
      <c r="G2381" t="n">
        <v>22.8</v>
      </c>
      <c r="H2381" t="n">
        <v>0</v>
      </c>
      <c r="I2381" t="n">
        <v>0</v>
      </c>
      <c r="J2381" t="n">
        <v>0</v>
      </c>
      <c r="K2381" t="n">
        <v>0</v>
      </c>
      <c r="L2381" t="n">
        <v>0</v>
      </c>
      <c r="M2381" t="n">
        <v>0</v>
      </c>
      <c r="N2381" t="n">
        <v>0</v>
      </c>
      <c r="O2381" t="n">
        <v>0</v>
      </c>
      <c r="P2381" t="n">
        <v>0</v>
      </c>
      <c r="Q2381" t="n">
        <v>0</v>
      </c>
      <c r="R2381" s="2" t="inlineStr"/>
    </row>
    <row r="2382" ht="15" customHeight="1">
      <c r="A2382" t="inlineStr">
        <is>
          <t>A 7780-2020</t>
        </is>
      </c>
      <c r="B2382" s="1" t="n">
        <v>43872</v>
      </c>
      <c r="C2382" s="1" t="n">
        <v>45212</v>
      </c>
      <c r="D2382" t="inlineStr">
        <is>
          <t>VÄSTERNORRLANDS LÄN</t>
        </is>
      </c>
      <c r="E2382" t="inlineStr">
        <is>
          <t>HÄRNÖSAND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7944-2020</t>
        </is>
      </c>
      <c r="B2383" s="1" t="n">
        <v>43873</v>
      </c>
      <c r="C2383" s="1" t="n">
        <v>45212</v>
      </c>
      <c r="D2383" t="inlineStr">
        <is>
          <t>VÄSTERNORRLANDS LÄN</t>
        </is>
      </c>
      <c r="E2383" t="inlineStr">
        <is>
          <t>SUNDSVALL</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7956-2020</t>
        </is>
      </c>
      <c r="B2384" s="1" t="n">
        <v>43873</v>
      </c>
      <c r="C2384" s="1" t="n">
        <v>45212</v>
      </c>
      <c r="D2384" t="inlineStr">
        <is>
          <t>VÄSTERNORRLANDS LÄN</t>
        </is>
      </c>
      <c r="E2384" t="inlineStr">
        <is>
          <t>SUNDSVALL</t>
        </is>
      </c>
      <c r="G2384" t="n">
        <v>15.3</v>
      </c>
      <c r="H2384" t="n">
        <v>0</v>
      </c>
      <c r="I2384" t="n">
        <v>0</v>
      </c>
      <c r="J2384" t="n">
        <v>0</v>
      </c>
      <c r="K2384" t="n">
        <v>0</v>
      </c>
      <c r="L2384" t="n">
        <v>0</v>
      </c>
      <c r="M2384" t="n">
        <v>0</v>
      </c>
      <c r="N2384" t="n">
        <v>0</v>
      </c>
      <c r="O2384" t="n">
        <v>0</v>
      </c>
      <c r="P2384" t="n">
        <v>0</v>
      </c>
      <c r="Q2384" t="n">
        <v>0</v>
      </c>
      <c r="R2384" s="2" t="inlineStr"/>
    </row>
    <row r="2385" ht="15" customHeight="1">
      <c r="A2385" t="inlineStr">
        <is>
          <t>A 7961-2020</t>
        </is>
      </c>
      <c r="B2385" s="1" t="n">
        <v>43873</v>
      </c>
      <c r="C2385" s="1" t="n">
        <v>45212</v>
      </c>
      <c r="D2385" t="inlineStr">
        <is>
          <t>VÄSTERNORRLANDS LÄN</t>
        </is>
      </c>
      <c r="E2385" t="inlineStr">
        <is>
          <t>SUNDSVALL</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8279-2020</t>
        </is>
      </c>
      <c r="B2386" s="1" t="n">
        <v>43874</v>
      </c>
      <c r="C2386" s="1" t="n">
        <v>45212</v>
      </c>
      <c r="D2386" t="inlineStr">
        <is>
          <t>VÄSTERNORRLANDS LÄN</t>
        </is>
      </c>
      <c r="E2386" t="inlineStr">
        <is>
          <t>TIMRÅ</t>
        </is>
      </c>
      <c r="G2386" t="n">
        <v>10.9</v>
      </c>
      <c r="H2386" t="n">
        <v>0</v>
      </c>
      <c r="I2386" t="n">
        <v>0</v>
      </c>
      <c r="J2386" t="n">
        <v>0</v>
      </c>
      <c r="K2386" t="n">
        <v>0</v>
      </c>
      <c r="L2386" t="n">
        <v>0</v>
      </c>
      <c r="M2386" t="n">
        <v>0</v>
      </c>
      <c r="N2386" t="n">
        <v>0</v>
      </c>
      <c r="O2386" t="n">
        <v>0</v>
      </c>
      <c r="P2386" t="n">
        <v>0</v>
      </c>
      <c r="Q2386" t="n">
        <v>0</v>
      </c>
      <c r="R2386" s="2" t="inlineStr"/>
    </row>
    <row r="2387" ht="15" customHeight="1">
      <c r="A2387" t="inlineStr">
        <is>
          <t>A 8475-2020</t>
        </is>
      </c>
      <c r="B2387" s="1" t="n">
        <v>43874</v>
      </c>
      <c r="C2387" s="1" t="n">
        <v>45212</v>
      </c>
      <c r="D2387" t="inlineStr">
        <is>
          <t>VÄSTERNORRLANDS LÄN</t>
        </is>
      </c>
      <c r="E2387" t="inlineStr">
        <is>
          <t>ÖRNSKÖLDSVIK</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8194-2020</t>
        </is>
      </c>
      <c r="B2388" s="1" t="n">
        <v>43874</v>
      </c>
      <c r="C2388" s="1" t="n">
        <v>45212</v>
      </c>
      <c r="D2388" t="inlineStr">
        <is>
          <t>VÄSTERNORRLANDS LÄN</t>
        </is>
      </c>
      <c r="E2388" t="inlineStr">
        <is>
          <t>ÖRNSKÖLDSVIK</t>
        </is>
      </c>
      <c r="F2388" t="inlineStr">
        <is>
          <t>Holmen skog AB</t>
        </is>
      </c>
      <c r="G2388" t="n">
        <v>7.8</v>
      </c>
      <c r="H2388" t="n">
        <v>0</v>
      </c>
      <c r="I2388" t="n">
        <v>0</v>
      </c>
      <c r="J2388" t="n">
        <v>0</v>
      </c>
      <c r="K2388" t="n">
        <v>0</v>
      </c>
      <c r="L2388" t="n">
        <v>0</v>
      </c>
      <c r="M2388" t="n">
        <v>0</v>
      </c>
      <c r="N2388" t="n">
        <v>0</v>
      </c>
      <c r="O2388" t="n">
        <v>0</v>
      </c>
      <c r="P2388" t="n">
        <v>0</v>
      </c>
      <c r="Q2388" t="n">
        <v>0</v>
      </c>
      <c r="R2388" s="2" t="inlineStr"/>
    </row>
    <row r="2389" ht="15" customHeight="1">
      <c r="A2389" t="inlineStr">
        <is>
          <t>A 8567-2020</t>
        </is>
      </c>
      <c r="B2389" s="1" t="n">
        <v>43874</v>
      </c>
      <c r="C2389" s="1" t="n">
        <v>45212</v>
      </c>
      <c r="D2389" t="inlineStr">
        <is>
          <t>VÄSTERNORRLANDS LÄN</t>
        </is>
      </c>
      <c r="E2389" t="inlineStr">
        <is>
          <t>ÖRNSKÖLDSVIK</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8487-2020</t>
        </is>
      </c>
      <c r="B2390" s="1" t="n">
        <v>43874</v>
      </c>
      <c r="C2390" s="1" t="n">
        <v>45212</v>
      </c>
      <c r="D2390" t="inlineStr">
        <is>
          <t>VÄSTERNORRLANDS LÄN</t>
        </is>
      </c>
      <c r="E2390" t="inlineStr">
        <is>
          <t>KRAMFORS</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8479-2020</t>
        </is>
      </c>
      <c r="B2391" s="1" t="n">
        <v>43875</v>
      </c>
      <c r="C2391" s="1" t="n">
        <v>45212</v>
      </c>
      <c r="D2391" t="inlineStr">
        <is>
          <t>VÄSTERNORRLANDS LÄN</t>
        </is>
      </c>
      <c r="E2391" t="inlineStr">
        <is>
          <t>KRAMFORS</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8534-2020</t>
        </is>
      </c>
      <c r="B2392" s="1" t="n">
        <v>43875</v>
      </c>
      <c r="C2392" s="1" t="n">
        <v>45212</v>
      </c>
      <c r="D2392" t="inlineStr">
        <is>
          <t>VÄSTERNORRLANDS LÄN</t>
        </is>
      </c>
      <c r="E2392" t="inlineStr">
        <is>
          <t>ÅNGE</t>
        </is>
      </c>
      <c r="F2392" t="inlineStr">
        <is>
          <t>SCA</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8525-2020</t>
        </is>
      </c>
      <c r="B2393" s="1" t="n">
        <v>43875</v>
      </c>
      <c r="C2393" s="1" t="n">
        <v>45212</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8533-2020</t>
        </is>
      </c>
      <c r="B2394" s="1" t="n">
        <v>43875</v>
      </c>
      <c r="C2394" s="1" t="n">
        <v>45212</v>
      </c>
      <c r="D2394" t="inlineStr">
        <is>
          <t>VÄSTERNORRLANDS LÄN</t>
        </is>
      </c>
      <c r="E2394" t="inlineStr">
        <is>
          <t>ÅNGE</t>
        </is>
      </c>
      <c r="F2394" t="inlineStr">
        <is>
          <t>SCA</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8486-2020</t>
        </is>
      </c>
      <c r="B2395" s="1" t="n">
        <v>43875</v>
      </c>
      <c r="C2395" s="1" t="n">
        <v>45212</v>
      </c>
      <c r="D2395" t="inlineStr">
        <is>
          <t>VÄSTERNORRLANDS LÄN</t>
        </is>
      </c>
      <c r="E2395" t="inlineStr">
        <is>
          <t>KRAMFORS</t>
        </is>
      </c>
      <c r="F2395" t="inlineStr">
        <is>
          <t>Kommuner</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8524-2020</t>
        </is>
      </c>
      <c r="B2396" s="1" t="n">
        <v>43875</v>
      </c>
      <c r="C2396" s="1" t="n">
        <v>45212</v>
      </c>
      <c r="D2396" t="inlineStr">
        <is>
          <t>VÄSTERNORRLANDS LÄN</t>
        </is>
      </c>
      <c r="E2396" t="inlineStr">
        <is>
          <t>KRAMFORS</t>
        </is>
      </c>
      <c r="F2396" t="inlineStr">
        <is>
          <t>Kommuner</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8531-2020</t>
        </is>
      </c>
      <c r="B2397" s="1" t="n">
        <v>43875</v>
      </c>
      <c r="C2397" s="1" t="n">
        <v>45212</v>
      </c>
      <c r="D2397" t="inlineStr">
        <is>
          <t>VÄSTERNORRLANDS LÄN</t>
        </is>
      </c>
      <c r="E2397" t="inlineStr">
        <is>
          <t>SUNDSVALL</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8317-2020</t>
        </is>
      </c>
      <c r="B2398" s="1" t="n">
        <v>43875</v>
      </c>
      <c r="C2398" s="1" t="n">
        <v>45212</v>
      </c>
      <c r="D2398" t="inlineStr">
        <is>
          <t>VÄSTERNORRLANDS LÄN</t>
        </is>
      </c>
      <c r="E2398" t="inlineStr">
        <is>
          <t>ÖRNSKÖLDSVIK</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8363-2020</t>
        </is>
      </c>
      <c r="B2399" s="1" t="n">
        <v>43875</v>
      </c>
      <c r="C2399" s="1" t="n">
        <v>45212</v>
      </c>
      <c r="D2399" t="inlineStr">
        <is>
          <t>VÄSTERNORRLANDS LÄN</t>
        </is>
      </c>
      <c r="E2399" t="inlineStr">
        <is>
          <t>SOLLEFTEÅ</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8515-2020</t>
        </is>
      </c>
      <c r="B2400" s="1" t="n">
        <v>43875</v>
      </c>
      <c r="C2400" s="1" t="n">
        <v>45212</v>
      </c>
      <c r="D2400" t="inlineStr">
        <is>
          <t>VÄSTERNORRLANDS LÄN</t>
        </is>
      </c>
      <c r="E2400" t="inlineStr">
        <is>
          <t>HÄRNÖSAND</t>
        </is>
      </c>
      <c r="F2400" t="inlineStr">
        <is>
          <t>SCA</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8527-2020</t>
        </is>
      </c>
      <c r="B2401" s="1" t="n">
        <v>43875</v>
      </c>
      <c r="C2401" s="1" t="n">
        <v>45212</v>
      </c>
      <c r="D2401" t="inlineStr">
        <is>
          <t>VÄSTERNORRLANDS LÄN</t>
        </is>
      </c>
      <c r="E2401" t="inlineStr">
        <is>
          <t>SUNDSVALL</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8542-2020</t>
        </is>
      </c>
      <c r="B2402" s="1" t="n">
        <v>43876</v>
      </c>
      <c r="C2402" s="1" t="n">
        <v>45212</v>
      </c>
      <c r="D2402" t="inlineStr">
        <is>
          <t>VÄSTERNORRLANDS LÄN</t>
        </is>
      </c>
      <c r="E2402" t="inlineStr">
        <is>
          <t>ÖRNSKÖLDSVIK</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8943-2020</t>
        </is>
      </c>
      <c r="B2403" s="1" t="n">
        <v>43878</v>
      </c>
      <c r="C2403" s="1" t="n">
        <v>45212</v>
      </c>
      <c r="D2403" t="inlineStr">
        <is>
          <t>VÄSTERNORRLANDS LÄN</t>
        </is>
      </c>
      <c r="E2403" t="inlineStr">
        <is>
          <t>SUNDSVALL</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8937-2020</t>
        </is>
      </c>
      <c r="B2404" s="1" t="n">
        <v>43878</v>
      </c>
      <c r="C2404" s="1" t="n">
        <v>45212</v>
      </c>
      <c r="D2404" t="inlineStr">
        <is>
          <t>VÄSTERNORRLANDS LÄN</t>
        </is>
      </c>
      <c r="E2404" t="inlineStr">
        <is>
          <t>HÄRNÖSAND</t>
        </is>
      </c>
      <c r="F2404" t="inlineStr">
        <is>
          <t>SCA</t>
        </is>
      </c>
      <c r="G2404" t="n">
        <v>6.3</v>
      </c>
      <c r="H2404" t="n">
        <v>0</v>
      </c>
      <c r="I2404" t="n">
        <v>0</v>
      </c>
      <c r="J2404" t="n">
        <v>0</v>
      </c>
      <c r="K2404" t="n">
        <v>0</v>
      </c>
      <c r="L2404" t="n">
        <v>0</v>
      </c>
      <c r="M2404" t="n">
        <v>0</v>
      </c>
      <c r="N2404" t="n">
        <v>0</v>
      </c>
      <c r="O2404" t="n">
        <v>0</v>
      </c>
      <c r="P2404" t="n">
        <v>0</v>
      </c>
      <c r="Q2404" t="n">
        <v>0</v>
      </c>
      <c r="R2404" s="2" t="inlineStr"/>
    </row>
    <row r="2405" ht="15" customHeight="1">
      <c r="A2405" t="inlineStr">
        <is>
          <t>A 8858-2020</t>
        </is>
      </c>
      <c r="B2405" s="1" t="n">
        <v>43878</v>
      </c>
      <c r="C2405" s="1" t="n">
        <v>45212</v>
      </c>
      <c r="D2405" t="inlineStr">
        <is>
          <t>VÄSTERNORRLANDS LÄN</t>
        </is>
      </c>
      <c r="E2405" t="inlineStr">
        <is>
          <t>ÖRNSKÖLDSVIK</t>
        </is>
      </c>
      <c r="G2405" t="n">
        <v>5.2</v>
      </c>
      <c r="H2405" t="n">
        <v>0</v>
      </c>
      <c r="I2405" t="n">
        <v>0</v>
      </c>
      <c r="J2405" t="n">
        <v>0</v>
      </c>
      <c r="K2405" t="n">
        <v>0</v>
      </c>
      <c r="L2405" t="n">
        <v>0</v>
      </c>
      <c r="M2405" t="n">
        <v>0</v>
      </c>
      <c r="N2405" t="n">
        <v>0</v>
      </c>
      <c r="O2405" t="n">
        <v>0</v>
      </c>
      <c r="P2405" t="n">
        <v>0</v>
      </c>
      <c r="Q2405" t="n">
        <v>0</v>
      </c>
      <c r="R2405" s="2" t="inlineStr"/>
    </row>
    <row r="2406" ht="15" customHeight="1">
      <c r="A2406" t="inlineStr">
        <is>
          <t>A 8935-2020</t>
        </is>
      </c>
      <c r="B2406" s="1" t="n">
        <v>43878</v>
      </c>
      <c r="C2406" s="1" t="n">
        <v>45212</v>
      </c>
      <c r="D2406" t="inlineStr">
        <is>
          <t>VÄSTERNORRLANDS LÄN</t>
        </is>
      </c>
      <c r="E2406" t="inlineStr">
        <is>
          <t>SOLLEFTEÅ</t>
        </is>
      </c>
      <c r="G2406" t="n">
        <v>3.9</v>
      </c>
      <c r="H2406" t="n">
        <v>0</v>
      </c>
      <c r="I2406" t="n">
        <v>0</v>
      </c>
      <c r="J2406" t="n">
        <v>0</v>
      </c>
      <c r="K2406" t="n">
        <v>0</v>
      </c>
      <c r="L2406" t="n">
        <v>0</v>
      </c>
      <c r="M2406" t="n">
        <v>0</v>
      </c>
      <c r="N2406" t="n">
        <v>0</v>
      </c>
      <c r="O2406" t="n">
        <v>0</v>
      </c>
      <c r="P2406" t="n">
        <v>0</v>
      </c>
      <c r="Q2406" t="n">
        <v>0</v>
      </c>
      <c r="R2406" s="2" t="inlineStr"/>
    </row>
    <row r="2407" ht="15" customHeight="1">
      <c r="A2407" t="inlineStr">
        <is>
          <t>A 8882-2020</t>
        </is>
      </c>
      <c r="B2407" s="1" t="n">
        <v>43878</v>
      </c>
      <c r="C2407" s="1" t="n">
        <v>45212</v>
      </c>
      <c r="D2407" t="inlineStr">
        <is>
          <t>VÄSTERNORRLANDS LÄN</t>
        </is>
      </c>
      <c r="E2407" t="inlineStr">
        <is>
          <t>SUNDSVALL</t>
        </is>
      </c>
      <c r="G2407" t="n">
        <v>7.2</v>
      </c>
      <c r="H2407" t="n">
        <v>0</v>
      </c>
      <c r="I2407" t="n">
        <v>0</v>
      </c>
      <c r="J2407" t="n">
        <v>0</v>
      </c>
      <c r="K2407" t="n">
        <v>0</v>
      </c>
      <c r="L2407" t="n">
        <v>0</v>
      </c>
      <c r="M2407" t="n">
        <v>0</v>
      </c>
      <c r="N2407" t="n">
        <v>0</v>
      </c>
      <c r="O2407" t="n">
        <v>0</v>
      </c>
      <c r="P2407" t="n">
        <v>0</v>
      </c>
      <c r="Q2407" t="n">
        <v>0</v>
      </c>
      <c r="R2407" s="2" t="inlineStr"/>
    </row>
    <row r="2408" ht="15" customHeight="1">
      <c r="A2408" t="inlineStr">
        <is>
          <t>A 8924-2020</t>
        </is>
      </c>
      <c r="B2408" s="1" t="n">
        <v>43878</v>
      </c>
      <c r="C2408" s="1" t="n">
        <v>45212</v>
      </c>
      <c r="D2408" t="inlineStr">
        <is>
          <t>VÄSTERNORRLANDS LÄN</t>
        </is>
      </c>
      <c r="E2408" t="inlineStr">
        <is>
          <t>SUNDSVALL</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9097-2020</t>
        </is>
      </c>
      <c r="B2409" s="1" t="n">
        <v>43879</v>
      </c>
      <c r="C2409" s="1" t="n">
        <v>45212</v>
      </c>
      <c r="D2409" t="inlineStr">
        <is>
          <t>VÄSTERNORRLANDS LÄN</t>
        </is>
      </c>
      <c r="E2409" t="inlineStr">
        <is>
          <t>TIMRÅ</t>
        </is>
      </c>
      <c r="G2409" t="n">
        <v>7.4</v>
      </c>
      <c r="H2409" t="n">
        <v>0</v>
      </c>
      <c r="I2409" t="n">
        <v>0</v>
      </c>
      <c r="J2409" t="n">
        <v>0</v>
      </c>
      <c r="K2409" t="n">
        <v>0</v>
      </c>
      <c r="L2409" t="n">
        <v>0</v>
      </c>
      <c r="M2409" t="n">
        <v>0</v>
      </c>
      <c r="N2409" t="n">
        <v>0</v>
      </c>
      <c r="O2409" t="n">
        <v>0</v>
      </c>
      <c r="P2409" t="n">
        <v>0</v>
      </c>
      <c r="Q2409" t="n">
        <v>0</v>
      </c>
      <c r="R2409" s="2" t="inlineStr"/>
    </row>
    <row r="2410" ht="15" customHeight="1">
      <c r="A2410" t="inlineStr">
        <is>
          <t>A 9029-2020</t>
        </is>
      </c>
      <c r="B2410" s="1" t="n">
        <v>43879</v>
      </c>
      <c r="C2410" s="1" t="n">
        <v>45212</v>
      </c>
      <c r="D2410" t="inlineStr">
        <is>
          <t>VÄSTERNORRLANDS LÄN</t>
        </is>
      </c>
      <c r="E2410" t="inlineStr">
        <is>
          <t>TIMRÅ</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9205-2020</t>
        </is>
      </c>
      <c r="B2411" s="1" t="n">
        <v>43879</v>
      </c>
      <c r="C2411" s="1" t="n">
        <v>45212</v>
      </c>
      <c r="D2411" t="inlineStr">
        <is>
          <t>VÄSTERNORRLANDS LÄN</t>
        </is>
      </c>
      <c r="E2411" t="inlineStr">
        <is>
          <t>ÖRNSKÖLDSVIK</t>
        </is>
      </c>
      <c r="G2411" t="n">
        <v>5.8</v>
      </c>
      <c r="H2411" t="n">
        <v>0</v>
      </c>
      <c r="I2411" t="n">
        <v>0</v>
      </c>
      <c r="J2411" t="n">
        <v>0</v>
      </c>
      <c r="K2411" t="n">
        <v>0</v>
      </c>
      <c r="L2411" t="n">
        <v>0</v>
      </c>
      <c r="M2411" t="n">
        <v>0</v>
      </c>
      <c r="N2411" t="n">
        <v>0</v>
      </c>
      <c r="O2411" t="n">
        <v>0</v>
      </c>
      <c r="P2411" t="n">
        <v>0</v>
      </c>
      <c r="Q2411" t="n">
        <v>0</v>
      </c>
      <c r="R2411" s="2" t="inlineStr"/>
    </row>
    <row r="2412" ht="15" customHeight="1">
      <c r="A2412" t="inlineStr">
        <is>
          <t>A 9486-2020</t>
        </is>
      </c>
      <c r="B2412" s="1" t="n">
        <v>43880</v>
      </c>
      <c r="C2412" s="1" t="n">
        <v>45212</v>
      </c>
      <c r="D2412" t="inlineStr">
        <is>
          <t>VÄSTERNORRLANDS LÄN</t>
        </is>
      </c>
      <c r="E2412" t="inlineStr">
        <is>
          <t>SUNDSVALL</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9674-2020</t>
        </is>
      </c>
      <c r="B2413" s="1" t="n">
        <v>43881</v>
      </c>
      <c r="C2413" s="1" t="n">
        <v>45212</v>
      </c>
      <c r="D2413" t="inlineStr">
        <is>
          <t>VÄSTERNORRLANDS LÄN</t>
        </is>
      </c>
      <c r="E2413" t="inlineStr">
        <is>
          <t>KRAMFORS</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9836-2020</t>
        </is>
      </c>
      <c r="B2414" s="1" t="n">
        <v>43881</v>
      </c>
      <c r="C2414" s="1" t="n">
        <v>45212</v>
      </c>
      <c r="D2414" t="inlineStr">
        <is>
          <t>VÄSTERNORRLANDS LÄN</t>
        </is>
      </c>
      <c r="E2414" t="inlineStr">
        <is>
          <t>KRAMFORS</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9837-2020</t>
        </is>
      </c>
      <c r="B2415" s="1" t="n">
        <v>43881</v>
      </c>
      <c r="C2415" s="1" t="n">
        <v>45212</v>
      </c>
      <c r="D2415" t="inlineStr">
        <is>
          <t>VÄSTERNORRLANDS LÄN</t>
        </is>
      </c>
      <c r="E2415" t="inlineStr">
        <is>
          <t>SUNDSVALL</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9554-2020</t>
        </is>
      </c>
      <c r="B2416" s="1" t="n">
        <v>43881</v>
      </c>
      <c r="C2416" s="1" t="n">
        <v>45212</v>
      </c>
      <c r="D2416" t="inlineStr">
        <is>
          <t>VÄSTERNORRLANDS LÄN</t>
        </is>
      </c>
      <c r="E2416" t="inlineStr">
        <is>
          <t>SUNDSVALL</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9841-2020</t>
        </is>
      </c>
      <c r="B2417" s="1" t="n">
        <v>43881</v>
      </c>
      <c r="C2417" s="1" t="n">
        <v>45212</v>
      </c>
      <c r="D2417" t="inlineStr">
        <is>
          <t>VÄSTERNORRLANDS LÄN</t>
        </is>
      </c>
      <c r="E2417" t="inlineStr">
        <is>
          <t>SUNDSVALL</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9915-2020</t>
        </is>
      </c>
      <c r="B2418" s="1" t="n">
        <v>43882</v>
      </c>
      <c r="C2418" s="1" t="n">
        <v>45212</v>
      </c>
      <c r="D2418" t="inlineStr">
        <is>
          <t>VÄSTERNORRLANDS LÄN</t>
        </is>
      </c>
      <c r="E2418" t="inlineStr">
        <is>
          <t>SUNDSVALL</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10855-2020</t>
        </is>
      </c>
      <c r="B2419" s="1" t="n">
        <v>43885</v>
      </c>
      <c r="C2419" s="1" t="n">
        <v>45212</v>
      </c>
      <c r="D2419" t="inlineStr">
        <is>
          <t>VÄSTERNORRLANDS LÄN</t>
        </is>
      </c>
      <c r="E2419" t="inlineStr">
        <is>
          <t>ÖRNSKÖLDSVIK</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10463-2020</t>
        </is>
      </c>
      <c r="B2420" s="1" t="n">
        <v>43885</v>
      </c>
      <c r="C2420" s="1" t="n">
        <v>45212</v>
      </c>
      <c r="D2420" t="inlineStr">
        <is>
          <t>VÄSTERNORRLANDS LÄN</t>
        </is>
      </c>
      <c r="E2420" t="inlineStr">
        <is>
          <t>ÖRNSKÖLDSVIK</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10377-2020</t>
        </is>
      </c>
      <c r="B2421" s="1" t="n">
        <v>43885</v>
      </c>
      <c r="C2421" s="1" t="n">
        <v>45212</v>
      </c>
      <c r="D2421" t="inlineStr">
        <is>
          <t>VÄSTERNORRLANDS LÄN</t>
        </is>
      </c>
      <c r="E2421" t="inlineStr">
        <is>
          <t>TIMRÅ</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10455-2020</t>
        </is>
      </c>
      <c r="B2422" s="1" t="n">
        <v>43886</v>
      </c>
      <c r="C2422" s="1" t="n">
        <v>45212</v>
      </c>
      <c r="D2422" t="inlineStr">
        <is>
          <t>VÄSTERNORRLANDS LÄN</t>
        </is>
      </c>
      <c r="E2422" t="inlineStr">
        <is>
          <t>SUNDSVALL</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10145-2020</t>
        </is>
      </c>
      <c r="B2423" s="1" t="n">
        <v>43886</v>
      </c>
      <c r="C2423" s="1" t="n">
        <v>45212</v>
      </c>
      <c r="D2423" t="inlineStr">
        <is>
          <t>VÄSTERNORRLANDS LÄN</t>
        </is>
      </c>
      <c r="E2423" t="inlineStr">
        <is>
          <t>ÅNGE</t>
        </is>
      </c>
      <c r="F2423" t="inlineStr">
        <is>
          <t>SCA</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10456-2020</t>
        </is>
      </c>
      <c r="B2424" s="1" t="n">
        <v>43886</v>
      </c>
      <c r="C2424" s="1" t="n">
        <v>45212</v>
      </c>
      <c r="D2424" t="inlineStr">
        <is>
          <t>VÄSTERNORRLANDS LÄN</t>
        </is>
      </c>
      <c r="E2424" t="inlineStr">
        <is>
          <t>SUNDSVALL</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10144-2020</t>
        </is>
      </c>
      <c r="B2425" s="1" t="n">
        <v>43886</v>
      </c>
      <c r="C2425" s="1" t="n">
        <v>45212</v>
      </c>
      <c r="D2425" t="inlineStr">
        <is>
          <t>VÄSTERNORRLANDS LÄN</t>
        </is>
      </c>
      <c r="E2425" t="inlineStr">
        <is>
          <t>ÅNGE</t>
        </is>
      </c>
      <c r="F2425" t="inlineStr">
        <is>
          <t>SCA</t>
        </is>
      </c>
      <c r="G2425" t="n">
        <v>21.7</v>
      </c>
      <c r="H2425" t="n">
        <v>0</v>
      </c>
      <c r="I2425" t="n">
        <v>0</v>
      </c>
      <c r="J2425" t="n">
        <v>0</v>
      </c>
      <c r="K2425" t="n">
        <v>0</v>
      </c>
      <c r="L2425" t="n">
        <v>0</v>
      </c>
      <c r="M2425" t="n">
        <v>0</v>
      </c>
      <c r="N2425" t="n">
        <v>0</v>
      </c>
      <c r="O2425" t="n">
        <v>0</v>
      </c>
      <c r="P2425" t="n">
        <v>0</v>
      </c>
      <c r="Q2425" t="n">
        <v>0</v>
      </c>
      <c r="R2425" s="2" t="inlineStr"/>
    </row>
    <row r="2426" ht="15" customHeight="1">
      <c r="A2426" t="inlineStr">
        <is>
          <t>A 10649-2020</t>
        </is>
      </c>
      <c r="B2426" s="1" t="n">
        <v>43887</v>
      </c>
      <c r="C2426" s="1" t="n">
        <v>45212</v>
      </c>
      <c r="D2426" t="inlineStr">
        <is>
          <t>VÄSTERNORRLANDS LÄN</t>
        </is>
      </c>
      <c r="E2426" t="inlineStr">
        <is>
          <t>SUNDSVALL</t>
        </is>
      </c>
      <c r="G2426" t="n">
        <v>5.8</v>
      </c>
      <c r="H2426" t="n">
        <v>0</v>
      </c>
      <c r="I2426" t="n">
        <v>0</v>
      </c>
      <c r="J2426" t="n">
        <v>0</v>
      </c>
      <c r="K2426" t="n">
        <v>0</v>
      </c>
      <c r="L2426" t="n">
        <v>0</v>
      </c>
      <c r="M2426" t="n">
        <v>0</v>
      </c>
      <c r="N2426" t="n">
        <v>0</v>
      </c>
      <c r="O2426" t="n">
        <v>0</v>
      </c>
      <c r="P2426" t="n">
        <v>0</v>
      </c>
      <c r="Q2426" t="n">
        <v>0</v>
      </c>
      <c r="R2426" s="2" t="inlineStr"/>
    </row>
    <row r="2427" ht="15" customHeight="1">
      <c r="A2427" t="inlineStr">
        <is>
          <t>A 10571-2020</t>
        </is>
      </c>
      <c r="B2427" s="1" t="n">
        <v>43887</v>
      </c>
      <c r="C2427" s="1" t="n">
        <v>45212</v>
      </c>
      <c r="D2427" t="inlineStr">
        <is>
          <t>VÄSTERNORRLANDS LÄN</t>
        </is>
      </c>
      <c r="E2427" t="inlineStr">
        <is>
          <t>SUNDSVALL</t>
        </is>
      </c>
      <c r="G2427" t="n">
        <v>5.1</v>
      </c>
      <c r="H2427" t="n">
        <v>0</v>
      </c>
      <c r="I2427" t="n">
        <v>0</v>
      </c>
      <c r="J2427" t="n">
        <v>0</v>
      </c>
      <c r="K2427" t="n">
        <v>0</v>
      </c>
      <c r="L2427" t="n">
        <v>0</v>
      </c>
      <c r="M2427" t="n">
        <v>0</v>
      </c>
      <c r="N2427" t="n">
        <v>0</v>
      </c>
      <c r="O2427" t="n">
        <v>0</v>
      </c>
      <c r="P2427" t="n">
        <v>0</v>
      </c>
      <c r="Q2427" t="n">
        <v>0</v>
      </c>
      <c r="R2427" s="2" t="inlineStr"/>
    </row>
    <row r="2428" ht="15" customHeight="1">
      <c r="A2428" t="inlineStr">
        <is>
          <t>A 10631-2020</t>
        </is>
      </c>
      <c r="B2428" s="1" t="n">
        <v>43887</v>
      </c>
      <c r="C2428" s="1" t="n">
        <v>45212</v>
      </c>
      <c r="D2428" t="inlineStr">
        <is>
          <t>VÄSTERNORRLANDS LÄN</t>
        </is>
      </c>
      <c r="E2428" t="inlineStr">
        <is>
          <t>SOLLEFTEÅ</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10846-2020</t>
        </is>
      </c>
      <c r="B2429" s="1" t="n">
        <v>43888</v>
      </c>
      <c r="C2429" s="1" t="n">
        <v>45212</v>
      </c>
      <c r="D2429" t="inlineStr">
        <is>
          <t>VÄSTERNORRLANDS LÄN</t>
        </is>
      </c>
      <c r="E2429" t="inlineStr">
        <is>
          <t>SOLLEFTEÅ</t>
        </is>
      </c>
      <c r="F2429" t="inlineStr">
        <is>
          <t>SCA</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10904-2020</t>
        </is>
      </c>
      <c r="B2430" s="1" t="n">
        <v>43889</v>
      </c>
      <c r="C2430" s="1" t="n">
        <v>45212</v>
      </c>
      <c r="D2430" t="inlineStr">
        <is>
          <t>VÄSTERNORRLANDS LÄN</t>
        </is>
      </c>
      <c r="E2430" t="inlineStr">
        <is>
          <t>SUNDSVALL</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11968-2020</t>
        </is>
      </c>
      <c r="B2431" s="1" t="n">
        <v>43889</v>
      </c>
      <c r="C2431" s="1" t="n">
        <v>45212</v>
      </c>
      <c r="D2431" t="inlineStr">
        <is>
          <t>VÄSTERNORRLANDS LÄN</t>
        </is>
      </c>
      <c r="E2431" t="inlineStr">
        <is>
          <t>ÖRNSKÖLDSVIK</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11101-2020</t>
        </is>
      </c>
      <c r="B2432" s="1" t="n">
        <v>43889</v>
      </c>
      <c r="C2432" s="1" t="n">
        <v>45212</v>
      </c>
      <c r="D2432" t="inlineStr">
        <is>
          <t>VÄSTERNORRLANDS LÄN</t>
        </is>
      </c>
      <c r="E2432" t="inlineStr">
        <is>
          <t>ÅNGE</t>
        </is>
      </c>
      <c r="F2432" t="inlineStr">
        <is>
          <t>Holmen skog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11411-2020</t>
        </is>
      </c>
      <c r="B2433" s="1" t="n">
        <v>43892</v>
      </c>
      <c r="C2433" s="1" t="n">
        <v>45212</v>
      </c>
      <c r="D2433" t="inlineStr">
        <is>
          <t>VÄSTERNORRLANDS LÄN</t>
        </is>
      </c>
      <c r="E2433" t="inlineStr">
        <is>
          <t>SUNDSVALL</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11277-2020</t>
        </is>
      </c>
      <c r="B2434" s="1" t="n">
        <v>43892</v>
      </c>
      <c r="C2434" s="1" t="n">
        <v>45212</v>
      </c>
      <c r="D2434" t="inlineStr">
        <is>
          <t>VÄSTERNORRLANDS LÄN</t>
        </is>
      </c>
      <c r="E2434" t="inlineStr">
        <is>
          <t>SUNDSVALL</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11426-2020</t>
        </is>
      </c>
      <c r="B2435" s="1" t="n">
        <v>43892</v>
      </c>
      <c r="C2435" s="1" t="n">
        <v>45212</v>
      </c>
      <c r="D2435" t="inlineStr">
        <is>
          <t>VÄSTERNORRLANDS LÄN</t>
        </is>
      </c>
      <c r="E2435" t="inlineStr">
        <is>
          <t>SUNDSVALL</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12584-2020</t>
        </is>
      </c>
      <c r="B2436" s="1" t="n">
        <v>43892</v>
      </c>
      <c r="C2436" s="1" t="n">
        <v>45212</v>
      </c>
      <c r="D2436" t="inlineStr">
        <is>
          <t>VÄSTERNORRLANDS LÄN</t>
        </is>
      </c>
      <c r="E2436" t="inlineStr">
        <is>
          <t>ÖRNSKÖLDSVIK</t>
        </is>
      </c>
      <c r="G2436" t="n">
        <v>5.4</v>
      </c>
      <c r="H2436" t="n">
        <v>0</v>
      </c>
      <c r="I2436" t="n">
        <v>0</v>
      </c>
      <c r="J2436" t="n">
        <v>0</v>
      </c>
      <c r="K2436" t="n">
        <v>0</v>
      </c>
      <c r="L2436" t="n">
        <v>0</v>
      </c>
      <c r="M2436" t="n">
        <v>0</v>
      </c>
      <c r="N2436" t="n">
        <v>0</v>
      </c>
      <c r="O2436" t="n">
        <v>0</v>
      </c>
      <c r="P2436" t="n">
        <v>0</v>
      </c>
      <c r="Q2436" t="n">
        <v>0</v>
      </c>
      <c r="R2436" s="2" t="inlineStr"/>
    </row>
    <row r="2437" ht="15" customHeight="1">
      <c r="A2437" t="inlineStr">
        <is>
          <t>A 11427-2020</t>
        </is>
      </c>
      <c r="B2437" s="1" t="n">
        <v>43892</v>
      </c>
      <c r="C2437" s="1" t="n">
        <v>45212</v>
      </c>
      <c r="D2437" t="inlineStr">
        <is>
          <t>VÄSTERNORRLANDS LÄN</t>
        </is>
      </c>
      <c r="E2437" t="inlineStr">
        <is>
          <t>SUNDSVALL</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12464-2020</t>
        </is>
      </c>
      <c r="B2438" s="1" t="n">
        <v>43892</v>
      </c>
      <c r="C2438" s="1" t="n">
        <v>45212</v>
      </c>
      <c r="D2438" t="inlineStr">
        <is>
          <t>VÄSTERNORRLANDS LÄN</t>
        </is>
      </c>
      <c r="E2438" t="inlineStr">
        <is>
          <t>KRAMFORS</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11413-2020</t>
        </is>
      </c>
      <c r="B2439" s="1" t="n">
        <v>43892</v>
      </c>
      <c r="C2439" s="1" t="n">
        <v>45212</v>
      </c>
      <c r="D2439" t="inlineStr">
        <is>
          <t>VÄSTERNORRLANDS LÄN</t>
        </is>
      </c>
      <c r="E2439" t="inlineStr">
        <is>
          <t>SUNDSVALL</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11682-2020</t>
        </is>
      </c>
      <c r="B2440" s="1" t="n">
        <v>43893</v>
      </c>
      <c r="C2440" s="1" t="n">
        <v>45212</v>
      </c>
      <c r="D2440" t="inlineStr">
        <is>
          <t>VÄSTERNORRLANDS LÄN</t>
        </is>
      </c>
      <c r="E2440" t="inlineStr">
        <is>
          <t>SUNDSVALL</t>
        </is>
      </c>
      <c r="F2440" t="inlineStr">
        <is>
          <t>SCA</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11692-2020</t>
        </is>
      </c>
      <c r="B2441" s="1" t="n">
        <v>43893</v>
      </c>
      <c r="C2441" s="1" t="n">
        <v>45212</v>
      </c>
      <c r="D2441" t="inlineStr">
        <is>
          <t>VÄSTERNORRLANDS LÄN</t>
        </is>
      </c>
      <c r="E2441" t="inlineStr">
        <is>
          <t>HÄRNÖSAND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12819-2020</t>
        </is>
      </c>
      <c r="B2442" s="1" t="n">
        <v>43893</v>
      </c>
      <c r="C2442" s="1" t="n">
        <v>45212</v>
      </c>
      <c r="D2442" t="inlineStr">
        <is>
          <t>VÄSTERNORRLANDS LÄN</t>
        </is>
      </c>
      <c r="E2442" t="inlineStr">
        <is>
          <t>SOLLEFTEÅ</t>
        </is>
      </c>
      <c r="G2442" t="n">
        <v>1.9</v>
      </c>
      <c r="H2442" t="n">
        <v>0</v>
      </c>
      <c r="I2442" t="n">
        <v>0</v>
      </c>
      <c r="J2442" t="n">
        <v>0</v>
      </c>
      <c r="K2442" t="n">
        <v>0</v>
      </c>
      <c r="L2442" t="n">
        <v>0</v>
      </c>
      <c r="M2442" t="n">
        <v>0</v>
      </c>
      <c r="N2442" t="n">
        <v>0</v>
      </c>
      <c r="O2442" t="n">
        <v>0</v>
      </c>
      <c r="P2442" t="n">
        <v>0</v>
      </c>
      <c r="Q2442" t="n">
        <v>0</v>
      </c>
      <c r="R2442" s="2" t="inlineStr"/>
    </row>
    <row r="2443" ht="15" customHeight="1">
      <c r="A2443" t="inlineStr">
        <is>
          <t>A 11687-2020</t>
        </is>
      </c>
      <c r="B2443" s="1" t="n">
        <v>43893</v>
      </c>
      <c r="C2443" s="1" t="n">
        <v>45212</v>
      </c>
      <c r="D2443" t="inlineStr">
        <is>
          <t>VÄSTERNORRLANDS LÄN</t>
        </is>
      </c>
      <c r="E2443" t="inlineStr">
        <is>
          <t>HÄRNÖSAND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11691-2020</t>
        </is>
      </c>
      <c r="B2444" s="1" t="n">
        <v>43893</v>
      </c>
      <c r="C2444" s="1" t="n">
        <v>45212</v>
      </c>
      <c r="D2444" t="inlineStr">
        <is>
          <t>VÄSTERNORRLANDS LÄN</t>
        </is>
      </c>
      <c r="E2444" t="inlineStr">
        <is>
          <t>HÄRNÖSAND</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11685-2020</t>
        </is>
      </c>
      <c r="B2445" s="1" t="n">
        <v>43893</v>
      </c>
      <c r="C2445" s="1" t="n">
        <v>45212</v>
      </c>
      <c r="D2445" t="inlineStr">
        <is>
          <t>VÄSTERNORRLANDS LÄN</t>
        </is>
      </c>
      <c r="E2445" t="inlineStr">
        <is>
          <t>SOLLEFTEÅ</t>
        </is>
      </c>
      <c r="F2445" t="inlineStr">
        <is>
          <t>SCA</t>
        </is>
      </c>
      <c r="G2445" t="n">
        <v>10.3</v>
      </c>
      <c r="H2445" t="n">
        <v>0</v>
      </c>
      <c r="I2445" t="n">
        <v>0</v>
      </c>
      <c r="J2445" t="n">
        <v>0</v>
      </c>
      <c r="K2445" t="n">
        <v>0</v>
      </c>
      <c r="L2445" t="n">
        <v>0</v>
      </c>
      <c r="M2445" t="n">
        <v>0</v>
      </c>
      <c r="N2445" t="n">
        <v>0</v>
      </c>
      <c r="O2445" t="n">
        <v>0</v>
      </c>
      <c r="P2445" t="n">
        <v>0</v>
      </c>
      <c r="Q2445" t="n">
        <v>0</v>
      </c>
      <c r="R2445" s="2" t="inlineStr"/>
    </row>
    <row r="2446" ht="15" customHeight="1">
      <c r="A2446" t="inlineStr">
        <is>
          <t>A 12065-2020</t>
        </is>
      </c>
      <c r="B2446" s="1" t="n">
        <v>43894</v>
      </c>
      <c r="C2446" s="1" t="n">
        <v>45212</v>
      </c>
      <c r="D2446" t="inlineStr">
        <is>
          <t>VÄSTERNORRLANDS LÄN</t>
        </is>
      </c>
      <c r="E2446" t="inlineStr">
        <is>
          <t>SUNDSVALL</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12066-2020</t>
        </is>
      </c>
      <c r="B2447" s="1" t="n">
        <v>43894</v>
      </c>
      <c r="C2447" s="1" t="n">
        <v>45212</v>
      </c>
      <c r="D2447" t="inlineStr">
        <is>
          <t>VÄSTERNORRLANDS LÄN</t>
        </is>
      </c>
      <c r="E2447" t="inlineStr">
        <is>
          <t>SUNDSVALL</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12336-2020</t>
        </is>
      </c>
      <c r="B2448" s="1" t="n">
        <v>43895</v>
      </c>
      <c r="C2448" s="1" t="n">
        <v>45212</v>
      </c>
      <c r="D2448" t="inlineStr">
        <is>
          <t>VÄSTERNORRLANDS LÄN</t>
        </is>
      </c>
      <c r="E2448" t="inlineStr">
        <is>
          <t>SUNDSVALL</t>
        </is>
      </c>
      <c r="F2448" t="inlineStr">
        <is>
          <t>SCA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12526-2020</t>
        </is>
      </c>
      <c r="B2449" s="1" t="n">
        <v>43896</v>
      </c>
      <c r="C2449" s="1" t="n">
        <v>45212</v>
      </c>
      <c r="D2449" t="inlineStr">
        <is>
          <t>VÄSTERNORRLANDS LÄN</t>
        </is>
      </c>
      <c r="E2449" t="inlineStr">
        <is>
          <t>SOLLEFTEÅ</t>
        </is>
      </c>
      <c r="F2449" t="inlineStr">
        <is>
          <t>SCA</t>
        </is>
      </c>
      <c r="G2449" t="n">
        <v>14.7</v>
      </c>
      <c r="H2449" t="n">
        <v>0</v>
      </c>
      <c r="I2449" t="n">
        <v>0</v>
      </c>
      <c r="J2449" t="n">
        <v>0</v>
      </c>
      <c r="K2449" t="n">
        <v>0</v>
      </c>
      <c r="L2449" t="n">
        <v>0</v>
      </c>
      <c r="M2449" t="n">
        <v>0</v>
      </c>
      <c r="N2449" t="n">
        <v>0</v>
      </c>
      <c r="O2449" t="n">
        <v>0</v>
      </c>
      <c r="P2449" t="n">
        <v>0</v>
      </c>
      <c r="Q2449" t="n">
        <v>0</v>
      </c>
      <c r="R2449" s="2" t="inlineStr"/>
    </row>
    <row r="2450" ht="15" customHeight="1">
      <c r="A2450" t="inlineStr">
        <is>
          <t>A 12525-2020</t>
        </is>
      </c>
      <c r="B2450" s="1" t="n">
        <v>43896</v>
      </c>
      <c r="C2450" s="1" t="n">
        <v>45212</v>
      </c>
      <c r="D2450" t="inlineStr">
        <is>
          <t>VÄSTERNORRLANDS LÄN</t>
        </is>
      </c>
      <c r="E2450" t="inlineStr">
        <is>
          <t>SOLLEFTEÅ</t>
        </is>
      </c>
      <c r="F2450" t="inlineStr">
        <is>
          <t>SCA</t>
        </is>
      </c>
      <c r="G2450" t="n">
        <v>28.7</v>
      </c>
      <c r="H2450" t="n">
        <v>0</v>
      </c>
      <c r="I2450" t="n">
        <v>0</v>
      </c>
      <c r="J2450" t="n">
        <v>0</v>
      </c>
      <c r="K2450" t="n">
        <v>0</v>
      </c>
      <c r="L2450" t="n">
        <v>0</v>
      </c>
      <c r="M2450" t="n">
        <v>0</v>
      </c>
      <c r="N2450" t="n">
        <v>0</v>
      </c>
      <c r="O2450" t="n">
        <v>0</v>
      </c>
      <c r="P2450" t="n">
        <v>0</v>
      </c>
      <c r="Q2450" t="n">
        <v>0</v>
      </c>
      <c r="R2450" s="2" t="inlineStr"/>
    </row>
    <row r="2451" ht="15" customHeight="1">
      <c r="A2451" t="inlineStr">
        <is>
          <t>A 14086-2020</t>
        </is>
      </c>
      <c r="B2451" s="1" t="n">
        <v>43899</v>
      </c>
      <c r="C2451" s="1" t="n">
        <v>45212</v>
      </c>
      <c r="D2451" t="inlineStr">
        <is>
          <t>VÄSTERNORRLANDS LÄN</t>
        </is>
      </c>
      <c r="E2451" t="inlineStr">
        <is>
          <t>KRAMFORS</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12866-2020</t>
        </is>
      </c>
      <c r="B2452" s="1" t="n">
        <v>43899</v>
      </c>
      <c r="C2452" s="1" t="n">
        <v>45212</v>
      </c>
      <c r="D2452" t="inlineStr">
        <is>
          <t>VÄSTERNORRLANDS LÄN</t>
        </is>
      </c>
      <c r="E2452" t="inlineStr">
        <is>
          <t>ÅNGE</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14092-2020</t>
        </is>
      </c>
      <c r="B2453" s="1" t="n">
        <v>43899</v>
      </c>
      <c r="C2453" s="1" t="n">
        <v>45212</v>
      </c>
      <c r="D2453" t="inlineStr">
        <is>
          <t>VÄSTERNORRLANDS LÄN</t>
        </is>
      </c>
      <c r="E2453" t="inlineStr">
        <is>
          <t>KRAMFORS</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12868-2020</t>
        </is>
      </c>
      <c r="B2454" s="1" t="n">
        <v>43899</v>
      </c>
      <c r="C2454" s="1" t="n">
        <v>45212</v>
      </c>
      <c r="D2454" t="inlineStr">
        <is>
          <t>VÄSTERNORRLANDS LÄN</t>
        </is>
      </c>
      <c r="E2454" t="inlineStr">
        <is>
          <t>ÅNGE</t>
        </is>
      </c>
      <c r="G2454" t="n">
        <v>9.6</v>
      </c>
      <c r="H2454" t="n">
        <v>0</v>
      </c>
      <c r="I2454" t="n">
        <v>0</v>
      </c>
      <c r="J2454" t="n">
        <v>0</v>
      </c>
      <c r="K2454" t="n">
        <v>0</v>
      </c>
      <c r="L2454" t="n">
        <v>0</v>
      </c>
      <c r="M2454" t="n">
        <v>0</v>
      </c>
      <c r="N2454" t="n">
        <v>0</v>
      </c>
      <c r="O2454" t="n">
        <v>0</v>
      </c>
      <c r="P2454" t="n">
        <v>0</v>
      </c>
      <c r="Q2454" t="n">
        <v>0</v>
      </c>
      <c r="R2454" s="2" t="inlineStr"/>
    </row>
    <row r="2455" ht="15" customHeight="1">
      <c r="A2455" t="inlineStr">
        <is>
          <t>A 12824-2020</t>
        </is>
      </c>
      <c r="B2455" s="1" t="n">
        <v>43899</v>
      </c>
      <c r="C2455" s="1" t="n">
        <v>45212</v>
      </c>
      <c r="D2455" t="inlineStr">
        <is>
          <t>VÄSTERNORRLANDS LÄN</t>
        </is>
      </c>
      <c r="E2455" t="inlineStr">
        <is>
          <t>ÖRNSKÖLDSVIK</t>
        </is>
      </c>
      <c r="F2455" t="inlineStr">
        <is>
          <t>Holmen skog AB</t>
        </is>
      </c>
      <c r="G2455" t="n">
        <v>10.5</v>
      </c>
      <c r="H2455" t="n">
        <v>0</v>
      </c>
      <c r="I2455" t="n">
        <v>0</v>
      </c>
      <c r="J2455" t="n">
        <v>0</v>
      </c>
      <c r="K2455" t="n">
        <v>0</v>
      </c>
      <c r="L2455" t="n">
        <v>0</v>
      </c>
      <c r="M2455" t="n">
        <v>0</v>
      </c>
      <c r="N2455" t="n">
        <v>0</v>
      </c>
      <c r="O2455" t="n">
        <v>0</v>
      </c>
      <c r="P2455" t="n">
        <v>0</v>
      </c>
      <c r="Q2455" t="n">
        <v>0</v>
      </c>
      <c r="R2455" s="2" t="inlineStr"/>
    </row>
    <row r="2456" ht="15" customHeight="1">
      <c r="A2456" t="inlineStr">
        <is>
          <t>A 13082-2020</t>
        </is>
      </c>
      <c r="B2456" s="1" t="n">
        <v>43900</v>
      </c>
      <c r="C2456" s="1" t="n">
        <v>45212</v>
      </c>
      <c r="D2456" t="inlineStr">
        <is>
          <t>VÄSTERNORRLANDS LÄN</t>
        </is>
      </c>
      <c r="E2456" t="inlineStr">
        <is>
          <t>SUNDSVALL</t>
        </is>
      </c>
      <c r="G2456" t="n">
        <v>12.8</v>
      </c>
      <c r="H2456" t="n">
        <v>0</v>
      </c>
      <c r="I2456" t="n">
        <v>0</v>
      </c>
      <c r="J2456" t="n">
        <v>0</v>
      </c>
      <c r="K2456" t="n">
        <v>0</v>
      </c>
      <c r="L2456" t="n">
        <v>0</v>
      </c>
      <c r="M2456" t="n">
        <v>0</v>
      </c>
      <c r="N2456" t="n">
        <v>0</v>
      </c>
      <c r="O2456" t="n">
        <v>0</v>
      </c>
      <c r="P2456" t="n">
        <v>0</v>
      </c>
      <c r="Q2456" t="n">
        <v>0</v>
      </c>
      <c r="R2456" s="2" t="inlineStr"/>
    </row>
    <row r="2457" ht="15" customHeight="1">
      <c r="A2457" t="inlineStr">
        <is>
          <t>A 13073-2020</t>
        </is>
      </c>
      <c r="B2457" s="1" t="n">
        <v>43900</v>
      </c>
      <c r="C2457" s="1" t="n">
        <v>45212</v>
      </c>
      <c r="D2457" t="inlineStr">
        <is>
          <t>VÄSTERNORRLANDS LÄN</t>
        </is>
      </c>
      <c r="E2457" t="inlineStr">
        <is>
          <t>SUNDSVALL</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13023-2020</t>
        </is>
      </c>
      <c r="B2458" s="1" t="n">
        <v>43900</v>
      </c>
      <c r="C2458" s="1" t="n">
        <v>45212</v>
      </c>
      <c r="D2458" t="inlineStr">
        <is>
          <t>VÄSTERNORRLANDS LÄN</t>
        </is>
      </c>
      <c r="E2458" t="inlineStr">
        <is>
          <t>SOLLEFTEÅ</t>
        </is>
      </c>
      <c r="F2458" t="inlineStr">
        <is>
          <t>Kyrkan</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13068-2020</t>
        </is>
      </c>
      <c r="B2459" s="1" t="n">
        <v>43900</v>
      </c>
      <c r="C2459" s="1" t="n">
        <v>45212</v>
      </c>
      <c r="D2459" t="inlineStr">
        <is>
          <t>VÄSTERNORRLANDS LÄN</t>
        </is>
      </c>
      <c r="E2459" t="inlineStr">
        <is>
          <t>SUNDSVALL</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13074-2020</t>
        </is>
      </c>
      <c r="B2460" s="1" t="n">
        <v>43900</v>
      </c>
      <c r="C2460" s="1" t="n">
        <v>45212</v>
      </c>
      <c r="D2460" t="inlineStr">
        <is>
          <t>VÄSTERNORRLANDS LÄN</t>
        </is>
      </c>
      <c r="E2460" t="inlineStr">
        <is>
          <t>SUNDSVALL</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13291-2020</t>
        </is>
      </c>
      <c r="B2461" s="1" t="n">
        <v>43901</v>
      </c>
      <c r="C2461" s="1" t="n">
        <v>45212</v>
      </c>
      <c r="D2461" t="inlineStr">
        <is>
          <t>VÄSTERNORRLANDS LÄN</t>
        </is>
      </c>
      <c r="E2461" t="inlineStr">
        <is>
          <t>SUNDSVALL</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14626-2020</t>
        </is>
      </c>
      <c r="B2462" s="1" t="n">
        <v>43901</v>
      </c>
      <c r="C2462" s="1" t="n">
        <v>45212</v>
      </c>
      <c r="D2462" t="inlineStr">
        <is>
          <t>VÄSTERNORRLANDS LÄN</t>
        </is>
      </c>
      <c r="E2462" t="inlineStr">
        <is>
          <t>ÖRNSKÖLDSVIK</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13274-2020</t>
        </is>
      </c>
      <c r="B2463" s="1" t="n">
        <v>43901</v>
      </c>
      <c r="C2463" s="1" t="n">
        <v>45212</v>
      </c>
      <c r="D2463" t="inlineStr">
        <is>
          <t>VÄSTERNORRLANDS LÄN</t>
        </is>
      </c>
      <c r="E2463" t="inlineStr">
        <is>
          <t>ÖRNSKÖLDSVIK</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13559-2020</t>
        </is>
      </c>
      <c r="B2464" s="1" t="n">
        <v>43902</v>
      </c>
      <c r="C2464" s="1" t="n">
        <v>45212</v>
      </c>
      <c r="D2464" t="inlineStr">
        <is>
          <t>VÄSTERNORRLANDS LÄN</t>
        </is>
      </c>
      <c r="E2464" t="inlineStr">
        <is>
          <t>ÅNGE</t>
        </is>
      </c>
      <c r="F2464" t="inlineStr">
        <is>
          <t>SCA</t>
        </is>
      </c>
      <c r="G2464" t="n">
        <v>24.5</v>
      </c>
      <c r="H2464" t="n">
        <v>0</v>
      </c>
      <c r="I2464" t="n">
        <v>0</v>
      </c>
      <c r="J2464" t="n">
        <v>0</v>
      </c>
      <c r="K2464" t="n">
        <v>0</v>
      </c>
      <c r="L2464" t="n">
        <v>0</v>
      </c>
      <c r="M2464" t="n">
        <v>0</v>
      </c>
      <c r="N2464" t="n">
        <v>0</v>
      </c>
      <c r="O2464" t="n">
        <v>0</v>
      </c>
      <c r="P2464" t="n">
        <v>0</v>
      </c>
      <c r="Q2464" t="n">
        <v>0</v>
      </c>
      <c r="R2464" s="2" t="inlineStr"/>
    </row>
    <row r="2465" ht="15" customHeight="1">
      <c r="A2465" t="inlineStr">
        <is>
          <t>A 13565-2020</t>
        </is>
      </c>
      <c r="B2465" s="1" t="n">
        <v>43902</v>
      </c>
      <c r="C2465" s="1" t="n">
        <v>45212</v>
      </c>
      <c r="D2465" t="inlineStr">
        <is>
          <t>VÄSTERNORRLANDS LÄN</t>
        </is>
      </c>
      <c r="E2465" t="inlineStr">
        <is>
          <t>SOLLEFTEÅ</t>
        </is>
      </c>
      <c r="F2465" t="inlineStr">
        <is>
          <t>SCA</t>
        </is>
      </c>
      <c r="G2465" t="n">
        <v>12.6</v>
      </c>
      <c r="H2465" t="n">
        <v>0</v>
      </c>
      <c r="I2465" t="n">
        <v>0</v>
      </c>
      <c r="J2465" t="n">
        <v>0</v>
      </c>
      <c r="K2465" t="n">
        <v>0</v>
      </c>
      <c r="L2465" t="n">
        <v>0</v>
      </c>
      <c r="M2465" t="n">
        <v>0</v>
      </c>
      <c r="N2465" t="n">
        <v>0</v>
      </c>
      <c r="O2465" t="n">
        <v>0</v>
      </c>
      <c r="P2465" t="n">
        <v>0</v>
      </c>
      <c r="Q2465" t="n">
        <v>0</v>
      </c>
      <c r="R2465" s="2" t="inlineStr"/>
    </row>
    <row r="2466" ht="15" customHeight="1">
      <c r="A2466" t="inlineStr">
        <is>
          <t>A 13564-2020</t>
        </is>
      </c>
      <c r="B2466" s="1" t="n">
        <v>43902</v>
      </c>
      <c r="C2466" s="1" t="n">
        <v>45212</v>
      </c>
      <c r="D2466" t="inlineStr">
        <is>
          <t>VÄSTERNORRLANDS LÄN</t>
        </is>
      </c>
      <c r="E2466" t="inlineStr">
        <is>
          <t>SOLLEFTEÅ</t>
        </is>
      </c>
      <c r="F2466" t="inlineStr">
        <is>
          <t>SCA</t>
        </is>
      </c>
      <c r="G2466" t="n">
        <v>26.1</v>
      </c>
      <c r="H2466" t="n">
        <v>0</v>
      </c>
      <c r="I2466" t="n">
        <v>0</v>
      </c>
      <c r="J2466" t="n">
        <v>0</v>
      </c>
      <c r="K2466" t="n">
        <v>0</v>
      </c>
      <c r="L2466" t="n">
        <v>0</v>
      </c>
      <c r="M2466" t="n">
        <v>0</v>
      </c>
      <c r="N2466" t="n">
        <v>0</v>
      </c>
      <c r="O2466" t="n">
        <v>0</v>
      </c>
      <c r="P2466" t="n">
        <v>0</v>
      </c>
      <c r="Q2466" t="n">
        <v>0</v>
      </c>
      <c r="R2466" s="2" t="inlineStr"/>
    </row>
    <row r="2467" ht="15" customHeight="1">
      <c r="A2467" t="inlineStr">
        <is>
          <t>A 13336-2020</t>
        </is>
      </c>
      <c r="B2467" s="1" t="n">
        <v>43902</v>
      </c>
      <c r="C2467" s="1" t="n">
        <v>45212</v>
      </c>
      <c r="D2467" t="inlineStr">
        <is>
          <t>VÄSTERNORRLANDS LÄN</t>
        </is>
      </c>
      <c r="E2467" t="inlineStr">
        <is>
          <t>ÖRNSKÖLDSVIK</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13567-2020</t>
        </is>
      </c>
      <c r="B2468" s="1" t="n">
        <v>43902</v>
      </c>
      <c r="C2468" s="1" t="n">
        <v>45212</v>
      </c>
      <c r="D2468" t="inlineStr">
        <is>
          <t>VÄSTERNORRLANDS LÄN</t>
        </is>
      </c>
      <c r="E2468" t="inlineStr">
        <is>
          <t>SOLLEFTEÅ</t>
        </is>
      </c>
      <c r="F2468" t="inlineStr">
        <is>
          <t>SCA</t>
        </is>
      </c>
      <c r="G2468" t="n">
        <v>15.9</v>
      </c>
      <c r="H2468" t="n">
        <v>0</v>
      </c>
      <c r="I2468" t="n">
        <v>0</v>
      </c>
      <c r="J2468" t="n">
        <v>0</v>
      </c>
      <c r="K2468" t="n">
        <v>0</v>
      </c>
      <c r="L2468" t="n">
        <v>0</v>
      </c>
      <c r="M2468" t="n">
        <v>0</v>
      </c>
      <c r="N2468" t="n">
        <v>0</v>
      </c>
      <c r="O2468" t="n">
        <v>0</v>
      </c>
      <c r="P2468" t="n">
        <v>0</v>
      </c>
      <c r="Q2468" t="n">
        <v>0</v>
      </c>
      <c r="R2468" s="2" t="inlineStr"/>
    </row>
    <row r="2469" ht="15" customHeight="1">
      <c r="A2469" t="inlineStr">
        <is>
          <t>A 13577-2020</t>
        </is>
      </c>
      <c r="B2469" s="1" t="n">
        <v>43902</v>
      </c>
      <c r="C2469" s="1" t="n">
        <v>45212</v>
      </c>
      <c r="D2469" t="inlineStr">
        <is>
          <t>VÄSTERNORRLANDS LÄN</t>
        </is>
      </c>
      <c r="E2469" t="inlineStr">
        <is>
          <t>SOLLEFTEÅ</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13561-2020</t>
        </is>
      </c>
      <c r="B2470" s="1" t="n">
        <v>43902</v>
      </c>
      <c r="C2470" s="1" t="n">
        <v>45212</v>
      </c>
      <c r="D2470" t="inlineStr">
        <is>
          <t>VÄSTERNORRLANDS LÄN</t>
        </is>
      </c>
      <c r="E2470" t="inlineStr">
        <is>
          <t>SOLLEFTEÅ</t>
        </is>
      </c>
      <c r="F2470" t="inlineStr">
        <is>
          <t>SCA</t>
        </is>
      </c>
      <c r="G2470" t="n">
        <v>7.8</v>
      </c>
      <c r="H2470" t="n">
        <v>0</v>
      </c>
      <c r="I2470" t="n">
        <v>0</v>
      </c>
      <c r="J2470" t="n">
        <v>0</v>
      </c>
      <c r="K2470" t="n">
        <v>0</v>
      </c>
      <c r="L2470" t="n">
        <v>0</v>
      </c>
      <c r="M2470" t="n">
        <v>0</v>
      </c>
      <c r="N2470" t="n">
        <v>0</v>
      </c>
      <c r="O2470" t="n">
        <v>0</v>
      </c>
      <c r="P2470" t="n">
        <v>0</v>
      </c>
      <c r="Q2470" t="n">
        <v>0</v>
      </c>
      <c r="R2470" s="2" t="inlineStr"/>
    </row>
    <row r="2471" ht="15" customHeight="1">
      <c r="A2471" t="inlineStr">
        <is>
          <t>A 13575-2020</t>
        </is>
      </c>
      <c r="B2471" s="1" t="n">
        <v>43902</v>
      </c>
      <c r="C2471" s="1" t="n">
        <v>45212</v>
      </c>
      <c r="D2471" t="inlineStr">
        <is>
          <t>VÄSTERNORRLANDS LÄN</t>
        </is>
      </c>
      <c r="E2471" t="inlineStr">
        <is>
          <t>SOLLEFTEÅ</t>
        </is>
      </c>
      <c r="F2471" t="inlineStr">
        <is>
          <t>SCA</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13782-2020</t>
        </is>
      </c>
      <c r="B2472" s="1" t="n">
        <v>43903</v>
      </c>
      <c r="C2472" s="1" t="n">
        <v>45212</v>
      </c>
      <c r="D2472" t="inlineStr">
        <is>
          <t>VÄSTERNORRLANDS LÄN</t>
        </is>
      </c>
      <c r="E2472" t="inlineStr">
        <is>
          <t>TIMRÅ</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14716-2020</t>
        </is>
      </c>
      <c r="B2473" s="1" t="n">
        <v>43903</v>
      </c>
      <c r="C2473" s="1" t="n">
        <v>45212</v>
      </c>
      <c r="D2473" t="inlineStr">
        <is>
          <t>VÄSTERNORRLANDS LÄN</t>
        </is>
      </c>
      <c r="E2473" t="inlineStr">
        <is>
          <t>ÖRNSKÖLDSVIK</t>
        </is>
      </c>
      <c r="F2473" t="inlineStr">
        <is>
          <t>Övriga Aktiebolag</t>
        </is>
      </c>
      <c r="G2473" t="n">
        <v>8</v>
      </c>
      <c r="H2473" t="n">
        <v>0</v>
      </c>
      <c r="I2473" t="n">
        <v>0</v>
      </c>
      <c r="J2473" t="n">
        <v>0</v>
      </c>
      <c r="K2473" t="n">
        <v>0</v>
      </c>
      <c r="L2473" t="n">
        <v>0</v>
      </c>
      <c r="M2473" t="n">
        <v>0</v>
      </c>
      <c r="N2473" t="n">
        <v>0</v>
      </c>
      <c r="O2473" t="n">
        <v>0</v>
      </c>
      <c r="P2473" t="n">
        <v>0</v>
      </c>
      <c r="Q2473" t="n">
        <v>0</v>
      </c>
      <c r="R2473" s="2" t="inlineStr"/>
    </row>
    <row r="2474" ht="15" customHeight="1">
      <c r="A2474" t="inlineStr">
        <is>
          <t>A 13798-2020</t>
        </is>
      </c>
      <c r="B2474" s="1" t="n">
        <v>43903</v>
      </c>
      <c r="C2474" s="1" t="n">
        <v>45212</v>
      </c>
      <c r="D2474" t="inlineStr">
        <is>
          <t>VÄSTERNORRLANDS LÄN</t>
        </is>
      </c>
      <c r="E2474" t="inlineStr">
        <is>
          <t>SOLLEFTEÅ</t>
        </is>
      </c>
      <c r="F2474" t="inlineStr">
        <is>
          <t>SCA</t>
        </is>
      </c>
      <c r="G2474" t="n">
        <v>4.7</v>
      </c>
      <c r="H2474" t="n">
        <v>0</v>
      </c>
      <c r="I2474" t="n">
        <v>0</v>
      </c>
      <c r="J2474" t="n">
        <v>0</v>
      </c>
      <c r="K2474" t="n">
        <v>0</v>
      </c>
      <c r="L2474" t="n">
        <v>0</v>
      </c>
      <c r="M2474" t="n">
        <v>0</v>
      </c>
      <c r="N2474" t="n">
        <v>0</v>
      </c>
      <c r="O2474" t="n">
        <v>0</v>
      </c>
      <c r="P2474" t="n">
        <v>0</v>
      </c>
      <c r="Q2474" t="n">
        <v>0</v>
      </c>
      <c r="R2474" s="2" t="inlineStr"/>
    </row>
    <row r="2475" ht="15" customHeight="1">
      <c r="A2475" t="inlineStr">
        <is>
          <t>A 13864-2020</t>
        </is>
      </c>
      <c r="B2475" s="1" t="n">
        <v>43906</v>
      </c>
      <c r="C2475" s="1" t="n">
        <v>45212</v>
      </c>
      <c r="D2475" t="inlineStr">
        <is>
          <t>VÄSTERNORRLANDS LÄN</t>
        </is>
      </c>
      <c r="E2475" t="inlineStr">
        <is>
          <t>SOLLEFTEÅ</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14330-2020</t>
        </is>
      </c>
      <c r="B2476" s="1" t="n">
        <v>43907</v>
      </c>
      <c r="C2476" s="1" t="n">
        <v>45212</v>
      </c>
      <c r="D2476" t="inlineStr">
        <is>
          <t>VÄSTERNORRLANDS LÄN</t>
        </is>
      </c>
      <c r="E2476" t="inlineStr">
        <is>
          <t>SUNDSVALL</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14586-2020</t>
        </is>
      </c>
      <c r="B2477" s="1" t="n">
        <v>43908</v>
      </c>
      <c r="C2477" s="1" t="n">
        <v>45212</v>
      </c>
      <c r="D2477" t="inlineStr">
        <is>
          <t>VÄSTERNORRLANDS LÄN</t>
        </is>
      </c>
      <c r="E2477" t="inlineStr">
        <is>
          <t>ÅNGE</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16293-2020</t>
        </is>
      </c>
      <c r="B2478" s="1" t="n">
        <v>43908</v>
      </c>
      <c r="C2478" s="1" t="n">
        <v>45212</v>
      </c>
      <c r="D2478" t="inlineStr">
        <is>
          <t>VÄSTERNORRLANDS LÄN</t>
        </is>
      </c>
      <c r="E2478" t="inlineStr">
        <is>
          <t>ÖRNSKÖLDSVIK</t>
        </is>
      </c>
      <c r="G2478" t="n">
        <v>12.1</v>
      </c>
      <c r="H2478" t="n">
        <v>0</v>
      </c>
      <c r="I2478" t="n">
        <v>0</v>
      </c>
      <c r="J2478" t="n">
        <v>0</v>
      </c>
      <c r="K2478" t="n">
        <v>0</v>
      </c>
      <c r="L2478" t="n">
        <v>0</v>
      </c>
      <c r="M2478" t="n">
        <v>0</v>
      </c>
      <c r="N2478" t="n">
        <v>0</v>
      </c>
      <c r="O2478" t="n">
        <v>0</v>
      </c>
      <c r="P2478" t="n">
        <v>0</v>
      </c>
      <c r="Q2478" t="n">
        <v>0</v>
      </c>
      <c r="R2478" s="2" t="inlineStr"/>
    </row>
    <row r="2479" ht="15" customHeight="1">
      <c r="A2479" t="inlineStr">
        <is>
          <t>A 16374-2020</t>
        </is>
      </c>
      <c r="B2479" s="1" t="n">
        <v>43908</v>
      </c>
      <c r="C2479" s="1" t="n">
        <v>45212</v>
      </c>
      <c r="D2479" t="inlineStr">
        <is>
          <t>VÄSTERNORRLANDS LÄN</t>
        </is>
      </c>
      <c r="E2479" t="inlineStr">
        <is>
          <t>HÄRNÖSAND</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14781-2020</t>
        </is>
      </c>
      <c r="B2480" s="1" t="n">
        <v>43909</v>
      </c>
      <c r="C2480" s="1" t="n">
        <v>45212</v>
      </c>
      <c r="D2480" t="inlineStr">
        <is>
          <t>VÄSTERNORRLANDS LÄN</t>
        </is>
      </c>
      <c r="E2480" t="inlineStr">
        <is>
          <t>HÄRNÖSAND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14861-2020</t>
        </is>
      </c>
      <c r="B2481" s="1" t="n">
        <v>43909</v>
      </c>
      <c r="C2481" s="1" t="n">
        <v>45212</v>
      </c>
      <c r="D2481" t="inlineStr">
        <is>
          <t>VÄSTERNORRLANDS LÄN</t>
        </is>
      </c>
      <c r="E2481" t="inlineStr">
        <is>
          <t>KRAMFORS</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14853-2020</t>
        </is>
      </c>
      <c r="B2482" s="1" t="n">
        <v>43909</v>
      </c>
      <c r="C2482" s="1" t="n">
        <v>45212</v>
      </c>
      <c r="D2482" t="inlineStr">
        <is>
          <t>VÄSTERNORRLANDS LÄN</t>
        </is>
      </c>
      <c r="E2482" t="inlineStr">
        <is>
          <t>SUNDSVALL</t>
        </is>
      </c>
      <c r="G2482" t="n">
        <v>3.7</v>
      </c>
      <c r="H2482" t="n">
        <v>0</v>
      </c>
      <c r="I2482" t="n">
        <v>0</v>
      </c>
      <c r="J2482" t="n">
        <v>0</v>
      </c>
      <c r="K2482" t="n">
        <v>0</v>
      </c>
      <c r="L2482" t="n">
        <v>0</v>
      </c>
      <c r="M2482" t="n">
        <v>0</v>
      </c>
      <c r="N2482" t="n">
        <v>0</v>
      </c>
      <c r="O2482" t="n">
        <v>0</v>
      </c>
      <c r="P2482" t="n">
        <v>0</v>
      </c>
      <c r="Q2482" t="n">
        <v>0</v>
      </c>
      <c r="R2482" s="2" t="inlineStr"/>
    </row>
    <row r="2483" ht="15" customHeight="1">
      <c r="A2483" t="inlineStr">
        <is>
          <t>A 14859-2020</t>
        </is>
      </c>
      <c r="B2483" s="1" t="n">
        <v>43909</v>
      </c>
      <c r="C2483" s="1" t="n">
        <v>45212</v>
      </c>
      <c r="D2483" t="inlineStr">
        <is>
          <t>VÄSTERNORRLANDS LÄN</t>
        </is>
      </c>
      <c r="E2483" t="inlineStr">
        <is>
          <t>SOLLEFTEÅ</t>
        </is>
      </c>
      <c r="F2483" t="inlineStr">
        <is>
          <t>SCA</t>
        </is>
      </c>
      <c r="G2483" t="n">
        <v>5.8</v>
      </c>
      <c r="H2483" t="n">
        <v>0</v>
      </c>
      <c r="I2483" t="n">
        <v>0</v>
      </c>
      <c r="J2483" t="n">
        <v>0</v>
      </c>
      <c r="K2483" t="n">
        <v>0</v>
      </c>
      <c r="L2483" t="n">
        <v>0</v>
      </c>
      <c r="M2483" t="n">
        <v>0</v>
      </c>
      <c r="N2483" t="n">
        <v>0</v>
      </c>
      <c r="O2483" t="n">
        <v>0</v>
      </c>
      <c r="P2483" t="n">
        <v>0</v>
      </c>
      <c r="Q2483" t="n">
        <v>0</v>
      </c>
      <c r="R2483" s="2" t="inlineStr"/>
    </row>
    <row r="2484" ht="15" customHeight="1">
      <c r="A2484" t="inlineStr">
        <is>
          <t>A 16655-2020</t>
        </is>
      </c>
      <c r="B2484" s="1" t="n">
        <v>43909</v>
      </c>
      <c r="C2484" s="1" t="n">
        <v>45212</v>
      </c>
      <c r="D2484" t="inlineStr">
        <is>
          <t>VÄSTERNORRLANDS LÄN</t>
        </is>
      </c>
      <c r="E2484" t="inlineStr">
        <is>
          <t>ÖRNSKÖLDSVIK</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15098-2020</t>
        </is>
      </c>
      <c r="B2485" s="1" t="n">
        <v>43910</v>
      </c>
      <c r="C2485" s="1" t="n">
        <v>45212</v>
      </c>
      <c r="D2485" t="inlineStr">
        <is>
          <t>VÄSTERNORRLANDS LÄN</t>
        </is>
      </c>
      <c r="E2485" t="inlineStr">
        <is>
          <t>SUNDSVALL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15215-2020</t>
        </is>
      </c>
      <c r="B2486" s="1" t="n">
        <v>43913</v>
      </c>
      <c r="C2486" s="1" t="n">
        <v>45212</v>
      </c>
      <c r="D2486" t="inlineStr">
        <is>
          <t>VÄSTERNORRLANDS LÄN</t>
        </is>
      </c>
      <c r="E2486" t="inlineStr">
        <is>
          <t>SUNDSVALL</t>
        </is>
      </c>
      <c r="G2486" t="n">
        <v>7.1</v>
      </c>
      <c r="H2486" t="n">
        <v>0</v>
      </c>
      <c r="I2486" t="n">
        <v>0</v>
      </c>
      <c r="J2486" t="n">
        <v>0</v>
      </c>
      <c r="K2486" t="n">
        <v>0</v>
      </c>
      <c r="L2486" t="n">
        <v>0</v>
      </c>
      <c r="M2486" t="n">
        <v>0</v>
      </c>
      <c r="N2486" t="n">
        <v>0</v>
      </c>
      <c r="O2486" t="n">
        <v>0</v>
      </c>
      <c r="P2486" t="n">
        <v>0</v>
      </c>
      <c r="Q2486" t="n">
        <v>0</v>
      </c>
      <c r="R2486" s="2" t="inlineStr"/>
    </row>
    <row r="2487" ht="15" customHeight="1">
      <c r="A2487" t="inlineStr">
        <is>
          <t>A 15267-2020</t>
        </is>
      </c>
      <c r="B2487" s="1" t="n">
        <v>43913</v>
      </c>
      <c r="C2487" s="1" t="n">
        <v>45212</v>
      </c>
      <c r="D2487" t="inlineStr">
        <is>
          <t>VÄSTERNORRLANDS LÄN</t>
        </is>
      </c>
      <c r="E2487" t="inlineStr">
        <is>
          <t>SUNDSVALL</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15631-2020</t>
        </is>
      </c>
      <c r="B2488" s="1" t="n">
        <v>43914</v>
      </c>
      <c r="C2488" s="1" t="n">
        <v>45212</v>
      </c>
      <c r="D2488" t="inlineStr">
        <is>
          <t>VÄSTERNORRLANDS LÄN</t>
        </is>
      </c>
      <c r="E2488" t="inlineStr">
        <is>
          <t>TIMRÅ</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15639-2020</t>
        </is>
      </c>
      <c r="B2489" s="1" t="n">
        <v>43914</v>
      </c>
      <c r="C2489" s="1" t="n">
        <v>45212</v>
      </c>
      <c r="D2489" t="inlineStr">
        <is>
          <t>VÄSTERNORRLANDS LÄN</t>
        </is>
      </c>
      <c r="E2489" t="inlineStr">
        <is>
          <t>SUNDSVALL</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17101-2020</t>
        </is>
      </c>
      <c r="B2490" s="1" t="n">
        <v>43914</v>
      </c>
      <c r="C2490" s="1" t="n">
        <v>45212</v>
      </c>
      <c r="D2490" t="inlineStr">
        <is>
          <t>VÄSTERNORRLANDS LÄN</t>
        </is>
      </c>
      <c r="E2490" t="inlineStr">
        <is>
          <t>ÅNGE</t>
        </is>
      </c>
      <c r="G2490" t="n">
        <v>3.7</v>
      </c>
      <c r="H2490" t="n">
        <v>0</v>
      </c>
      <c r="I2490" t="n">
        <v>0</v>
      </c>
      <c r="J2490" t="n">
        <v>0</v>
      </c>
      <c r="K2490" t="n">
        <v>0</v>
      </c>
      <c r="L2490" t="n">
        <v>0</v>
      </c>
      <c r="M2490" t="n">
        <v>0</v>
      </c>
      <c r="N2490" t="n">
        <v>0</v>
      </c>
      <c r="O2490" t="n">
        <v>0</v>
      </c>
      <c r="P2490" t="n">
        <v>0</v>
      </c>
      <c r="Q2490" t="n">
        <v>0</v>
      </c>
      <c r="R2490" s="2" t="inlineStr"/>
    </row>
    <row r="2491" ht="15" customHeight="1">
      <c r="A2491" t="inlineStr">
        <is>
          <t>A 17223-2020</t>
        </is>
      </c>
      <c r="B2491" s="1" t="n">
        <v>43914</v>
      </c>
      <c r="C2491" s="1" t="n">
        <v>45212</v>
      </c>
      <c r="D2491" t="inlineStr">
        <is>
          <t>VÄSTERNORRLANDS LÄN</t>
        </is>
      </c>
      <c r="E2491" t="inlineStr">
        <is>
          <t>ÖRNSKÖLDSVIK</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17231-2020</t>
        </is>
      </c>
      <c r="B2492" s="1" t="n">
        <v>43914</v>
      </c>
      <c r="C2492" s="1" t="n">
        <v>45212</v>
      </c>
      <c r="D2492" t="inlineStr">
        <is>
          <t>VÄSTERNORRLANDS LÄN</t>
        </is>
      </c>
      <c r="E2492" t="inlineStr">
        <is>
          <t>ÖRNSKÖLDSVIK</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17098-2020</t>
        </is>
      </c>
      <c r="B2493" s="1" t="n">
        <v>43914</v>
      </c>
      <c r="C2493" s="1" t="n">
        <v>45212</v>
      </c>
      <c r="D2493" t="inlineStr">
        <is>
          <t>VÄSTERNORRLANDS LÄN</t>
        </is>
      </c>
      <c r="E2493" t="inlineStr">
        <is>
          <t>ÅNGE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15537-2020</t>
        </is>
      </c>
      <c r="B2494" s="1" t="n">
        <v>43914</v>
      </c>
      <c r="C2494" s="1" t="n">
        <v>45212</v>
      </c>
      <c r="D2494" t="inlineStr">
        <is>
          <t>VÄSTERNORRLANDS LÄN</t>
        </is>
      </c>
      <c r="E2494" t="inlineStr">
        <is>
          <t>ÖRNSKÖLDSVIK</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15640-2020</t>
        </is>
      </c>
      <c r="B2495" s="1" t="n">
        <v>43914</v>
      </c>
      <c r="C2495" s="1" t="n">
        <v>45212</v>
      </c>
      <c r="D2495" t="inlineStr">
        <is>
          <t>VÄSTERNORRLANDS LÄN</t>
        </is>
      </c>
      <c r="E2495" t="inlineStr">
        <is>
          <t>SUNDSVALL</t>
        </is>
      </c>
      <c r="G2495" t="n">
        <v>9.9</v>
      </c>
      <c r="H2495" t="n">
        <v>0</v>
      </c>
      <c r="I2495" t="n">
        <v>0</v>
      </c>
      <c r="J2495" t="n">
        <v>0</v>
      </c>
      <c r="K2495" t="n">
        <v>0</v>
      </c>
      <c r="L2495" t="n">
        <v>0</v>
      </c>
      <c r="M2495" t="n">
        <v>0</v>
      </c>
      <c r="N2495" t="n">
        <v>0</v>
      </c>
      <c r="O2495" t="n">
        <v>0</v>
      </c>
      <c r="P2495" t="n">
        <v>0</v>
      </c>
      <c r="Q2495" t="n">
        <v>0</v>
      </c>
      <c r="R2495" s="2" t="inlineStr"/>
    </row>
    <row r="2496" ht="15" customHeight="1">
      <c r="A2496" t="inlineStr">
        <is>
          <t>A 17227-2020</t>
        </is>
      </c>
      <c r="B2496" s="1" t="n">
        <v>43914</v>
      </c>
      <c r="C2496" s="1" t="n">
        <v>45212</v>
      </c>
      <c r="D2496" t="inlineStr">
        <is>
          <t>VÄSTERNORRLANDS LÄN</t>
        </is>
      </c>
      <c r="E2496" t="inlineStr">
        <is>
          <t>ÖRNSKÖLDSVIK</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15726-2020</t>
        </is>
      </c>
      <c r="B2497" s="1" t="n">
        <v>43915</v>
      </c>
      <c r="C2497" s="1" t="n">
        <v>45212</v>
      </c>
      <c r="D2497" t="inlineStr">
        <is>
          <t>VÄSTERNORRLANDS LÄN</t>
        </is>
      </c>
      <c r="E2497" t="inlineStr">
        <is>
          <t>SUNDSVALL</t>
        </is>
      </c>
      <c r="G2497" t="n">
        <v>5.7</v>
      </c>
      <c r="H2497" t="n">
        <v>0</v>
      </c>
      <c r="I2497" t="n">
        <v>0</v>
      </c>
      <c r="J2497" t="n">
        <v>0</v>
      </c>
      <c r="K2497" t="n">
        <v>0</v>
      </c>
      <c r="L2497" t="n">
        <v>0</v>
      </c>
      <c r="M2497" t="n">
        <v>0</v>
      </c>
      <c r="N2497" t="n">
        <v>0</v>
      </c>
      <c r="O2497" t="n">
        <v>0</v>
      </c>
      <c r="P2497" t="n">
        <v>0</v>
      </c>
      <c r="Q2497" t="n">
        <v>0</v>
      </c>
      <c r="R2497" s="2" t="inlineStr"/>
    </row>
    <row r="2498" ht="15" customHeight="1">
      <c r="A2498" t="inlineStr">
        <is>
          <t>A 15890-2020</t>
        </is>
      </c>
      <c r="B2498" s="1" t="n">
        <v>43915</v>
      </c>
      <c r="C2498" s="1" t="n">
        <v>45212</v>
      </c>
      <c r="D2498" t="inlineStr">
        <is>
          <t>VÄSTERNORRLANDS LÄN</t>
        </is>
      </c>
      <c r="E2498" t="inlineStr">
        <is>
          <t>SUNDSVALL</t>
        </is>
      </c>
      <c r="F2498" t="inlineStr">
        <is>
          <t>SCA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15892-2020</t>
        </is>
      </c>
      <c r="B2499" s="1" t="n">
        <v>43915</v>
      </c>
      <c r="C2499" s="1" t="n">
        <v>45212</v>
      </c>
      <c r="D2499" t="inlineStr">
        <is>
          <t>VÄSTERNORRLANDS LÄN</t>
        </is>
      </c>
      <c r="E2499" t="inlineStr">
        <is>
          <t>SUNDSVALL</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15815-2020</t>
        </is>
      </c>
      <c r="B2500" s="1" t="n">
        <v>43915</v>
      </c>
      <c r="C2500" s="1" t="n">
        <v>45212</v>
      </c>
      <c r="D2500" t="inlineStr">
        <is>
          <t>VÄSTERNORRLANDS LÄN</t>
        </is>
      </c>
      <c r="E2500" t="inlineStr">
        <is>
          <t>HÄRNÖSAND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16160-2020</t>
        </is>
      </c>
      <c r="B2501" s="1" t="n">
        <v>43916</v>
      </c>
      <c r="C2501" s="1" t="n">
        <v>45212</v>
      </c>
      <c r="D2501" t="inlineStr">
        <is>
          <t>VÄSTERNORRLANDS LÄN</t>
        </is>
      </c>
      <c r="E2501" t="inlineStr">
        <is>
          <t>KRAMFORS</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16167-2020</t>
        </is>
      </c>
      <c r="B2502" s="1" t="n">
        <v>43916</v>
      </c>
      <c r="C2502" s="1" t="n">
        <v>45212</v>
      </c>
      <c r="D2502" t="inlineStr">
        <is>
          <t>VÄSTERNORRLANDS LÄN</t>
        </is>
      </c>
      <c r="E2502" t="inlineStr">
        <is>
          <t>SUNDSVALL</t>
        </is>
      </c>
      <c r="F2502" t="inlineStr">
        <is>
          <t>SCA</t>
        </is>
      </c>
      <c r="G2502" t="n">
        <v>24.1</v>
      </c>
      <c r="H2502" t="n">
        <v>0</v>
      </c>
      <c r="I2502" t="n">
        <v>0</v>
      </c>
      <c r="J2502" t="n">
        <v>0</v>
      </c>
      <c r="K2502" t="n">
        <v>0</v>
      </c>
      <c r="L2502" t="n">
        <v>0</v>
      </c>
      <c r="M2502" t="n">
        <v>0</v>
      </c>
      <c r="N2502" t="n">
        <v>0</v>
      </c>
      <c r="O2502" t="n">
        <v>0</v>
      </c>
      <c r="P2502" t="n">
        <v>0</v>
      </c>
      <c r="Q2502" t="n">
        <v>0</v>
      </c>
      <c r="R2502" s="2" t="inlineStr"/>
    </row>
    <row r="2503" ht="15" customHeight="1">
      <c r="A2503" t="inlineStr">
        <is>
          <t>A 16165-2020</t>
        </is>
      </c>
      <c r="B2503" s="1" t="n">
        <v>43916</v>
      </c>
      <c r="C2503" s="1" t="n">
        <v>45212</v>
      </c>
      <c r="D2503" t="inlineStr">
        <is>
          <t>VÄSTERNORRLANDS LÄN</t>
        </is>
      </c>
      <c r="E2503" t="inlineStr">
        <is>
          <t>SUNDSVALL</t>
        </is>
      </c>
      <c r="F2503" t="inlineStr">
        <is>
          <t>SCA</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17370-2020</t>
        </is>
      </c>
      <c r="B2504" s="1" t="n">
        <v>43916</v>
      </c>
      <c r="C2504" s="1" t="n">
        <v>45212</v>
      </c>
      <c r="D2504" t="inlineStr">
        <is>
          <t>VÄSTERNORRLANDS LÄN</t>
        </is>
      </c>
      <c r="E2504" t="inlineStr">
        <is>
          <t>HÄRNÖSAND</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16166-2020</t>
        </is>
      </c>
      <c r="B2505" s="1" t="n">
        <v>43916</v>
      </c>
      <c r="C2505" s="1" t="n">
        <v>45212</v>
      </c>
      <c r="D2505" t="inlineStr">
        <is>
          <t>VÄSTERNORRLANDS LÄN</t>
        </is>
      </c>
      <c r="E2505" t="inlineStr">
        <is>
          <t>SUNDSVALL</t>
        </is>
      </c>
      <c r="F2505" t="inlineStr">
        <is>
          <t>SCA</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16371-2020</t>
        </is>
      </c>
      <c r="B2506" s="1" t="n">
        <v>43917</v>
      </c>
      <c r="C2506" s="1" t="n">
        <v>45212</v>
      </c>
      <c r="D2506" t="inlineStr">
        <is>
          <t>VÄSTERNORRLANDS LÄN</t>
        </is>
      </c>
      <c r="E2506" t="inlineStr">
        <is>
          <t>ÖRNSKÖLDSVIK</t>
        </is>
      </c>
      <c r="G2506" t="n">
        <v>6.3</v>
      </c>
      <c r="H2506" t="n">
        <v>0</v>
      </c>
      <c r="I2506" t="n">
        <v>0</v>
      </c>
      <c r="J2506" t="n">
        <v>0</v>
      </c>
      <c r="K2506" t="n">
        <v>0</v>
      </c>
      <c r="L2506" t="n">
        <v>0</v>
      </c>
      <c r="M2506" t="n">
        <v>0</v>
      </c>
      <c r="N2506" t="n">
        <v>0</v>
      </c>
      <c r="O2506" t="n">
        <v>0</v>
      </c>
      <c r="P2506" t="n">
        <v>0</v>
      </c>
      <c r="Q2506" t="n">
        <v>0</v>
      </c>
      <c r="R2506" s="2" t="inlineStr"/>
    </row>
    <row r="2507" ht="15" customHeight="1">
      <c r="A2507" t="inlineStr">
        <is>
          <t>A 16197-2020</t>
        </is>
      </c>
      <c r="B2507" s="1" t="n">
        <v>43917</v>
      </c>
      <c r="C2507" s="1" t="n">
        <v>45212</v>
      </c>
      <c r="D2507" t="inlineStr">
        <is>
          <t>VÄSTERNORRLANDS LÄN</t>
        </is>
      </c>
      <c r="E2507" t="inlineStr">
        <is>
          <t>ÖRNSKÖLDSVIK</t>
        </is>
      </c>
      <c r="G2507" t="n">
        <v>15.1</v>
      </c>
      <c r="H2507" t="n">
        <v>0</v>
      </c>
      <c r="I2507" t="n">
        <v>0</v>
      </c>
      <c r="J2507" t="n">
        <v>0</v>
      </c>
      <c r="K2507" t="n">
        <v>0</v>
      </c>
      <c r="L2507" t="n">
        <v>0</v>
      </c>
      <c r="M2507" t="n">
        <v>0</v>
      </c>
      <c r="N2507" t="n">
        <v>0</v>
      </c>
      <c r="O2507" t="n">
        <v>0</v>
      </c>
      <c r="P2507" t="n">
        <v>0</v>
      </c>
      <c r="Q2507" t="n">
        <v>0</v>
      </c>
      <c r="R2507" s="2" t="inlineStr"/>
    </row>
    <row r="2508" ht="15" customHeight="1">
      <c r="A2508" t="inlineStr">
        <is>
          <t>A 16568-2020</t>
        </is>
      </c>
      <c r="B2508" s="1" t="n">
        <v>43920</v>
      </c>
      <c r="C2508" s="1" t="n">
        <v>45212</v>
      </c>
      <c r="D2508" t="inlineStr">
        <is>
          <t>VÄSTERNORRLANDS LÄN</t>
        </is>
      </c>
      <c r="E2508" t="inlineStr">
        <is>
          <t>ÖRNSKÖLDSVIK</t>
        </is>
      </c>
      <c r="F2508" t="inlineStr">
        <is>
          <t>Holmen skog AB</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16522-2020</t>
        </is>
      </c>
      <c r="B2509" s="1" t="n">
        <v>43920</v>
      </c>
      <c r="C2509" s="1" t="n">
        <v>45212</v>
      </c>
      <c r="D2509" t="inlineStr">
        <is>
          <t>VÄSTERNORRLANDS LÄN</t>
        </is>
      </c>
      <c r="E2509" t="inlineStr">
        <is>
          <t>ÖRNSKÖLDSVIK</t>
        </is>
      </c>
      <c r="F2509" t="inlineStr">
        <is>
          <t>Holmen skog AB</t>
        </is>
      </c>
      <c r="G2509" t="n">
        <v>6.2</v>
      </c>
      <c r="H2509" t="n">
        <v>0</v>
      </c>
      <c r="I2509" t="n">
        <v>0</v>
      </c>
      <c r="J2509" t="n">
        <v>0</v>
      </c>
      <c r="K2509" t="n">
        <v>0</v>
      </c>
      <c r="L2509" t="n">
        <v>0</v>
      </c>
      <c r="M2509" t="n">
        <v>0</v>
      </c>
      <c r="N2509" t="n">
        <v>0</v>
      </c>
      <c r="O2509" t="n">
        <v>0</v>
      </c>
      <c r="P2509" t="n">
        <v>0</v>
      </c>
      <c r="Q2509" t="n">
        <v>0</v>
      </c>
      <c r="R2509" s="2" t="inlineStr"/>
    </row>
    <row r="2510" ht="15" customHeight="1">
      <c r="A2510" t="inlineStr">
        <is>
          <t>A 16796-2020</t>
        </is>
      </c>
      <c r="B2510" s="1" t="n">
        <v>43921</v>
      </c>
      <c r="C2510" s="1" t="n">
        <v>45212</v>
      </c>
      <c r="D2510" t="inlineStr">
        <is>
          <t>VÄSTERNORRLANDS LÄN</t>
        </is>
      </c>
      <c r="E2510" t="inlineStr">
        <is>
          <t>ÖRNSKÖLDSVIK</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17007-2020</t>
        </is>
      </c>
      <c r="B2511" s="1" t="n">
        <v>43921</v>
      </c>
      <c r="C2511" s="1" t="n">
        <v>45212</v>
      </c>
      <c r="D2511" t="inlineStr">
        <is>
          <t>VÄSTERNORRLANDS LÄN</t>
        </is>
      </c>
      <c r="E2511" t="inlineStr">
        <is>
          <t>ÅNGE</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17620-2020</t>
        </is>
      </c>
      <c r="B2512" s="1" t="n">
        <v>43921</v>
      </c>
      <c r="C2512" s="1" t="n">
        <v>45212</v>
      </c>
      <c r="D2512" t="inlineStr">
        <is>
          <t>VÄSTERNORRLANDS LÄN</t>
        </is>
      </c>
      <c r="E2512" t="inlineStr">
        <is>
          <t>ÖRNSKÖLDSVIK</t>
        </is>
      </c>
      <c r="G2512" t="n">
        <v>5.2</v>
      </c>
      <c r="H2512" t="n">
        <v>0</v>
      </c>
      <c r="I2512" t="n">
        <v>0</v>
      </c>
      <c r="J2512" t="n">
        <v>0</v>
      </c>
      <c r="K2512" t="n">
        <v>0</v>
      </c>
      <c r="L2512" t="n">
        <v>0</v>
      </c>
      <c r="M2512" t="n">
        <v>0</v>
      </c>
      <c r="N2512" t="n">
        <v>0</v>
      </c>
      <c r="O2512" t="n">
        <v>0</v>
      </c>
      <c r="P2512" t="n">
        <v>0</v>
      </c>
      <c r="Q2512" t="n">
        <v>0</v>
      </c>
      <c r="R2512" s="2" t="inlineStr"/>
    </row>
    <row r="2513" ht="15" customHeight="1">
      <c r="A2513" t="inlineStr">
        <is>
          <t>A 16947-2020</t>
        </is>
      </c>
      <c r="B2513" s="1" t="n">
        <v>43921</v>
      </c>
      <c r="C2513" s="1" t="n">
        <v>45212</v>
      </c>
      <c r="D2513" t="inlineStr">
        <is>
          <t>VÄSTERNORRLANDS LÄN</t>
        </is>
      </c>
      <c r="E2513" t="inlineStr">
        <is>
          <t>SUNDSVALL</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17069-2020</t>
        </is>
      </c>
      <c r="B2514" s="1" t="n">
        <v>43921</v>
      </c>
      <c r="C2514" s="1" t="n">
        <v>45212</v>
      </c>
      <c r="D2514" t="inlineStr">
        <is>
          <t>VÄSTERNORRLANDS LÄN</t>
        </is>
      </c>
      <c r="E2514" t="inlineStr">
        <is>
          <t>ÅNGE</t>
        </is>
      </c>
      <c r="F2514" t="inlineStr">
        <is>
          <t>SCA</t>
        </is>
      </c>
      <c r="G2514" t="n">
        <v>10.1</v>
      </c>
      <c r="H2514" t="n">
        <v>0</v>
      </c>
      <c r="I2514" t="n">
        <v>0</v>
      </c>
      <c r="J2514" t="n">
        <v>0</v>
      </c>
      <c r="K2514" t="n">
        <v>0</v>
      </c>
      <c r="L2514" t="n">
        <v>0</v>
      </c>
      <c r="M2514" t="n">
        <v>0</v>
      </c>
      <c r="N2514" t="n">
        <v>0</v>
      </c>
      <c r="O2514" t="n">
        <v>0</v>
      </c>
      <c r="P2514" t="n">
        <v>0</v>
      </c>
      <c r="Q2514" t="n">
        <v>0</v>
      </c>
      <c r="R2514" s="2" t="inlineStr"/>
    </row>
    <row r="2515" ht="15" customHeight="1">
      <c r="A2515" t="inlineStr">
        <is>
          <t>A 17691-2020</t>
        </is>
      </c>
      <c r="B2515" s="1" t="n">
        <v>43923</v>
      </c>
      <c r="C2515" s="1" t="n">
        <v>45212</v>
      </c>
      <c r="D2515" t="inlineStr">
        <is>
          <t>VÄSTERNORRLANDS LÄN</t>
        </is>
      </c>
      <c r="E2515" t="inlineStr">
        <is>
          <t>SUNDSVALL</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17859-2020</t>
        </is>
      </c>
      <c r="B2516" s="1" t="n">
        <v>43924</v>
      </c>
      <c r="C2516" s="1" t="n">
        <v>45212</v>
      </c>
      <c r="D2516" t="inlineStr">
        <is>
          <t>VÄSTERNORRLANDS LÄN</t>
        </is>
      </c>
      <c r="E2516" t="inlineStr">
        <is>
          <t>ÖRNSKÖLDSVIK</t>
        </is>
      </c>
      <c r="G2516" t="n">
        <v>7.7</v>
      </c>
      <c r="H2516" t="n">
        <v>0</v>
      </c>
      <c r="I2516" t="n">
        <v>0</v>
      </c>
      <c r="J2516" t="n">
        <v>0</v>
      </c>
      <c r="K2516" t="n">
        <v>0</v>
      </c>
      <c r="L2516" t="n">
        <v>0</v>
      </c>
      <c r="M2516" t="n">
        <v>0</v>
      </c>
      <c r="N2516" t="n">
        <v>0</v>
      </c>
      <c r="O2516" t="n">
        <v>0</v>
      </c>
      <c r="P2516" t="n">
        <v>0</v>
      </c>
      <c r="Q2516" t="n">
        <v>0</v>
      </c>
      <c r="R2516" s="2" t="inlineStr"/>
    </row>
    <row r="2517" ht="15" customHeight="1">
      <c r="A2517" t="inlineStr">
        <is>
          <t>A 18174-2020</t>
        </is>
      </c>
      <c r="B2517" s="1" t="n">
        <v>43924</v>
      </c>
      <c r="C2517" s="1" t="n">
        <v>45212</v>
      </c>
      <c r="D2517" t="inlineStr">
        <is>
          <t>VÄSTERNORRLANDS LÄN</t>
        </is>
      </c>
      <c r="E2517" t="inlineStr">
        <is>
          <t>HÄRNÖSAND</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17822-2020</t>
        </is>
      </c>
      <c r="B2518" s="1" t="n">
        <v>43924</v>
      </c>
      <c r="C2518" s="1" t="n">
        <v>45212</v>
      </c>
      <c r="D2518" t="inlineStr">
        <is>
          <t>VÄSTERNORRLANDS LÄN</t>
        </is>
      </c>
      <c r="E2518" t="inlineStr">
        <is>
          <t>TIMRÅ</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18211-2020</t>
        </is>
      </c>
      <c r="B2519" s="1" t="n">
        <v>43927</v>
      </c>
      <c r="C2519" s="1" t="n">
        <v>45212</v>
      </c>
      <c r="D2519" t="inlineStr">
        <is>
          <t>VÄSTERNORRLANDS LÄN</t>
        </is>
      </c>
      <c r="E2519" t="inlineStr">
        <is>
          <t>TIMRÅ</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18515-2020</t>
        </is>
      </c>
      <c r="B2520" s="1" t="n">
        <v>43927</v>
      </c>
      <c r="C2520" s="1" t="n">
        <v>45212</v>
      </c>
      <c r="D2520" t="inlineStr">
        <is>
          <t>VÄSTERNORRLANDS LÄN</t>
        </is>
      </c>
      <c r="E2520" t="inlineStr">
        <is>
          <t>SOLLEFTEÅ</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18107-2020</t>
        </is>
      </c>
      <c r="B2521" s="1" t="n">
        <v>43927</v>
      </c>
      <c r="C2521" s="1" t="n">
        <v>45212</v>
      </c>
      <c r="D2521" t="inlineStr">
        <is>
          <t>VÄSTERNORRLANDS LÄN</t>
        </is>
      </c>
      <c r="E2521" t="inlineStr">
        <is>
          <t>TIMRÅ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18208-2020</t>
        </is>
      </c>
      <c r="B2522" s="1" t="n">
        <v>43927</v>
      </c>
      <c r="C2522" s="1" t="n">
        <v>45212</v>
      </c>
      <c r="D2522" t="inlineStr">
        <is>
          <t>VÄSTERNORRLANDS LÄN</t>
        </is>
      </c>
      <c r="E2522" t="inlineStr">
        <is>
          <t>TIMRÅ</t>
        </is>
      </c>
      <c r="G2522" t="n">
        <v>8.9</v>
      </c>
      <c r="H2522" t="n">
        <v>0</v>
      </c>
      <c r="I2522" t="n">
        <v>0</v>
      </c>
      <c r="J2522" t="n">
        <v>0</v>
      </c>
      <c r="K2522" t="n">
        <v>0</v>
      </c>
      <c r="L2522" t="n">
        <v>0</v>
      </c>
      <c r="M2522" t="n">
        <v>0</v>
      </c>
      <c r="N2522" t="n">
        <v>0</v>
      </c>
      <c r="O2522" t="n">
        <v>0</v>
      </c>
      <c r="P2522" t="n">
        <v>0</v>
      </c>
      <c r="Q2522" t="n">
        <v>0</v>
      </c>
      <c r="R2522" s="2" t="inlineStr"/>
    </row>
    <row r="2523" ht="15" customHeight="1">
      <c r="A2523" t="inlineStr">
        <is>
          <t>A 18207-2020</t>
        </is>
      </c>
      <c r="B2523" s="1" t="n">
        <v>43927</v>
      </c>
      <c r="C2523" s="1" t="n">
        <v>45212</v>
      </c>
      <c r="D2523" t="inlineStr">
        <is>
          <t>VÄSTERNORRLANDS LÄN</t>
        </is>
      </c>
      <c r="E2523" t="inlineStr">
        <is>
          <t>HÄRNÖSAND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18628-2020</t>
        </is>
      </c>
      <c r="B2524" s="1" t="n">
        <v>43928</v>
      </c>
      <c r="C2524" s="1" t="n">
        <v>45212</v>
      </c>
      <c r="D2524" t="inlineStr">
        <is>
          <t>VÄSTERNORRLANDS LÄN</t>
        </is>
      </c>
      <c r="E2524" t="inlineStr">
        <is>
          <t>ÖRNSKÖLDSVIK</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18402-2020</t>
        </is>
      </c>
      <c r="B2525" s="1" t="n">
        <v>43928</v>
      </c>
      <c r="C2525" s="1" t="n">
        <v>45212</v>
      </c>
      <c r="D2525" t="inlineStr">
        <is>
          <t>VÄSTERNORRLANDS LÄN</t>
        </is>
      </c>
      <c r="E2525" t="inlineStr">
        <is>
          <t>SOLLEFTEÅ</t>
        </is>
      </c>
      <c r="F2525" t="inlineStr">
        <is>
          <t>Kyrkan</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18627-2020</t>
        </is>
      </c>
      <c r="B2526" s="1" t="n">
        <v>43928</v>
      </c>
      <c r="C2526" s="1" t="n">
        <v>45212</v>
      </c>
      <c r="D2526" t="inlineStr">
        <is>
          <t>VÄSTERNORRLANDS LÄN</t>
        </is>
      </c>
      <c r="E2526" t="inlineStr">
        <is>
          <t>ÖRNSKÖLDSVIK</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18941-2020</t>
        </is>
      </c>
      <c r="B2527" s="1" t="n">
        <v>43935</v>
      </c>
      <c r="C2527" s="1" t="n">
        <v>45212</v>
      </c>
      <c r="D2527" t="inlineStr">
        <is>
          <t>VÄSTERNORRLANDS LÄN</t>
        </is>
      </c>
      <c r="E2527" t="inlineStr">
        <is>
          <t>ÖRNSKÖLDSVIK</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18977-2020</t>
        </is>
      </c>
      <c r="B2528" s="1" t="n">
        <v>43935</v>
      </c>
      <c r="C2528" s="1" t="n">
        <v>45212</v>
      </c>
      <c r="D2528" t="inlineStr">
        <is>
          <t>VÄSTERNORRLANDS LÄN</t>
        </is>
      </c>
      <c r="E2528" t="inlineStr">
        <is>
          <t>ÖRNSKÖLDSVIK</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19000-2020</t>
        </is>
      </c>
      <c r="B2529" s="1" t="n">
        <v>43935</v>
      </c>
      <c r="C2529" s="1" t="n">
        <v>45212</v>
      </c>
      <c r="D2529" t="inlineStr">
        <is>
          <t>VÄSTERNORRLANDS LÄN</t>
        </is>
      </c>
      <c r="E2529" t="inlineStr">
        <is>
          <t>KRAMFORS</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19074-2020</t>
        </is>
      </c>
      <c r="B2530" s="1" t="n">
        <v>43936</v>
      </c>
      <c r="C2530" s="1" t="n">
        <v>45212</v>
      </c>
      <c r="D2530" t="inlineStr">
        <is>
          <t>VÄSTERNORRLANDS LÄN</t>
        </is>
      </c>
      <c r="E2530" t="inlineStr">
        <is>
          <t>SUNDSVALL</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19125-2020</t>
        </is>
      </c>
      <c r="B2531" s="1" t="n">
        <v>43936</v>
      </c>
      <c r="C2531" s="1" t="n">
        <v>45212</v>
      </c>
      <c r="D2531" t="inlineStr">
        <is>
          <t>VÄSTERNORRLANDS LÄN</t>
        </is>
      </c>
      <c r="E2531" t="inlineStr">
        <is>
          <t>ÅNGE</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19025-2020</t>
        </is>
      </c>
      <c r="B2532" s="1" t="n">
        <v>43936</v>
      </c>
      <c r="C2532" s="1" t="n">
        <v>45212</v>
      </c>
      <c r="D2532" t="inlineStr">
        <is>
          <t>VÄSTERNORRLANDS LÄN</t>
        </is>
      </c>
      <c r="E2532" t="inlineStr">
        <is>
          <t>ÖRNSKÖLDSVIK</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19164-2020</t>
        </is>
      </c>
      <c r="B2533" s="1" t="n">
        <v>43936</v>
      </c>
      <c r="C2533" s="1" t="n">
        <v>45212</v>
      </c>
      <c r="D2533" t="inlineStr">
        <is>
          <t>VÄSTERNORRLANDS LÄN</t>
        </is>
      </c>
      <c r="E2533" t="inlineStr">
        <is>
          <t>KRAMFORS</t>
        </is>
      </c>
      <c r="G2533" t="n">
        <v>4.8</v>
      </c>
      <c r="H2533" t="n">
        <v>0</v>
      </c>
      <c r="I2533" t="n">
        <v>0</v>
      </c>
      <c r="J2533" t="n">
        <v>0</v>
      </c>
      <c r="K2533" t="n">
        <v>0</v>
      </c>
      <c r="L2533" t="n">
        <v>0</v>
      </c>
      <c r="M2533" t="n">
        <v>0</v>
      </c>
      <c r="N2533" t="n">
        <v>0</v>
      </c>
      <c r="O2533" t="n">
        <v>0</v>
      </c>
      <c r="P2533" t="n">
        <v>0</v>
      </c>
      <c r="Q2533" t="n">
        <v>0</v>
      </c>
      <c r="R2533" s="2" t="inlineStr"/>
    </row>
    <row r="2534" ht="15" customHeight="1">
      <c r="A2534" t="inlineStr">
        <is>
          <t>A 19034-2020</t>
        </is>
      </c>
      <c r="B2534" s="1" t="n">
        <v>43936</v>
      </c>
      <c r="C2534" s="1" t="n">
        <v>45212</v>
      </c>
      <c r="D2534" t="inlineStr">
        <is>
          <t>VÄSTERNORRLANDS LÄN</t>
        </is>
      </c>
      <c r="E2534" t="inlineStr">
        <is>
          <t>SUNDSVALL</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19765-2020</t>
        </is>
      </c>
      <c r="B2535" s="1" t="n">
        <v>43937</v>
      </c>
      <c r="C2535" s="1" t="n">
        <v>45212</v>
      </c>
      <c r="D2535" t="inlineStr">
        <is>
          <t>VÄSTERNORRLANDS LÄN</t>
        </is>
      </c>
      <c r="E2535" t="inlineStr">
        <is>
          <t>TIMRÅ</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19789-2020</t>
        </is>
      </c>
      <c r="B2536" s="1" t="n">
        <v>43937</v>
      </c>
      <c r="C2536" s="1" t="n">
        <v>45212</v>
      </c>
      <c r="D2536" t="inlineStr">
        <is>
          <t>VÄSTERNORRLANDS LÄN</t>
        </is>
      </c>
      <c r="E2536" t="inlineStr">
        <is>
          <t>TIMRÅ</t>
        </is>
      </c>
      <c r="G2536" t="n">
        <v>0.3</v>
      </c>
      <c r="H2536" t="n">
        <v>0</v>
      </c>
      <c r="I2536" t="n">
        <v>0</v>
      </c>
      <c r="J2536" t="n">
        <v>0</v>
      </c>
      <c r="K2536" t="n">
        <v>0</v>
      </c>
      <c r="L2536" t="n">
        <v>0</v>
      </c>
      <c r="M2536" t="n">
        <v>0</v>
      </c>
      <c r="N2536" t="n">
        <v>0</v>
      </c>
      <c r="O2536" t="n">
        <v>0</v>
      </c>
      <c r="P2536" t="n">
        <v>0</v>
      </c>
      <c r="Q2536" t="n">
        <v>0</v>
      </c>
      <c r="R2536" s="2" t="inlineStr"/>
    </row>
    <row r="2537" ht="15" customHeight="1">
      <c r="A2537" t="inlineStr">
        <is>
          <t>A 19311-2020</t>
        </is>
      </c>
      <c r="B2537" s="1" t="n">
        <v>43937</v>
      </c>
      <c r="C2537" s="1" t="n">
        <v>45212</v>
      </c>
      <c r="D2537" t="inlineStr">
        <is>
          <t>VÄSTERNORRLANDS LÄN</t>
        </is>
      </c>
      <c r="E2537" t="inlineStr">
        <is>
          <t>TIMRÅ</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19764-2020</t>
        </is>
      </c>
      <c r="B2538" s="1" t="n">
        <v>43937</v>
      </c>
      <c r="C2538" s="1" t="n">
        <v>45212</v>
      </c>
      <c r="D2538" t="inlineStr">
        <is>
          <t>VÄSTERNORRLANDS LÄN</t>
        </is>
      </c>
      <c r="E2538" t="inlineStr">
        <is>
          <t>TIMRÅ</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19785-2020</t>
        </is>
      </c>
      <c r="B2539" s="1" t="n">
        <v>43937</v>
      </c>
      <c r="C2539" s="1" t="n">
        <v>45212</v>
      </c>
      <c r="D2539" t="inlineStr">
        <is>
          <t>VÄSTERNORRLANDS LÄN</t>
        </is>
      </c>
      <c r="E2539" t="inlineStr">
        <is>
          <t>TIMRÅ</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19796-2020</t>
        </is>
      </c>
      <c r="B2540" s="1" t="n">
        <v>43937</v>
      </c>
      <c r="C2540" s="1" t="n">
        <v>45212</v>
      </c>
      <c r="D2540" t="inlineStr">
        <is>
          <t>VÄSTERNORRLANDS LÄN</t>
        </is>
      </c>
      <c r="E2540" t="inlineStr">
        <is>
          <t>TIMRÅ</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19809-2020</t>
        </is>
      </c>
      <c r="B2541" s="1" t="n">
        <v>43937</v>
      </c>
      <c r="C2541" s="1" t="n">
        <v>45212</v>
      </c>
      <c r="D2541" t="inlineStr">
        <is>
          <t>VÄSTERNORRLANDS LÄN</t>
        </is>
      </c>
      <c r="E2541" t="inlineStr">
        <is>
          <t>TIMRÅ</t>
        </is>
      </c>
      <c r="G2541" t="n">
        <v>4.5</v>
      </c>
      <c r="H2541" t="n">
        <v>0</v>
      </c>
      <c r="I2541" t="n">
        <v>0</v>
      </c>
      <c r="J2541" t="n">
        <v>0</v>
      </c>
      <c r="K2541" t="n">
        <v>0</v>
      </c>
      <c r="L2541" t="n">
        <v>0</v>
      </c>
      <c r="M2541" t="n">
        <v>0</v>
      </c>
      <c r="N2541" t="n">
        <v>0</v>
      </c>
      <c r="O2541" t="n">
        <v>0</v>
      </c>
      <c r="P2541" t="n">
        <v>0</v>
      </c>
      <c r="Q2541" t="n">
        <v>0</v>
      </c>
      <c r="R2541" s="2" t="inlineStr"/>
    </row>
    <row r="2542" ht="15" customHeight="1">
      <c r="A2542" t="inlineStr">
        <is>
          <t>A 19708-2020</t>
        </is>
      </c>
      <c r="B2542" s="1" t="n">
        <v>43937</v>
      </c>
      <c r="C2542" s="1" t="n">
        <v>45212</v>
      </c>
      <c r="D2542" t="inlineStr">
        <is>
          <t>VÄSTERNORRLANDS LÄN</t>
        </is>
      </c>
      <c r="E2542" t="inlineStr">
        <is>
          <t>KRAMFORS</t>
        </is>
      </c>
      <c r="F2542" t="inlineStr">
        <is>
          <t>Kyrkan</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19769-2020</t>
        </is>
      </c>
      <c r="B2543" s="1" t="n">
        <v>43937</v>
      </c>
      <c r="C2543" s="1" t="n">
        <v>45212</v>
      </c>
      <c r="D2543" t="inlineStr">
        <is>
          <t>VÄSTERNORRLANDS LÄN</t>
        </is>
      </c>
      <c r="E2543" t="inlineStr">
        <is>
          <t>TIMRÅ</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19792-2020</t>
        </is>
      </c>
      <c r="B2544" s="1" t="n">
        <v>43937</v>
      </c>
      <c r="C2544" s="1" t="n">
        <v>45212</v>
      </c>
      <c r="D2544" t="inlineStr">
        <is>
          <t>VÄSTERNORRLANDS LÄN</t>
        </is>
      </c>
      <c r="E2544" t="inlineStr">
        <is>
          <t>TIMRÅ</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19761-2020</t>
        </is>
      </c>
      <c r="B2545" s="1" t="n">
        <v>43937</v>
      </c>
      <c r="C2545" s="1" t="n">
        <v>45212</v>
      </c>
      <c r="D2545" t="inlineStr">
        <is>
          <t>VÄSTERNORRLANDS LÄN</t>
        </is>
      </c>
      <c r="E2545" t="inlineStr">
        <is>
          <t>TIMRÅ</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19774-2020</t>
        </is>
      </c>
      <c r="B2546" s="1" t="n">
        <v>43937</v>
      </c>
      <c r="C2546" s="1" t="n">
        <v>45212</v>
      </c>
      <c r="D2546" t="inlineStr">
        <is>
          <t>VÄSTERNORRLANDS LÄN</t>
        </is>
      </c>
      <c r="E2546" t="inlineStr">
        <is>
          <t>TIMRÅ</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19794-2020</t>
        </is>
      </c>
      <c r="B2547" s="1" t="n">
        <v>43937</v>
      </c>
      <c r="C2547" s="1" t="n">
        <v>45212</v>
      </c>
      <c r="D2547" t="inlineStr">
        <is>
          <t>VÄSTERNORRLANDS LÄN</t>
        </is>
      </c>
      <c r="E2547" t="inlineStr">
        <is>
          <t>TIMRÅ</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19807-2020</t>
        </is>
      </c>
      <c r="B2548" s="1" t="n">
        <v>43937</v>
      </c>
      <c r="C2548" s="1" t="n">
        <v>45212</v>
      </c>
      <c r="D2548" t="inlineStr">
        <is>
          <t>VÄSTERNORRLANDS LÄN</t>
        </is>
      </c>
      <c r="E2548" t="inlineStr">
        <is>
          <t>TIMRÅ</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19533-2020</t>
        </is>
      </c>
      <c r="B2549" s="1" t="n">
        <v>43938</v>
      </c>
      <c r="C2549" s="1" t="n">
        <v>45212</v>
      </c>
      <c r="D2549" t="inlineStr">
        <is>
          <t>VÄSTERNORRLANDS LÄN</t>
        </is>
      </c>
      <c r="E2549" t="inlineStr">
        <is>
          <t>ÖRNSKÖLDSVIK</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19619-2020</t>
        </is>
      </c>
      <c r="B2550" s="1" t="n">
        <v>43941</v>
      </c>
      <c r="C2550" s="1" t="n">
        <v>45212</v>
      </c>
      <c r="D2550" t="inlineStr">
        <is>
          <t>VÄSTERNORRLANDS LÄN</t>
        </is>
      </c>
      <c r="E2550" t="inlineStr">
        <is>
          <t>ÅNGE</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19726-2020</t>
        </is>
      </c>
      <c r="B2551" s="1" t="n">
        <v>43941</v>
      </c>
      <c r="C2551" s="1" t="n">
        <v>45212</v>
      </c>
      <c r="D2551" t="inlineStr">
        <is>
          <t>VÄSTERNORRLANDS LÄN</t>
        </is>
      </c>
      <c r="E2551" t="inlineStr">
        <is>
          <t>SUNDSVALL</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19724-2020</t>
        </is>
      </c>
      <c r="B2552" s="1" t="n">
        <v>43941</v>
      </c>
      <c r="C2552" s="1" t="n">
        <v>45212</v>
      </c>
      <c r="D2552" t="inlineStr">
        <is>
          <t>VÄSTERNORRLANDS LÄN</t>
        </is>
      </c>
      <c r="E2552" t="inlineStr">
        <is>
          <t>SUNDSVALL</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20079-2020</t>
        </is>
      </c>
      <c r="B2553" s="1" t="n">
        <v>43943</v>
      </c>
      <c r="C2553" s="1" t="n">
        <v>45212</v>
      </c>
      <c r="D2553" t="inlineStr">
        <is>
          <t>VÄSTERNORRLANDS LÄN</t>
        </is>
      </c>
      <c r="E2553" t="inlineStr">
        <is>
          <t>ÅNGE</t>
        </is>
      </c>
      <c r="F2553" t="inlineStr">
        <is>
          <t>SCA</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20090-2020</t>
        </is>
      </c>
      <c r="B2554" s="1" t="n">
        <v>43943</v>
      </c>
      <c r="C2554" s="1" t="n">
        <v>45212</v>
      </c>
      <c r="D2554" t="inlineStr">
        <is>
          <t>VÄSTERNORRLANDS LÄN</t>
        </is>
      </c>
      <c r="E2554" t="inlineStr">
        <is>
          <t>SUNDSVALL</t>
        </is>
      </c>
      <c r="F2554" t="inlineStr">
        <is>
          <t>SCA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20082-2020</t>
        </is>
      </c>
      <c r="B2555" s="1" t="n">
        <v>43943</v>
      </c>
      <c r="C2555" s="1" t="n">
        <v>45212</v>
      </c>
      <c r="D2555" t="inlineStr">
        <is>
          <t>VÄSTERNORRLANDS LÄN</t>
        </is>
      </c>
      <c r="E2555" t="inlineStr">
        <is>
          <t>SUNDSVALL</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20211-2020</t>
        </is>
      </c>
      <c r="B2556" s="1" t="n">
        <v>43944</v>
      </c>
      <c r="C2556" s="1" t="n">
        <v>45212</v>
      </c>
      <c r="D2556" t="inlineStr">
        <is>
          <t>VÄSTERNORRLANDS LÄN</t>
        </is>
      </c>
      <c r="E2556" t="inlineStr">
        <is>
          <t>ÅNGE</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20467-2020</t>
        </is>
      </c>
      <c r="B2557" s="1" t="n">
        <v>43944</v>
      </c>
      <c r="C2557" s="1" t="n">
        <v>45212</v>
      </c>
      <c r="D2557" t="inlineStr">
        <is>
          <t>VÄSTERNORRLANDS LÄN</t>
        </is>
      </c>
      <c r="E2557" t="inlineStr">
        <is>
          <t>ÖRNSKÖLDSVIK</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20164-2020</t>
        </is>
      </c>
      <c r="B2558" s="1" t="n">
        <v>43944</v>
      </c>
      <c r="C2558" s="1" t="n">
        <v>45212</v>
      </c>
      <c r="D2558" t="inlineStr">
        <is>
          <t>VÄSTERNORRLANDS LÄN</t>
        </is>
      </c>
      <c r="E2558" t="inlineStr">
        <is>
          <t>SOLLEFTEÅ</t>
        </is>
      </c>
      <c r="F2558" t="inlineStr">
        <is>
          <t>Holmen skog AB</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20192-2020</t>
        </is>
      </c>
      <c r="B2559" s="1" t="n">
        <v>43944</v>
      </c>
      <c r="C2559" s="1" t="n">
        <v>45212</v>
      </c>
      <c r="D2559" t="inlineStr">
        <is>
          <t>VÄSTERNORRLANDS LÄN</t>
        </is>
      </c>
      <c r="E2559" t="inlineStr">
        <is>
          <t>ÅNGE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20181-2020</t>
        </is>
      </c>
      <c r="B2560" s="1" t="n">
        <v>43944</v>
      </c>
      <c r="C2560" s="1" t="n">
        <v>45212</v>
      </c>
      <c r="D2560" t="inlineStr">
        <is>
          <t>VÄSTERNORRLANDS LÄN</t>
        </is>
      </c>
      <c r="E2560" t="inlineStr">
        <is>
          <t>HÄRNÖSAND</t>
        </is>
      </c>
      <c r="F2560" t="inlineStr">
        <is>
          <t>Kyrkan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20314-2020</t>
        </is>
      </c>
      <c r="B2561" s="1" t="n">
        <v>43945</v>
      </c>
      <c r="C2561" s="1" t="n">
        <v>45212</v>
      </c>
      <c r="D2561" t="inlineStr">
        <is>
          <t>VÄSTERNORRLANDS LÄN</t>
        </is>
      </c>
      <c r="E2561" t="inlineStr">
        <is>
          <t>ÖRNSKÖLDSVIK</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20419-2020</t>
        </is>
      </c>
      <c r="B2562" s="1" t="n">
        <v>43945</v>
      </c>
      <c r="C2562" s="1" t="n">
        <v>45212</v>
      </c>
      <c r="D2562" t="inlineStr">
        <is>
          <t>VÄSTERNORRLANDS LÄN</t>
        </is>
      </c>
      <c r="E2562" t="inlineStr">
        <is>
          <t>SOLLEFTEÅ</t>
        </is>
      </c>
      <c r="F2562" t="inlineStr">
        <is>
          <t>SCA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20849-2020</t>
        </is>
      </c>
      <c r="B2563" s="1" t="n">
        <v>43945</v>
      </c>
      <c r="C2563" s="1" t="n">
        <v>45212</v>
      </c>
      <c r="D2563" t="inlineStr">
        <is>
          <t>VÄSTERNORRLANDS LÄN</t>
        </is>
      </c>
      <c r="E2563" t="inlineStr">
        <is>
          <t>ÖRNSKÖLDSVIK</t>
        </is>
      </c>
      <c r="G2563" t="n">
        <v>8.9</v>
      </c>
      <c r="H2563" t="n">
        <v>0</v>
      </c>
      <c r="I2563" t="n">
        <v>0</v>
      </c>
      <c r="J2563" t="n">
        <v>0</v>
      </c>
      <c r="K2563" t="n">
        <v>0</v>
      </c>
      <c r="L2563" t="n">
        <v>0</v>
      </c>
      <c r="M2563" t="n">
        <v>0</v>
      </c>
      <c r="N2563" t="n">
        <v>0</v>
      </c>
      <c r="O2563" t="n">
        <v>0</v>
      </c>
      <c r="P2563" t="n">
        <v>0</v>
      </c>
      <c r="Q2563" t="n">
        <v>0</v>
      </c>
      <c r="R2563" s="2" t="inlineStr"/>
    </row>
    <row r="2564" ht="15" customHeight="1">
      <c r="A2564" t="inlineStr">
        <is>
          <t>A 20623-2020</t>
        </is>
      </c>
      <c r="B2564" s="1" t="n">
        <v>43948</v>
      </c>
      <c r="C2564" s="1" t="n">
        <v>45212</v>
      </c>
      <c r="D2564" t="inlineStr">
        <is>
          <t>VÄSTERNORRLANDS LÄN</t>
        </is>
      </c>
      <c r="E2564" t="inlineStr">
        <is>
          <t>SUNDSVALL</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20861-2020</t>
        </is>
      </c>
      <c r="B2565" s="1" t="n">
        <v>43948</v>
      </c>
      <c r="C2565" s="1" t="n">
        <v>45212</v>
      </c>
      <c r="D2565" t="inlineStr">
        <is>
          <t>VÄSTERNORRLANDS LÄN</t>
        </is>
      </c>
      <c r="E2565" t="inlineStr">
        <is>
          <t>SOLLEFTEÅ</t>
        </is>
      </c>
      <c r="G2565" t="n">
        <v>2.9</v>
      </c>
      <c r="H2565" t="n">
        <v>0</v>
      </c>
      <c r="I2565" t="n">
        <v>0</v>
      </c>
      <c r="J2565" t="n">
        <v>0</v>
      </c>
      <c r="K2565" t="n">
        <v>0</v>
      </c>
      <c r="L2565" t="n">
        <v>0</v>
      </c>
      <c r="M2565" t="n">
        <v>0</v>
      </c>
      <c r="N2565" t="n">
        <v>0</v>
      </c>
      <c r="O2565" t="n">
        <v>0</v>
      </c>
      <c r="P2565" t="n">
        <v>0</v>
      </c>
      <c r="Q2565" t="n">
        <v>0</v>
      </c>
      <c r="R2565" s="2" t="inlineStr"/>
    </row>
    <row r="2566" ht="15" customHeight="1">
      <c r="A2566" t="inlineStr">
        <is>
          <t>A 20669-2020</t>
        </is>
      </c>
      <c r="B2566" s="1" t="n">
        <v>43949</v>
      </c>
      <c r="C2566" s="1" t="n">
        <v>45212</v>
      </c>
      <c r="D2566" t="inlineStr">
        <is>
          <t>VÄSTERNORRLANDS LÄN</t>
        </is>
      </c>
      <c r="E2566" t="inlineStr">
        <is>
          <t>ÖRNSKÖLDSVIK</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20820-2020</t>
        </is>
      </c>
      <c r="B2567" s="1" t="n">
        <v>43949</v>
      </c>
      <c r="C2567" s="1" t="n">
        <v>45212</v>
      </c>
      <c r="D2567" t="inlineStr">
        <is>
          <t>VÄSTERNORRLANDS LÄN</t>
        </is>
      </c>
      <c r="E2567" t="inlineStr">
        <is>
          <t>ÅNGE</t>
        </is>
      </c>
      <c r="F2567" t="inlineStr">
        <is>
          <t>SCA</t>
        </is>
      </c>
      <c r="G2567" t="n">
        <v>10.3</v>
      </c>
      <c r="H2567" t="n">
        <v>0</v>
      </c>
      <c r="I2567" t="n">
        <v>0</v>
      </c>
      <c r="J2567" t="n">
        <v>0</v>
      </c>
      <c r="K2567" t="n">
        <v>0</v>
      </c>
      <c r="L2567" t="n">
        <v>0</v>
      </c>
      <c r="M2567" t="n">
        <v>0</v>
      </c>
      <c r="N2567" t="n">
        <v>0</v>
      </c>
      <c r="O2567" t="n">
        <v>0</v>
      </c>
      <c r="P2567" t="n">
        <v>0</v>
      </c>
      <c r="Q2567" t="n">
        <v>0</v>
      </c>
      <c r="R2567" s="2" t="inlineStr"/>
    </row>
    <row r="2568" ht="15" customHeight="1">
      <c r="A2568" t="inlineStr">
        <is>
          <t>A 21021-2020</t>
        </is>
      </c>
      <c r="B2568" s="1" t="n">
        <v>43950</v>
      </c>
      <c r="C2568" s="1" t="n">
        <v>45212</v>
      </c>
      <c r="D2568" t="inlineStr">
        <is>
          <t>VÄSTERNORRLANDS LÄN</t>
        </is>
      </c>
      <c r="E2568" t="inlineStr">
        <is>
          <t>KRAMFORS</t>
        </is>
      </c>
      <c r="F2568" t="inlineStr">
        <is>
          <t>SCA</t>
        </is>
      </c>
      <c r="G2568" t="n">
        <v>9.300000000000001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21022-2020</t>
        </is>
      </c>
      <c r="B2569" s="1" t="n">
        <v>43950</v>
      </c>
      <c r="C2569" s="1" t="n">
        <v>45212</v>
      </c>
      <c r="D2569" t="inlineStr">
        <is>
          <t>VÄSTERNORRLANDS LÄN</t>
        </is>
      </c>
      <c r="E2569" t="inlineStr">
        <is>
          <t>SOLLEFTEÅ</t>
        </is>
      </c>
      <c r="F2569" t="inlineStr">
        <is>
          <t>SCA</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21097-2020</t>
        </is>
      </c>
      <c r="B2570" s="1" t="n">
        <v>43950</v>
      </c>
      <c r="C2570" s="1" t="n">
        <v>45212</v>
      </c>
      <c r="D2570" t="inlineStr">
        <is>
          <t>VÄSTERNORRLANDS LÄN</t>
        </is>
      </c>
      <c r="E2570" t="inlineStr">
        <is>
          <t>SOLLEFTEÅ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21020-2020</t>
        </is>
      </c>
      <c r="B2571" s="1" t="n">
        <v>43950</v>
      </c>
      <c r="C2571" s="1" t="n">
        <v>45212</v>
      </c>
      <c r="D2571" t="inlineStr">
        <is>
          <t>VÄSTERNORRLANDS LÄN</t>
        </is>
      </c>
      <c r="E2571" t="inlineStr">
        <is>
          <t>SOLLEFTEÅ</t>
        </is>
      </c>
      <c r="F2571" t="inlineStr">
        <is>
          <t>SCA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21102-2020</t>
        </is>
      </c>
      <c r="B2572" s="1" t="n">
        <v>43951</v>
      </c>
      <c r="C2572" s="1" t="n">
        <v>45212</v>
      </c>
      <c r="D2572" t="inlineStr">
        <is>
          <t>VÄSTERNORRLANDS LÄN</t>
        </is>
      </c>
      <c r="E2572" t="inlineStr">
        <is>
          <t>HÄRNÖSAND</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21199-2020</t>
        </is>
      </c>
      <c r="B2573" s="1" t="n">
        <v>43951</v>
      </c>
      <c r="C2573" s="1" t="n">
        <v>45212</v>
      </c>
      <c r="D2573" t="inlineStr">
        <is>
          <t>VÄSTERNORRLANDS LÄN</t>
        </is>
      </c>
      <c r="E2573" t="inlineStr">
        <is>
          <t>ÖRNSKÖLDSVIK</t>
        </is>
      </c>
      <c r="F2573" t="inlineStr">
        <is>
          <t>Holmen skog AB</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21207-2020</t>
        </is>
      </c>
      <c r="B2574" s="1" t="n">
        <v>43951</v>
      </c>
      <c r="C2574" s="1" t="n">
        <v>45212</v>
      </c>
      <c r="D2574" t="inlineStr">
        <is>
          <t>VÄSTERNORRLANDS LÄN</t>
        </is>
      </c>
      <c r="E2574" t="inlineStr">
        <is>
          <t>ÅNGE</t>
        </is>
      </c>
      <c r="F2574" t="inlineStr">
        <is>
          <t>SCA</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21503-2020</t>
        </is>
      </c>
      <c r="B2575" s="1" t="n">
        <v>43951</v>
      </c>
      <c r="C2575" s="1" t="n">
        <v>45212</v>
      </c>
      <c r="D2575" t="inlineStr">
        <is>
          <t>VÄSTERNORRLANDS LÄN</t>
        </is>
      </c>
      <c r="E2575" t="inlineStr">
        <is>
          <t>HÄRNÖSAND</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21501-2020</t>
        </is>
      </c>
      <c r="B2576" s="1" t="n">
        <v>43951</v>
      </c>
      <c r="C2576" s="1" t="n">
        <v>45212</v>
      </c>
      <c r="D2576" t="inlineStr">
        <is>
          <t>VÄSTERNORRLANDS LÄN</t>
        </is>
      </c>
      <c r="E2576" t="inlineStr">
        <is>
          <t>HÄRNÖSAND</t>
        </is>
      </c>
      <c r="G2576" t="n">
        <v>6.4</v>
      </c>
      <c r="H2576" t="n">
        <v>0</v>
      </c>
      <c r="I2576" t="n">
        <v>0</v>
      </c>
      <c r="J2576" t="n">
        <v>0</v>
      </c>
      <c r="K2576" t="n">
        <v>0</v>
      </c>
      <c r="L2576" t="n">
        <v>0</v>
      </c>
      <c r="M2576" t="n">
        <v>0</v>
      </c>
      <c r="N2576" t="n">
        <v>0</v>
      </c>
      <c r="O2576" t="n">
        <v>0</v>
      </c>
      <c r="P2576" t="n">
        <v>0</v>
      </c>
      <c r="Q2576" t="n">
        <v>0</v>
      </c>
      <c r="R2576" s="2" t="inlineStr"/>
    </row>
    <row r="2577" ht="15" customHeight="1">
      <c r="A2577" t="inlineStr">
        <is>
          <t>A 21048-2020</t>
        </is>
      </c>
      <c r="B2577" s="1" t="n">
        <v>43951</v>
      </c>
      <c r="C2577" s="1" t="n">
        <v>45212</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21210-2020</t>
        </is>
      </c>
      <c r="B2578" s="1" t="n">
        <v>43951</v>
      </c>
      <c r="C2578" s="1" t="n">
        <v>45212</v>
      </c>
      <c r="D2578" t="inlineStr">
        <is>
          <t>VÄSTERNORRLANDS LÄN</t>
        </is>
      </c>
      <c r="E2578" t="inlineStr">
        <is>
          <t>TIMRÅ</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21874-2020</t>
        </is>
      </c>
      <c r="B2579" s="1" t="n">
        <v>43955</v>
      </c>
      <c r="C2579" s="1" t="n">
        <v>45212</v>
      </c>
      <c r="D2579" t="inlineStr">
        <is>
          <t>VÄSTERNORRLANDS LÄN</t>
        </is>
      </c>
      <c r="E2579" t="inlineStr">
        <is>
          <t>TIMRÅ</t>
        </is>
      </c>
      <c r="G2579" t="n">
        <v>7.5</v>
      </c>
      <c r="H2579" t="n">
        <v>0</v>
      </c>
      <c r="I2579" t="n">
        <v>0</v>
      </c>
      <c r="J2579" t="n">
        <v>0</v>
      </c>
      <c r="K2579" t="n">
        <v>0</v>
      </c>
      <c r="L2579" t="n">
        <v>0</v>
      </c>
      <c r="M2579" t="n">
        <v>0</v>
      </c>
      <c r="N2579" t="n">
        <v>0</v>
      </c>
      <c r="O2579" t="n">
        <v>0</v>
      </c>
      <c r="P2579" t="n">
        <v>0</v>
      </c>
      <c r="Q2579" t="n">
        <v>0</v>
      </c>
      <c r="R2579" s="2" t="inlineStr"/>
    </row>
    <row r="2580" ht="15" customHeight="1">
      <c r="A2580" t="inlineStr">
        <is>
          <t>A 21411-2020</t>
        </is>
      </c>
      <c r="B2580" s="1" t="n">
        <v>43955</v>
      </c>
      <c r="C2580" s="1" t="n">
        <v>45212</v>
      </c>
      <c r="D2580" t="inlineStr">
        <is>
          <t>VÄSTERNORRLANDS LÄN</t>
        </is>
      </c>
      <c r="E2580" t="inlineStr">
        <is>
          <t>SUNDSVALL</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21488-2020</t>
        </is>
      </c>
      <c r="B2581" s="1" t="n">
        <v>43955</v>
      </c>
      <c r="C2581" s="1" t="n">
        <v>45212</v>
      </c>
      <c r="D2581" t="inlineStr">
        <is>
          <t>VÄSTERNORRLANDS LÄN</t>
        </is>
      </c>
      <c r="E2581" t="inlineStr">
        <is>
          <t>ÖRNSKÖLDSVIK</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22168-2020</t>
        </is>
      </c>
      <c r="B2582" s="1" t="n">
        <v>43955</v>
      </c>
      <c r="C2582" s="1" t="n">
        <v>45212</v>
      </c>
      <c r="D2582" t="inlineStr">
        <is>
          <t>VÄSTERNORRLANDS LÄN</t>
        </is>
      </c>
      <c r="E2582" t="inlineStr">
        <is>
          <t>ÖRNSKÖLDSVIK</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21478-2020</t>
        </is>
      </c>
      <c r="B2583" s="1" t="n">
        <v>43955</v>
      </c>
      <c r="C2583" s="1" t="n">
        <v>45212</v>
      </c>
      <c r="D2583" t="inlineStr">
        <is>
          <t>VÄSTERNORRLANDS LÄN</t>
        </is>
      </c>
      <c r="E2583" t="inlineStr">
        <is>
          <t>ÖRNSKÖLDSVIK</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21598-2020</t>
        </is>
      </c>
      <c r="B2584" s="1" t="n">
        <v>43956</v>
      </c>
      <c r="C2584" s="1" t="n">
        <v>45212</v>
      </c>
      <c r="D2584" t="inlineStr">
        <is>
          <t>VÄSTERNORRLANDS LÄN</t>
        </is>
      </c>
      <c r="E2584" t="inlineStr">
        <is>
          <t>TIMRÅ</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21816-2020</t>
        </is>
      </c>
      <c r="B2585" s="1" t="n">
        <v>43957</v>
      </c>
      <c r="C2585" s="1" t="n">
        <v>45212</v>
      </c>
      <c r="D2585" t="inlineStr">
        <is>
          <t>VÄSTERNORRLANDS LÄN</t>
        </is>
      </c>
      <c r="E2585" t="inlineStr">
        <is>
          <t>ÖRNSKÖLDSVIK</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22369-2020</t>
        </is>
      </c>
      <c r="B2586" s="1" t="n">
        <v>43957</v>
      </c>
      <c r="C2586" s="1" t="n">
        <v>45212</v>
      </c>
      <c r="D2586" t="inlineStr">
        <is>
          <t>VÄSTERNORRLANDS LÄN</t>
        </is>
      </c>
      <c r="E2586" t="inlineStr">
        <is>
          <t>KRAMFORS</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21763-2020</t>
        </is>
      </c>
      <c r="B2587" s="1" t="n">
        <v>43957</v>
      </c>
      <c r="C2587" s="1" t="n">
        <v>45212</v>
      </c>
      <c r="D2587" t="inlineStr">
        <is>
          <t>VÄSTERNORRLANDS LÄN</t>
        </is>
      </c>
      <c r="E2587" t="inlineStr">
        <is>
          <t>ÅNGE</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22280-2020</t>
        </is>
      </c>
      <c r="B2588" s="1" t="n">
        <v>43957</v>
      </c>
      <c r="C2588" s="1" t="n">
        <v>45212</v>
      </c>
      <c r="D2588" t="inlineStr">
        <is>
          <t>VÄSTERNORRLANDS LÄN</t>
        </is>
      </c>
      <c r="E2588" t="inlineStr">
        <is>
          <t>ÖRNSKÖLDSVIK</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22371-2020</t>
        </is>
      </c>
      <c r="B2589" s="1" t="n">
        <v>43957</v>
      </c>
      <c r="C2589" s="1" t="n">
        <v>45212</v>
      </c>
      <c r="D2589" t="inlineStr">
        <is>
          <t>VÄSTERNORRLANDS LÄN</t>
        </is>
      </c>
      <c r="E2589" t="inlineStr">
        <is>
          <t>SOLLEFTEÅ</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21884-2020</t>
        </is>
      </c>
      <c r="B2590" s="1" t="n">
        <v>43958</v>
      </c>
      <c r="C2590" s="1" t="n">
        <v>45212</v>
      </c>
      <c r="D2590" t="inlineStr">
        <is>
          <t>VÄSTERNORRLANDS LÄN</t>
        </is>
      </c>
      <c r="E2590" t="inlineStr">
        <is>
          <t>HÄRNÖSAND</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22459-2020</t>
        </is>
      </c>
      <c r="B2591" s="1" t="n">
        <v>43958</v>
      </c>
      <c r="C2591" s="1" t="n">
        <v>45212</v>
      </c>
      <c r="D2591" t="inlineStr">
        <is>
          <t>VÄSTERNORRLANDS LÄN</t>
        </is>
      </c>
      <c r="E2591" t="inlineStr">
        <is>
          <t>HÄRNÖSAND</t>
        </is>
      </c>
      <c r="G2591" t="n">
        <v>16.8</v>
      </c>
      <c r="H2591" t="n">
        <v>0</v>
      </c>
      <c r="I2591" t="n">
        <v>0</v>
      </c>
      <c r="J2591" t="n">
        <v>0</v>
      </c>
      <c r="K2591" t="n">
        <v>0</v>
      </c>
      <c r="L2591" t="n">
        <v>0</v>
      </c>
      <c r="M2591" t="n">
        <v>0</v>
      </c>
      <c r="N2591" t="n">
        <v>0</v>
      </c>
      <c r="O2591" t="n">
        <v>0</v>
      </c>
      <c r="P2591" t="n">
        <v>0</v>
      </c>
      <c r="Q2591" t="n">
        <v>0</v>
      </c>
      <c r="R2591" s="2" t="inlineStr"/>
    </row>
    <row r="2592" ht="15" customHeight="1">
      <c r="A2592" t="inlineStr">
        <is>
          <t>A 21992-2020</t>
        </is>
      </c>
      <c r="B2592" s="1" t="n">
        <v>43959</v>
      </c>
      <c r="C2592" s="1" t="n">
        <v>45212</v>
      </c>
      <c r="D2592" t="inlineStr">
        <is>
          <t>VÄSTERNORRLANDS LÄN</t>
        </is>
      </c>
      <c r="E2592" t="inlineStr">
        <is>
          <t>ÖRNSKÖLDSVIK</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22039-2020</t>
        </is>
      </c>
      <c r="B2593" s="1" t="n">
        <v>43959</v>
      </c>
      <c r="C2593" s="1" t="n">
        <v>45212</v>
      </c>
      <c r="D2593" t="inlineStr">
        <is>
          <t>VÄSTERNORRLANDS LÄN</t>
        </is>
      </c>
      <c r="E2593" t="inlineStr">
        <is>
          <t>ÅNGE</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22041-2020</t>
        </is>
      </c>
      <c r="B2594" s="1" t="n">
        <v>43959</v>
      </c>
      <c r="C2594" s="1" t="n">
        <v>45212</v>
      </c>
      <c r="D2594" t="inlineStr">
        <is>
          <t>VÄSTERNORRLANDS LÄN</t>
        </is>
      </c>
      <c r="E2594" t="inlineStr">
        <is>
          <t>ÅNGE</t>
        </is>
      </c>
      <c r="G2594" t="n">
        <v>4.5</v>
      </c>
      <c r="H2594" t="n">
        <v>0</v>
      </c>
      <c r="I2594" t="n">
        <v>0</v>
      </c>
      <c r="J2594" t="n">
        <v>0</v>
      </c>
      <c r="K2594" t="n">
        <v>0</v>
      </c>
      <c r="L2594" t="n">
        <v>0</v>
      </c>
      <c r="M2594" t="n">
        <v>0</v>
      </c>
      <c r="N2594" t="n">
        <v>0</v>
      </c>
      <c r="O2594" t="n">
        <v>0</v>
      </c>
      <c r="P2594" t="n">
        <v>0</v>
      </c>
      <c r="Q2594" t="n">
        <v>0</v>
      </c>
      <c r="R2594" s="2" t="inlineStr"/>
    </row>
    <row r="2595" ht="15" customHeight="1">
      <c r="A2595" t="inlineStr">
        <is>
          <t>A 22101-2020</t>
        </is>
      </c>
      <c r="B2595" s="1" t="n">
        <v>43959</v>
      </c>
      <c r="C2595" s="1" t="n">
        <v>45212</v>
      </c>
      <c r="D2595" t="inlineStr">
        <is>
          <t>VÄSTERNORRLANDS LÄN</t>
        </is>
      </c>
      <c r="E2595" t="inlineStr">
        <is>
          <t>SUNDSVALL</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22350-2020</t>
        </is>
      </c>
      <c r="B2596" s="1" t="n">
        <v>43962</v>
      </c>
      <c r="C2596" s="1" t="n">
        <v>45212</v>
      </c>
      <c r="D2596" t="inlineStr">
        <is>
          <t>VÄSTERNORRLANDS LÄN</t>
        </is>
      </c>
      <c r="E2596" t="inlineStr">
        <is>
          <t>ÖRNSKÖLDSVIK</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22731-2020</t>
        </is>
      </c>
      <c r="B2597" s="1" t="n">
        <v>43962</v>
      </c>
      <c r="C2597" s="1" t="n">
        <v>45212</v>
      </c>
      <c r="D2597" t="inlineStr">
        <is>
          <t>VÄSTERNORRLANDS LÄN</t>
        </is>
      </c>
      <c r="E2597" t="inlineStr">
        <is>
          <t>SOLLEFTEÅ</t>
        </is>
      </c>
      <c r="G2597" t="n">
        <v>16.8</v>
      </c>
      <c r="H2597" t="n">
        <v>0</v>
      </c>
      <c r="I2597" t="n">
        <v>0</v>
      </c>
      <c r="J2597" t="n">
        <v>0</v>
      </c>
      <c r="K2597" t="n">
        <v>0</v>
      </c>
      <c r="L2597" t="n">
        <v>0</v>
      </c>
      <c r="M2597" t="n">
        <v>0</v>
      </c>
      <c r="N2597" t="n">
        <v>0</v>
      </c>
      <c r="O2597" t="n">
        <v>0</v>
      </c>
      <c r="P2597" t="n">
        <v>0</v>
      </c>
      <c r="Q2597" t="n">
        <v>0</v>
      </c>
      <c r="R2597" s="2" t="inlineStr"/>
    </row>
    <row r="2598" ht="15" customHeight="1">
      <c r="A2598" t="inlineStr">
        <is>
          <t>A 22410-2020</t>
        </is>
      </c>
      <c r="B2598" s="1" t="n">
        <v>43962</v>
      </c>
      <c r="C2598" s="1" t="n">
        <v>45212</v>
      </c>
      <c r="D2598" t="inlineStr">
        <is>
          <t>VÄSTERNORRLANDS LÄN</t>
        </is>
      </c>
      <c r="E2598" t="inlineStr">
        <is>
          <t>ÖRNSKÖLDSVIK</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22331-2020</t>
        </is>
      </c>
      <c r="B2599" s="1" t="n">
        <v>43962</v>
      </c>
      <c r="C2599" s="1" t="n">
        <v>45212</v>
      </c>
      <c r="D2599" t="inlineStr">
        <is>
          <t>VÄSTERNORRLANDS LÄN</t>
        </is>
      </c>
      <c r="E2599" t="inlineStr">
        <is>
          <t>ÖRNSKÖLDSVIK</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22408-2020</t>
        </is>
      </c>
      <c r="B2600" s="1" t="n">
        <v>43962</v>
      </c>
      <c r="C2600" s="1" t="n">
        <v>45212</v>
      </c>
      <c r="D2600" t="inlineStr">
        <is>
          <t>VÄSTERNORRLANDS LÄN</t>
        </is>
      </c>
      <c r="E2600" t="inlineStr">
        <is>
          <t>HÄRNÖSAND</t>
        </is>
      </c>
      <c r="G2600" t="n">
        <v>16.7</v>
      </c>
      <c r="H2600" t="n">
        <v>0</v>
      </c>
      <c r="I2600" t="n">
        <v>0</v>
      </c>
      <c r="J2600" t="n">
        <v>0</v>
      </c>
      <c r="K2600" t="n">
        <v>0</v>
      </c>
      <c r="L2600" t="n">
        <v>0</v>
      </c>
      <c r="M2600" t="n">
        <v>0</v>
      </c>
      <c r="N2600" t="n">
        <v>0</v>
      </c>
      <c r="O2600" t="n">
        <v>0</v>
      </c>
      <c r="P2600" t="n">
        <v>0</v>
      </c>
      <c r="Q2600" t="n">
        <v>0</v>
      </c>
      <c r="R2600" s="2" t="inlineStr"/>
    </row>
    <row r="2601" ht="15" customHeight="1">
      <c r="A2601" t="inlineStr">
        <is>
          <t>A 22561-2020</t>
        </is>
      </c>
      <c r="B2601" s="1" t="n">
        <v>43963</v>
      </c>
      <c r="C2601" s="1" t="n">
        <v>45212</v>
      </c>
      <c r="D2601" t="inlineStr">
        <is>
          <t>VÄSTERNORRLANDS LÄN</t>
        </is>
      </c>
      <c r="E2601" t="inlineStr">
        <is>
          <t>SOLLEFTEÅ</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22690-2020</t>
        </is>
      </c>
      <c r="B2602" s="1" t="n">
        <v>43963</v>
      </c>
      <c r="C2602" s="1" t="n">
        <v>45212</v>
      </c>
      <c r="D2602" t="inlineStr">
        <is>
          <t>VÄSTERNORRLANDS LÄN</t>
        </is>
      </c>
      <c r="E2602" t="inlineStr">
        <is>
          <t>ÅNGE</t>
        </is>
      </c>
      <c r="F2602" t="inlineStr">
        <is>
          <t>SCA</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21607-2020</t>
        </is>
      </c>
      <c r="B2603" s="1" t="n">
        <v>43963</v>
      </c>
      <c r="C2603" s="1" t="n">
        <v>45212</v>
      </c>
      <c r="D2603" t="inlineStr">
        <is>
          <t>VÄSTERNORRLANDS LÄN</t>
        </is>
      </c>
      <c r="E2603" t="inlineStr">
        <is>
          <t>SOLLEFTEÅ</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22552-2020</t>
        </is>
      </c>
      <c r="B2604" s="1" t="n">
        <v>43963</v>
      </c>
      <c r="C2604" s="1" t="n">
        <v>45212</v>
      </c>
      <c r="D2604" t="inlineStr">
        <is>
          <t>VÄSTERNORRLANDS LÄN</t>
        </is>
      </c>
      <c r="E2604" t="inlineStr">
        <is>
          <t>ÅNGE</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22698-2020</t>
        </is>
      </c>
      <c r="B2605" s="1" t="n">
        <v>43963</v>
      </c>
      <c r="C2605" s="1" t="n">
        <v>45212</v>
      </c>
      <c r="D2605" t="inlineStr">
        <is>
          <t>VÄSTERNORRLANDS LÄN</t>
        </is>
      </c>
      <c r="E2605" t="inlineStr">
        <is>
          <t>KRAMFORS</t>
        </is>
      </c>
      <c r="F2605" t="inlineStr">
        <is>
          <t>SCA</t>
        </is>
      </c>
      <c r="G2605" t="n">
        <v>8.5</v>
      </c>
      <c r="H2605" t="n">
        <v>0</v>
      </c>
      <c r="I2605" t="n">
        <v>0</v>
      </c>
      <c r="J2605" t="n">
        <v>0</v>
      </c>
      <c r="K2605" t="n">
        <v>0</v>
      </c>
      <c r="L2605" t="n">
        <v>0</v>
      </c>
      <c r="M2605" t="n">
        <v>0</v>
      </c>
      <c r="N2605" t="n">
        <v>0</v>
      </c>
      <c r="O2605" t="n">
        <v>0</v>
      </c>
      <c r="P2605" t="n">
        <v>0</v>
      </c>
      <c r="Q2605" t="n">
        <v>0</v>
      </c>
      <c r="R2605" s="2" t="inlineStr"/>
    </row>
    <row r="2606" ht="15" customHeight="1">
      <c r="A2606" t="inlineStr">
        <is>
          <t>A 22829-2020</t>
        </is>
      </c>
      <c r="B2606" s="1" t="n">
        <v>43964</v>
      </c>
      <c r="C2606" s="1" t="n">
        <v>45212</v>
      </c>
      <c r="D2606" t="inlineStr">
        <is>
          <t>VÄSTERNORRLANDS LÄN</t>
        </is>
      </c>
      <c r="E2606" t="inlineStr">
        <is>
          <t>KRAMFORS</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22867-2020</t>
        </is>
      </c>
      <c r="B2607" s="1" t="n">
        <v>43964</v>
      </c>
      <c r="C2607" s="1" t="n">
        <v>45212</v>
      </c>
      <c r="D2607" t="inlineStr">
        <is>
          <t>VÄSTERNORRLANDS LÄN</t>
        </is>
      </c>
      <c r="E2607" t="inlineStr">
        <is>
          <t>ÖRNSKÖLDSVIK</t>
        </is>
      </c>
      <c r="F2607" t="inlineStr">
        <is>
          <t>Holmen skog AB</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22909-2020</t>
        </is>
      </c>
      <c r="B2608" s="1" t="n">
        <v>43964</v>
      </c>
      <c r="C2608" s="1" t="n">
        <v>45212</v>
      </c>
      <c r="D2608" t="inlineStr">
        <is>
          <t>VÄSTERNORRLANDS LÄN</t>
        </is>
      </c>
      <c r="E2608" t="inlineStr">
        <is>
          <t>ÅNGE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22841-2020</t>
        </is>
      </c>
      <c r="B2609" s="1" t="n">
        <v>43964</v>
      </c>
      <c r="C2609" s="1" t="n">
        <v>45212</v>
      </c>
      <c r="D2609" t="inlineStr">
        <is>
          <t>VÄSTERNORRLANDS LÄN</t>
        </is>
      </c>
      <c r="E2609" t="inlineStr">
        <is>
          <t>KRAMFORS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22911-2020</t>
        </is>
      </c>
      <c r="B2610" s="1" t="n">
        <v>43964</v>
      </c>
      <c r="C2610" s="1" t="n">
        <v>45212</v>
      </c>
      <c r="D2610" t="inlineStr">
        <is>
          <t>VÄSTERNORRLANDS LÄN</t>
        </is>
      </c>
      <c r="E2610" t="inlineStr">
        <is>
          <t>ÅNGE</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22907-2020</t>
        </is>
      </c>
      <c r="B2611" s="1" t="n">
        <v>43964</v>
      </c>
      <c r="C2611" s="1" t="n">
        <v>45212</v>
      </c>
      <c r="D2611" t="inlineStr">
        <is>
          <t>VÄSTERNORRLANDS LÄN</t>
        </is>
      </c>
      <c r="E2611" t="inlineStr">
        <is>
          <t>ÅNGE</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22950-2020</t>
        </is>
      </c>
      <c r="B2612" s="1" t="n">
        <v>43965</v>
      </c>
      <c r="C2612" s="1" t="n">
        <v>45212</v>
      </c>
      <c r="D2612" t="inlineStr">
        <is>
          <t>VÄSTERNORRLANDS LÄN</t>
        </is>
      </c>
      <c r="E2612" t="inlineStr">
        <is>
          <t>ÖRNSKÖLDSVIK</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23214-2020</t>
        </is>
      </c>
      <c r="B2613" s="1" t="n">
        <v>43965</v>
      </c>
      <c r="C2613" s="1" t="n">
        <v>45212</v>
      </c>
      <c r="D2613" t="inlineStr">
        <is>
          <t>VÄSTERNORRLANDS LÄN</t>
        </is>
      </c>
      <c r="E2613" t="inlineStr">
        <is>
          <t>ÖRNSKÖLDSVIK</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23283-2020</t>
        </is>
      </c>
      <c r="B2614" s="1" t="n">
        <v>43965</v>
      </c>
      <c r="C2614" s="1" t="n">
        <v>45212</v>
      </c>
      <c r="D2614" t="inlineStr">
        <is>
          <t>VÄSTERNORRLANDS LÄN</t>
        </is>
      </c>
      <c r="E2614" t="inlineStr">
        <is>
          <t>SUNDSVALL</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23352-2020</t>
        </is>
      </c>
      <c r="B2615" s="1" t="n">
        <v>43966</v>
      </c>
      <c r="C2615" s="1" t="n">
        <v>45212</v>
      </c>
      <c r="D2615" t="inlineStr">
        <is>
          <t>VÄSTERNORRLANDS LÄN</t>
        </is>
      </c>
      <c r="E2615" t="inlineStr">
        <is>
          <t>ÅNGE</t>
        </is>
      </c>
      <c r="F2615" t="inlineStr">
        <is>
          <t>SCA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23210-2020</t>
        </is>
      </c>
      <c r="B2616" s="1" t="n">
        <v>43966</v>
      </c>
      <c r="C2616" s="1" t="n">
        <v>45212</v>
      </c>
      <c r="D2616" t="inlineStr">
        <is>
          <t>VÄSTERNORRLANDS LÄN</t>
        </is>
      </c>
      <c r="E2616" t="inlineStr">
        <is>
          <t>SUNDSVALL</t>
        </is>
      </c>
      <c r="G2616" t="n">
        <v>2.5</v>
      </c>
      <c r="H2616" t="n">
        <v>0</v>
      </c>
      <c r="I2616" t="n">
        <v>0</v>
      </c>
      <c r="J2616" t="n">
        <v>0</v>
      </c>
      <c r="K2616" t="n">
        <v>0</v>
      </c>
      <c r="L2616" t="n">
        <v>0</v>
      </c>
      <c r="M2616" t="n">
        <v>0</v>
      </c>
      <c r="N2616" t="n">
        <v>0</v>
      </c>
      <c r="O2616" t="n">
        <v>0</v>
      </c>
      <c r="P2616" t="n">
        <v>0</v>
      </c>
      <c r="Q2616" t="n">
        <v>0</v>
      </c>
      <c r="R2616" s="2" t="inlineStr"/>
    </row>
    <row r="2617" ht="15" customHeight="1">
      <c r="A2617" t="inlineStr">
        <is>
          <t>A 23231-2020</t>
        </is>
      </c>
      <c r="B2617" s="1" t="n">
        <v>43966</v>
      </c>
      <c r="C2617" s="1" t="n">
        <v>45212</v>
      </c>
      <c r="D2617" t="inlineStr">
        <is>
          <t>VÄSTERNORRLANDS LÄN</t>
        </is>
      </c>
      <c r="E2617" t="inlineStr">
        <is>
          <t>SOLLEFTEÅ</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23642-2020</t>
        </is>
      </c>
      <c r="B2618" s="1" t="n">
        <v>43969</v>
      </c>
      <c r="C2618" s="1" t="n">
        <v>45212</v>
      </c>
      <c r="D2618" t="inlineStr">
        <is>
          <t>VÄSTERNORRLANDS LÄN</t>
        </is>
      </c>
      <c r="E2618" t="inlineStr">
        <is>
          <t>SUNDSVALL</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23641-2020</t>
        </is>
      </c>
      <c r="B2619" s="1" t="n">
        <v>43969</v>
      </c>
      <c r="C2619" s="1" t="n">
        <v>45212</v>
      </c>
      <c r="D2619" t="inlineStr">
        <is>
          <t>VÄSTERNORRLANDS LÄN</t>
        </is>
      </c>
      <c r="E2619" t="inlineStr">
        <is>
          <t>SUNDSVALL</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23762-2020</t>
        </is>
      </c>
      <c r="B2620" s="1" t="n">
        <v>43969</v>
      </c>
      <c r="C2620" s="1" t="n">
        <v>45212</v>
      </c>
      <c r="D2620" t="inlineStr">
        <is>
          <t>VÄSTERNORRLANDS LÄN</t>
        </is>
      </c>
      <c r="E2620" t="inlineStr">
        <is>
          <t>HÄRNÖSAND</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23587-2020</t>
        </is>
      </c>
      <c r="B2621" s="1" t="n">
        <v>43969</v>
      </c>
      <c r="C2621" s="1" t="n">
        <v>45212</v>
      </c>
      <c r="D2621" t="inlineStr">
        <is>
          <t>VÄSTERNORRLANDS LÄN</t>
        </is>
      </c>
      <c r="E2621" t="inlineStr">
        <is>
          <t>SUNDSVALL</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23638-2020</t>
        </is>
      </c>
      <c r="B2622" s="1" t="n">
        <v>43969</v>
      </c>
      <c r="C2622" s="1" t="n">
        <v>45212</v>
      </c>
      <c r="D2622" t="inlineStr">
        <is>
          <t>VÄSTERNORRLANDS LÄN</t>
        </is>
      </c>
      <c r="E2622" t="inlineStr">
        <is>
          <t>SOLLEFTEÅ</t>
        </is>
      </c>
      <c r="G2622" t="n">
        <v>8.9</v>
      </c>
      <c r="H2622" t="n">
        <v>0</v>
      </c>
      <c r="I2622" t="n">
        <v>0</v>
      </c>
      <c r="J2622" t="n">
        <v>0</v>
      </c>
      <c r="K2622" t="n">
        <v>0</v>
      </c>
      <c r="L2622" t="n">
        <v>0</v>
      </c>
      <c r="M2622" t="n">
        <v>0</v>
      </c>
      <c r="N2622" t="n">
        <v>0</v>
      </c>
      <c r="O2622" t="n">
        <v>0</v>
      </c>
      <c r="P2622" t="n">
        <v>0</v>
      </c>
      <c r="Q2622" t="n">
        <v>0</v>
      </c>
      <c r="R2622" s="2" t="inlineStr"/>
    </row>
    <row r="2623" ht="15" customHeight="1">
      <c r="A2623" t="inlineStr">
        <is>
          <t>A 23752-2020</t>
        </is>
      </c>
      <c r="B2623" s="1" t="n">
        <v>43969</v>
      </c>
      <c r="C2623" s="1" t="n">
        <v>45212</v>
      </c>
      <c r="D2623" t="inlineStr">
        <is>
          <t>VÄSTERNORRLANDS LÄN</t>
        </is>
      </c>
      <c r="E2623" t="inlineStr">
        <is>
          <t>KRAMFORS</t>
        </is>
      </c>
      <c r="G2623" t="n">
        <v>4.1</v>
      </c>
      <c r="H2623" t="n">
        <v>0</v>
      </c>
      <c r="I2623" t="n">
        <v>0</v>
      </c>
      <c r="J2623" t="n">
        <v>0</v>
      </c>
      <c r="K2623" t="n">
        <v>0</v>
      </c>
      <c r="L2623" t="n">
        <v>0</v>
      </c>
      <c r="M2623" t="n">
        <v>0</v>
      </c>
      <c r="N2623" t="n">
        <v>0</v>
      </c>
      <c r="O2623" t="n">
        <v>0</v>
      </c>
      <c r="P2623" t="n">
        <v>0</v>
      </c>
      <c r="Q2623" t="n">
        <v>0</v>
      </c>
      <c r="R2623" s="2" t="inlineStr"/>
    </row>
    <row r="2624" ht="15" customHeight="1">
      <c r="A2624" t="inlineStr">
        <is>
          <t>A 23415-2020</t>
        </is>
      </c>
      <c r="B2624" s="1" t="n">
        <v>43969</v>
      </c>
      <c r="C2624" s="1" t="n">
        <v>45212</v>
      </c>
      <c r="D2624" t="inlineStr">
        <is>
          <t>VÄSTERNORRLANDS LÄN</t>
        </is>
      </c>
      <c r="E2624" t="inlineStr">
        <is>
          <t>ÖRNSKÖLDSVIK</t>
        </is>
      </c>
      <c r="F2624" t="inlineStr">
        <is>
          <t>Holmen skog AB</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23575-2020</t>
        </is>
      </c>
      <c r="B2625" s="1" t="n">
        <v>43969</v>
      </c>
      <c r="C2625" s="1" t="n">
        <v>45212</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23597-2020</t>
        </is>
      </c>
      <c r="B2626" s="1" t="n">
        <v>43969</v>
      </c>
      <c r="C2626" s="1" t="n">
        <v>45212</v>
      </c>
      <c r="D2626" t="inlineStr">
        <is>
          <t>VÄSTERNORRLANDS LÄN</t>
        </is>
      </c>
      <c r="E2626" t="inlineStr">
        <is>
          <t>ÖRNSKÖLDSVIK</t>
        </is>
      </c>
      <c r="F2626" t="inlineStr">
        <is>
          <t>Holmen skog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23660-2020</t>
        </is>
      </c>
      <c r="B2627" s="1" t="n">
        <v>43969</v>
      </c>
      <c r="C2627" s="1" t="n">
        <v>45212</v>
      </c>
      <c r="D2627" t="inlineStr">
        <is>
          <t>VÄSTERNORRLANDS LÄN</t>
        </is>
      </c>
      <c r="E2627" t="inlineStr">
        <is>
          <t>ÅNGE</t>
        </is>
      </c>
      <c r="F2627" t="inlineStr">
        <is>
          <t>SCA</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23670-2020</t>
        </is>
      </c>
      <c r="B2628" s="1" t="n">
        <v>43969</v>
      </c>
      <c r="C2628" s="1" t="n">
        <v>45212</v>
      </c>
      <c r="D2628" t="inlineStr">
        <is>
          <t>VÄSTERNORRLANDS LÄN</t>
        </is>
      </c>
      <c r="E2628" t="inlineStr">
        <is>
          <t>HÄRNÖSAND</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23753-2020</t>
        </is>
      </c>
      <c r="B2629" s="1" t="n">
        <v>43969</v>
      </c>
      <c r="C2629" s="1" t="n">
        <v>45212</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24010-2020</t>
        </is>
      </c>
      <c r="B2630" s="1" t="n">
        <v>43970</v>
      </c>
      <c r="C2630" s="1" t="n">
        <v>45212</v>
      </c>
      <c r="D2630" t="inlineStr">
        <is>
          <t>VÄSTERNORRLANDS LÄN</t>
        </is>
      </c>
      <c r="E2630" t="inlineStr">
        <is>
          <t>ÖRNSKÖLDSVIK</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24060-2020</t>
        </is>
      </c>
      <c r="B2631" s="1" t="n">
        <v>43971</v>
      </c>
      <c r="C2631" s="1" t="n">
        <v>45212</v>
      </c>
      <c r="D2631" t="inlineStr">
        <is>
          <t>VÄSTERNORRLANDS LÄN</t>
        </is>
      </c>
      <c r="E2631" t="inlineStr">
        <is>
          <t>SOLLEFTEÅ</t>
        </is>
      </c>
      <c r="G2631" t="n">
        <v>16.3</v>
      </c>
      <c r="H2631" t="n">
        <v>0</v>
      </c>
      <c r="I2631" t="n">
        <v>0</v>
      </c>
      <c r="J2631" t="n">
        <v>0</v>
      </c>
      <c r="K2631" t="n">
        <v>0</v>
      </c>
      <c r="L2631" t="n">
        <v>0</v>
      </c>
      <c r="M2631" t="n">
        <v>0</v>
      </c>
      <c r="N2631" t="n">
        <v>0</v>
      </c>
      <c r="O2631" t="n">
        <v>0</v>
      </c>
      <c r="P2631" t="n">
        <v>0</v>
      </c>
      <c r="Q2631" t="n">
        <v>0</v>
      </c>
      <c r="R2631" s="2" t="inlineStr"/>
    </row>
    <row r="2632" ht="15" customHeight="1">
      <c r="A2632" t="inlineStr">
        <is>
          <t>A 24049-2020</t>
        </is>
      </c>
      <c r="B2632" s="1" t="n">
        <v>43971</v>
      </c>
      <c r="C2632" s="1" t="n">
        <v>45212</v>
      </c>
      <c r="D2632" t="inlineStr">
        <is>
          <t>VÄSTERNORRLANDS LÄN</t>
        </is>
      </c>
      <c r="E2632" t="inlineStr">
        <is>
          <t>HÄRNÖSAND</t>
        </is>
      </c>
      <c r="G2632" t="n">
        <v>5.4</v>
      </c>
      <c r="H2632" t="n">
        <v>0</v>
      </c>
      <c r="I2632" t="n">
        <v>0</v>
      </c>
      <c r="J2632" t="n">
        <v>0</v>
      </c>
      <c r="K2632" t="n">
        <v>0</v>
      </c>
      <c r="L2632" t="n">
        <v>0</v>
      </c>
      <c r="M2632" t="n">
        <v>0</v>
      </c>
      <c r="N2632" t="n">
        <v>0</v>
      </c>
      <c r="O2632" t="n">
        <v>0</v>
      </c>
      <c r="P2632" t="n">
        <v>0</v>
      </c>
      <c r="Q2632" t="n">
        <v>0</v>
      </c>
      <c r="R2632" s="2" t="inlineStr"/>
    </row>
    <row r="2633" ht="15" customHeight="1">
      <c r="A2633" t="inlineStr">
        <is>
          <t>A 24061-2020</t>
        </is>
      </c>
      <c r="B2633" s="1" t="n">
        <v>43971</v>
      </c>
      <c r="C2633" s="1" t="n">
        <v>45212</v>
      </c>
      <c r="D2633" t="inlineStr">
        <is>
          <t>VÄSTERNORRLANDS LÄN</t>
        </is>
      </c>
      <c r="E2633" t="inlineStr">
        <is>
          <t>SOLLEFTEÅ</t>
        </is>
      </c>
      <c r="G2633" t="n">
        <v>5.7</v>
      </c>
      <c r="H2633" t="n">
        <v>0</v>
      </c>
      <c r="I2633" t="n">
        <v>0</v>
      </c>
      <c r="J2633" t="n">
        <v>0</v>
      </c>
      <c r="K2633" t="n">
        <v>0</v>
      </c>
      <c r="L2633" t="n">
        <v>0</v>
      </c>
      <c r="M2633" t="n">
        <v>0</v>
      </c>
      <c r="N2633" t="n">
        <v>0</v>
      </c>
      <c r="O2633" t="n">
        <v>0</v>
      </c>
      <c r="P2633" t="n">
        <v>0</v>
      </c>
      <c r="Q2633" t="n">
        <v>0</v>
      </c>
      <c r="R2633" s="2" t="inlineStr"/>
    </row>
    <row r="2634" ht="15" customHeight="1">
      <c r="A2634" t="inlineStr">
        <is>
          <t>A 23848-2020</t>
        </is>
      </c>
      <c r="B2634" s="1" t="n">
        <v>43971</v>
      </c>
      <c r="C2634" s="1" t="n">
        <v>45212</v>
      </c>
      <c r="D2634" t="inlineStr">
        <is>
          <t>VÄSTERNORRLANDS LÄN</t>
        </is>
      </c>
      <c r="E2634" t="inlineStr">
        <is>
          <t>ÖRNSKÖLDSVIK</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24062-2020</t>
        </is>
      </c>
      <c r="B2635" s="1" t="n">
        <v>43971</v>
      </c>
      <c r="C2635" s="1" t="n">
        <v>45212</v>
      </c>
      <c r="D2635" t="inlineStr">
        <is>
          <t>VÄSTERNORRLANDS LÄN</t>
        </is>
      </c>
      <c r="E2635" t="inlineStr">
        <is>
          <t>SOLLEFTEÅ</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24263-2020</t>
        </is>
      </c>
      <c r="B2636" s="1" t="n">
        <v>43971</v>
      </c>
      <c r="C2636" s="1" t="n">
        <v>45212</v>
      </c>
      <c r="D2636" t="inlineStr">
        <is>
          <t>VÄSTERNORRLANDS LÄN</t>
        </is>
      </c>
      <c r="E2636" t="inlineStr">
        <is>
          <t>TIMRÅ</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24004-2020</t>
        </is>
      </c>
      <c r="B2637" s="1" t="n">
        <v>43971</v>
      </c>
      <c r="C2637" s="1" t="n">
        <v>45212</v>
      </c>
      <c r="D2637" t="inlineStr">
        <is>
          <t>VÄSTERNORRLANDS LÄN</t>
        </is>
      </c>
      <c r="E2637" t="inlineStr">
        <is>
          <t>ÖRNSKÖLDSVIK</t>
        </is>
      </c>
      <c r="F2637" t="inlineStr">
        <is>
          <t>Holmen skog AB</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24353-2020</t>
        </is>
      </c>
      <c r="B2638" s="1" t="n">
        <v>43976</v>
      </c>
      <c r="C2638" s="1" t="n">
        <v>45212</v>
      </c>
      <c r="D2638" t="inlineStr">
        <is>
          <t>VÄSTERNORRLANDS LÄN</t>
        </is>
      </c>
      <c r="E2638" t="inlineStr">
        <is>
          <t>ÅNGE</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24361-2020</t>
        </is>
      </c>
      <c r="B2639" s="1" t="n">
        <v>43976</v>
      </c>
      <c r="C2639" s="1" t="n">
        <v>45212</v>
      </c>
      <c r="D2639" t="inlineStr">
        <is>
          <t>VÄSTERNORRLANDS LÄN</t>
        </is>
      </c>
      <c r="E2639" t="inlineStr">
        <is>
          <t>ÅNGE</t>
        </is>
      </c>
      <c r="G2639" t="n">
        <v>4</v>
      </c>
      <c r="H2639" t="n">
        <v>0</v>
      </c>
      <c r="I2639" t="n">
        <v>0</v>
      </c>
      <c r="J2639" t="n">
        <v>0</v>
      </c>
      <c r="K2639" t="n">
        <v>0</v>
      </c>
      <c r="L2639" t="n">
        <v>0</v>
      </c>
      <c r="M2639" t="n">
        <v>0</v>
      </c>
      <c r="N2639" t="n">
        <v>0</v>
      </c>
      <c r="O2639" t="n">
        <v>0</v>
      </c>
      <c r="P2639" t="n">
        <v>0</v>
      </c>
      <c r="Q2639" t="n">
        <v>0</v>
      </c>
      <c r="R2639" s="2" t="inlineStr"/>
    </row>
    <row r="2640" ht="15" customHeight="1">
      <c r="A2640" t="inlineStr">
        <is>
          <t>A 24411-2020</t>
        </is>
      </c>
      <c r="B2640" s="1" t="n">
        <v>43976</v>
      </c>
      <c r="C2640" s="1" t="n">
        <v>45212</v>
      </c>
      <c r="D2640" t="inlineStr">
        <is>
          <t>VÄSTERNORRLANDS LÄN</t>
        </is>
      </c>
      <c r="E2640" t="inlineStr">
        <is>
          <t>ÅNGE</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24494-2020</t>
        </is>
      </c>
      <c r="B2641" s="1" t="n">
        <v>43976</v>
      </c>
      <c r="C2641" s="1" t="n">
        <v>45212</v>
      </c>
      <c r="D2641" t="inlineStr">
        <is>
          <t>VÄSTERNORRLANDS LÄN</t>
        </is>
      </c>
      <c r="E2641" t="inlineStr">
        <is>
          <t>SUNDSVALL</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24301-2020</t>
        </is>
      </c>
      <c r="B2642" s="1" t="n">
        <v>43976</v>
      </c>
      <c r="C2642" s="1" t="n">
        <v>45212</v>
      </c>
      <c r="D2642" t="inlineStr">
        <is>
          <t>VÄSTERNORRLANDS LÄN</t>
        </is>
      </c>
      <c r="E2642" t="inlineStr">
        <is>
          <t>SUNDSVALL</t>
        </is>
      </c>
      <c r="F2642" t="inlineStr">
        <is>
          <t>Holmen skog AB</t>
        </is>
      </c>
      <c r="G2642" t="n">
        <v>5.1</v>
      </c>
      <c r="H2642" t="n">
        <v>0</v>
      </c>
      <c r="I2642" t="n">
        <v>0</v>
      </c>
      <c r="J2642" t="n">
        <v>0</v>
      </c>
      <c r="K2642" t="n">
        <v>0</v>
      </c>
      <c r="L2642" t="n">
        <v>0</v>
      </c>
      <c r="M2642" t="n">
        <v>0</v>
      </c>
      <c r="N2642" t="n">
        <v>0</v>
      </c>
      <c r="O2642" t="n">
        <v>0</v>
      </c>
      <c r="P2642" t="n">
        <v>0</v>
      </c>
      <c r="Q2642" t="n">
        <v>0</v>
      </c>
      <c r="R2642" s="2" t="inlineStr"/>
    </row>
    <row r="2643" ht="15" customHeight="1">
      <c r="A2643" t="inlineStr">
        <is>
          <t>A 24655-2020</t>
        </is>
      </c>
      <c r="B2643" s="1" t="n">
        <v>43977</v>
      </c>
      <c r="C2643" s="1" t="n">
        <v>45212</v>
      </c>
      <c r="D2643" t="inlineStr">
        <is>
          <t>VÄSTERNORRLANDS LÄN</t>
        </is>
      </c>
      <c r="E2643" t="inlineStr">
        <is>
          <t>KRAMFORS</t>
        </is>
      </c>
      <c r="F2643" t="inlineStr">
        <is>
          <t>SCA</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24662-2020</t>
        </is>
      </c>
      <c r="B2644" s="1" t="n">
        <v>43977</v>
      </c>
      <c r="C2644" s="1" t="n">
        <v>45212</v>
      </c>
      <c r="D2644" t="inlineStr">
        <is>
          <t>VÄSTERNORRLANDS LÄN</t>
        </is>
      </c>
      <c r="E2644" t="inlineStr">
        <is>
          <t>SUNDSVALL</t>
        </is>
      </c>
      <c r="G2644" t="n">
        <v>4.8</v>
      </c>
      <c r="H2644" t="n">
        <v>0</v>
      </c>
      <c r="I2644" t="n">
        <v>0</v>
      </c>
      <c r="J2644" t="n">
        <v>0</v>
      </c>
      <c r="K2644" t="n">
        <v>0</v>
      </c>
      <c r="L2644" t="n">
        <v>0</v>
      </c>
      <c r="M2644" t="n">
        <v>0</v>
      </c>
      <c r="N2644" t="n">
        <v>0</v>
      </c>
      <c r="O2644" t="n">
        <v>0</v>
      </c>
      <c r="P2644" t="n">
        <v>0</v>
      </c>
      <c r="Q2644" t="n">
        <v>0</v>
      </c>
      <c r="R2644" s="2" t="inlineStr"/>
    </row>
    <row r="2645" ht="15" customHeight="1">
      <c r="A2645" t="inlineStr">
        <is>
          <t>A 24665-2020</t>
        </is>
      </c>
      <c r="B2645" s="1" t="n">
        <v>43977</v>
      </c>
      <c r="C2645" s="1" t="n">
        <v>45212</v>
      </c>
      <c r="D2645" t="inlineStr">
        <is>
          <t>VÄSTERNORRLANDS LÄN</t>
        </is>
      </c>
      <c r="E2645" t="inlineStr">
        <is>
          <t>KRAMFORS</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24510-2020</t>
        </is>
      </c>
      <c r="B2646" s="1" t="n">
        <v>43977</v>
      </c>
      <c r="C2646" s="1" t="n">
        <v>45212</v>
      </c>
      <c r="D2646" t="inlineStr">
        <is>
          <t>VÄSTERNORRLANDS LÄN</t>
        </is>
      </c>
      <c r="E2646" t="inlineStr">
        <is>
          <t>ÖRNSKÖLDSVIK</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24580-2020</t>
        </is>
      </c>
      <c r="B2647" s="1" t="n">
        <v>43977</v>
      </c>
      <c r="C2647" s="1" t="n">
        <v>45212</v>
      </c>
      <c r="D2647" t="inlineStr">
        <is>
          <t>VÄSTERNORRLANDS LÄN</t>
        </is>
      </c>
      <c r="E2647" t="inlineStr">
        <is>
          <t>ÖRNSKÖLDSVIK</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24859-2020</t>
        </is>
      </c>
      <c r="B2648" s="1" t="n">
        <v>43978</v>
      </c>
      <c r="C2648" s="1" t="n">
        <v>45212</v>
      </c>
      <c r="D2648" t="inlineStr">
        <is>
          <t>VÄSTERNORRLANDS LÄN</t>
        </is>
      </c>
      <c r="E2648" t="inlineStr">
        <is>
          <t>ÅNGE</t>
        </is>
      </c>
      <c r="G2648" t="n">
        <v>3.7</v>
      </c>
      <c r="H2648" t="n">
        <v>0</v>
      </c>
      <c r="I2648" t="n">
        <v>0</v>
      </c>
      <c r="J2648" t="n">
        <v>0</v>
      </c>
      <c r="K2648" t="n">
        <v>0</v>
      </c>
      <c r="L2648" t="n">
        <v>0</v>
      </c>
      <c r="M2648" t="n">
        <v>0</v>
      </c>
      <c r="N2648" t="n">
        <v>0</v>
      </c>
      <c r="O2648" t="n">
        <v>0</v>
      </c>
      <c r="P2648" t="n">
        <v>0</v>
      </c>
      <c r="Q2648" t="n">
        <v>0</v>
      </c>
      <c r="R2648" s="2" t="inlineStr"/>
    </row>
    <row r="2649" ht="15" customHeight="1">
      <c r="A2649" t="inlineStr">
        <is>
          <t>A 24976-2020</t>
        </is>
      </c>
      <c r="B2649" s="1" t="n">
        <v>43978</v>
      </c>
      <c r="C2649" s="1" t="n">
        <v>45212</v>
      </c>
      <c r="D2649" t="inlineStr">
        <is>
          <t>VÄSTERNORRLANDS LÄN</t>
        </is>
      </c>
      <c r="E2649" t="inlineStr">
        <is>
          <t>ÖRNSKÖLDSVIK</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24857-2020</t>
        </is>
      </c>
      <c r="B2650" s="1" t="n">
        <v>43978</v>
      </c>
      <c r="C2650" s="1" t="n">
        <v>45212</v>
      </c>
      <c r="D2650" t="inlineStr">
        <is>
          <t>VÄSTERNORRLANDS LÄN</t>
        </is>
      </c>
      <c r="E2650" t="inlineStr">
        <is>
          <t>ÅNGE</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24696-2020</t>
        </is>
      </c>
      <c r="B2651" s="1" t="n">
        <v>43978</v>
      </c>
      <c r="C2651" s="1" t="n">
        <v>45212</v>
      </c>
      <c r="D2651" t="inlineStr">
        <is>
          <t>VÄSTERNORRLANDS LÄN</t>
        </is>
      </c>
      <c r="E2651" t="inlineStr">
        <is>
          <t>ÅNGE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25100-2020</t>
        </is>
      </c>
      <c r="B2652" s="1" t="n">
        <v>43979</v>
      </c>
      <c r="C2652" s="1" t="n">
        <v>45212</v>
      </c>
      <c r="D2652" t="inlineStr">
        <is>
          <t>VÄSTERNORRLANDS LÄN</t>
        </is>
      </c>
      <c r="E2652" t="inlineStr">
        <is>
          <t>SOLLEFTEÅ</t>
        </is>
      </c>
      <c r="G2652" t="n">
        <v>4.7</v>
      </c>
      <c r="H2652" t="n">
        <v>0</v>
      </c>
      <c r="I2652" t="n">
        <v>0</v>
      </c>
      <c r="J2652" t="n">
        <v>0</v>
      </c>
      <c r="K2652" t="n">
        <v>0</v>
      </c>
      <c r="L2652" t="n">
        <v>0</v>
      </c>
      <c r="M2652" t="n">
        <v>0</v>
      </c>
      <c r="N2652" t="n">
        <v>0</v>
      </c>
      <c r="O2652" t="n">
        <v>0</v>
      </c>
      <c r="P2652" t="n">
        <v>0</v>
      </c>
      <c r="Q2652" t="n">
        <v>0</v>
      </c>
      <c r="R2652" s="2" t="inlineStr"/>
    </row>
    <row r="2653" ht="15" customHeight="1">
      <c r="A2653" t="inlineStr">
        <is>
          <t>A 25050-2020</t>
        </is>
      </c>
      <c r="B2653" s="1" t="n">
        <v>43979</v>
      </c>
      <c r="C2653" s="1" t="n">
        <v>45212</v>
      </c>
      <c r="D2653" t="inlineStr">
        <is>
          <t>VÄSTERNORRLANDS LÄN</t>
        </is>
      </c>
      <c r="E2653" t="inlineStr">
        <is>
          <t>ÖRNSKÖLDSVIK</t>
        </is>
      </c>
      <c r="F2653" t="inlineStr">
        <is>
          <t>Holmen skog AB</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25290-2020</t>
        </is>
      </c>
      <c r="B2654" s="1" t="n">
        <v>43979</v>
      </c>
      <c r="C2654" s="1" t="n">
        <v>45212</v>
      </c>
      <c r="D2654" t="inlineStr">
        <is>
          <t>VÄSTERNORRLANDS LÄN</t>
        </is>
      </c>
      <c r="E2654" t="inlineStr">
        <is>
          <t>KRAMFORS</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25054-2020</t>
        </is>
      </c>
      <c r="B2655" s="1" t="n">
        <v>43979</v>
      </c>
      <c r="C2655" s="1" t="n">
        <v>45212</v>
      </c>
      <c r="D2655" t="inlineStr">
        <is>
          <t>VÄSTERNORRLANDS LÄN</t>
        </is>
      </c>
      <c r="E2655" t="inlineStr">
        <is>
          <t>ÖRNSKÖLDSVIK</t>
        </is>
      </c>
      <c r="F2655" t="inlineStr">
        <is>
          <t>Holmen skog AB</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25092-2020</t>
        </is>
      </c>
      <c r="B2656" s="1" t="n">
        <v>43979</v>
      </c>
      <c r="C2656" s="1" t="n">
        <v>45212</v>
      </c>
      <c r="D2656" t="inlineStr">
        <is>
          <t>VÄSTERNORRLANDS LÄN</t>
        </is>
      </c>
      <c r="E2656" t="inlineStr">
        <is>
          <t>SOLLEFTEÅ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25103-2020</t>
        </is>
      </c>
      <c r="B2657" s="1" t="n">
        <v>43979</v>
      </c>
      <c r="C2657" s="1" t="n">
        <v>45212</v>
      </c>
      <c r="D2657" t="inlineStr">
        <is>
          <t>VÄSTERNORRLANDS LÄN</t>
        </is>
      </c>
      <c r="E2657" t="inlineStr">
        <is>
          <t>ÖRNSKÖLDSVIK</t>
        </is>
      </c>
      <c r="F2657" t="inlineStr">
        <is>
          <t>SCA</t>
        </is>
      </c>
      <c r="G2657" t="n">
        <v>9.5</v>
      </c>
      <c r="H2657" t="n">
        <v>0</v>
      </c>
      <c r="I2657" t="n">
        <v>0</v>
      </c>
      <c r="J2657" t="n">
        <v>0</v>
      </c>
      <c r="K2657" t="n">
        <v>0</v>
      </c>
      <c r="L2657" t="n">
        <v>0</v>
      </c>
      <c r="M2657" t="n">
        <v>0</v>
      </c>
      <c r="N2657" t="n">
        <v>0</v>
      </c>
      <c r="O2657" t="n">
        <v>0</v>
      </c>
      <c r="P2657" t="n">
        <v>0</v>
      </c>
      <c r="Q2657" t="n">
        <v>0</v>
      </c>
      <c r="R2657" s="2" t="inlineStr"/>
    </row>
    <row r="2658" ht="15" customHeight="1">
      <c r="A2658" t="inlineStr">
        <is>
          <t>A 24892-2020</t>
        </is>
      </c>
      <c r="B2658" s="1" t="n">
        <v>43979</v>
      </c>
      <c r="C2658" s="1" t="n">
        <v>45212</v>
      </c>
      <c r="D2658" t="inlineStr">
        <is>
          <t>VÄSTERNORRLANDS LÄN</t>
        </is>
      </c>
      <c r="E2658" t="inlineStr">
        <is>
          <t>ÖRNSKÖLDSVIK</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24988-2020</t>
        </is>
      </c>
      <c r="B2659" s="1" t="n">
        <v>43979</v>
      </c>
      <c r="C2659" s="1" t="n">
        <v>45212</v>
      </c>
      <c r="D2659" t="inlineStr">
        <is>
          <t>VÄSTERNORRLANDS LÄN</t>
        </is>
      </c>
      <c r="E2659" t="inlineStr">
        <is>
          <t>ÖRNSKÖLDSVIK</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25217-2020</t>
        </is>
      </c>
      <c r="B2660" s="1" t="n">
        <v>43980</v>
      </c>
      <c r="C2660" s="1" t="n">
        <v>45212</v>
      </c>
      <c r="D2660" t="inlineStr">
        <is>
          <t>VÄSTERNORRLANDS LÄN</t>
        </is>
      </c>
      <c r="E2660" t="inlineStr">
        <is>
          <t>SUNDSVALL</t>
        </is>
      </c>
      <c r="G2660" t="n">
        <v>4.9</v>
      </c>
      <c r="H2660" t="n">
        <v>0</v>
      </c>
      <c r="I2660" t="n">
        <v>0</v>
      </c>
      <c r="J2660" t="n">
        <v>0</v>
      </c>
      <c r="K2660" t="n">
        <v>0</v>
      </c>
      <c r="L2660" t="n">
        <v>0</v>
      </c>
      <c r="M2660" t="n">
        <v>0</v>
      </c>
      <c r="N2660" t="n">
        <v>0</v>
      </c>
      <c r="O2660" t="n">
        <v>0</v>
      </c>
      <c r="P2660" t="n">
        <v>0</v>
      </c>
      <c r="Q2660" t="n">
        <v>0</v>
      </c>
      <c r="R2660" s="2" t="inlineStr"/>
    </row>
    <row r="2661" ht="15" customHeight="1">
      <c r="A2661" t="inlineStr">
        <is>
          <t>A 25370-2020</t>
        </is>
      </c>
      <c r="B2661" s="1" t="n">
        <v>43980</v>
      </c>
      <c r="C2661" s="1" t="n">
        <v>45212</v>
      </c>
      <c r="D2661" t="inlineStr">
        <is>
          <t>VÄSTERNORRLANDS LÄN</t>
        </is>
      </c>
      <c r="E2661" t="inlineStr">
        <is>
          <t>ÅNGE</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25583-2020</t>
        </is>
      </c>
      <c r="B2662" s="1" t="n">
        <v>43983</v>
      </c>
      <c r="C2662" s="1" t="n">
        <v>45212</v>
      </c>
      <c r="D2662" t="inlineStr">
        <is>
          <t>VÄSTERNORRLANDS LÄN</t>
        </is>
      </c>
      <c r="E2662" t="inlineStr">
        <is>
          <t>ÖRNSKÖLDSVIK</t>
        </is>
      </c>
      <c r="F2662" t="inlineStr">
        <is>
          <t>Holmen skog AB</t>
        </is>
      </c>
      <c r="G2662" t="n">
        <v>3.6</v>
      </c>
      <c r="H2662" t="n">
        <v>0</v>
      </c>
      <c r="I2662" t="n">
        <v>0</v>
      </c>
      <c r="J2662" t="n">
        <v>0</v>
      </c>
      <c r="K2662" t="n">
        <v>0</v>
      </c>
      <c r="L2662" t="n">
        <v>0</v>
      </c>
      <c r="M2662" t="n">
        <v>0</v>
      </c>
      <c r="N2662" t="n">
        <v>0</v>
      </c>
      <c r="O2662" t="n">
        <v>0</v>
      </c>
      <c r="P2662" t="n">
        <v>0</v>
      </c>
      <c r="Q2662" t="n">
        <v>0</v>
      </c>
      <c r="R2662" s="2" t="inlineStr"/>
    </row>
    <row r="2663" ht="15" customHeight="1">
      <c r="A2663" t="inlineStr">
        <is>
          <t>A 25659-2020</t>
        </is>
      </c>
      <c r="B2663" s="1" t="n">
        <v>43983</v>
      </c>
      <c r="C2663" s="1" t="n">
        <v>45212</v>
      </c>
      <c r="D2663" t="inlineStr">
        <is>
          <t>VÄSTERNORRLANDS LÄN</t>
        </is>
      </c>
      <c r="E2663" t="inlineStr">
        <is>
          <t>KRAMFORS</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26017-2020</t>
        </is>
      </c>
      <c r="B2664" s="1" t="n">
        <v>43984</v>
      </c>
      <c r="C2664" s="1" t="n">
        <v>45212</v>
      </c>
      <c r="D2664" t="inlineStr">
        <is>
          <t>VÄSTERNORRLANDS LÄN</t>
        </is>
      </c>
      <c r="E2664" t="inlineStr">
        <is>
          <t>ÖRNSKÖLDSVIK</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26139-2020</t>
        </is>
      </c>
      <c r="B2665" s="1" t="n">
        <v>43985</v>
      </c>
      <c r="C2665" s="1" t="n">
        <v>45212</v>
      </c>
      <c r="D2665" t="inlineStr">
        <is>
          <t>VÄSTERNORRLANDS LÄN</t>
        </is>
      </c>
      <c r="E2665" t="inlineStr">
        <is>
          <t>SOLLEFTEÅ</t>
        </is>
      </c>
      <c r="F2665" t="inlineStr">
        <is>
          <t>Holmen skog AB</t>
        </is>
      </c>
      <c r="G2665" t="n">
        <v>6.9</v>
      </c>
      <c r="H2665" t="n">
        <v>0</v>
      </c>
      <c r="I2665" t="n">
        <v>0</v>
      </c>
      <c r="J2665" t="n">
        <v>0</v>
      </c>
      <c r="K2665" t="n">
        <v>0</v>
      </c>
      <c r="L2665" t="n">
        <v>0</v>
      </c>
      <c r="M2665" t="n">
        <v>0</v>
      </c>
      <c r="N2665" t="n">
        <v>0</v>
      </c>
      <c r="O2665" t="n">
        <v>0</v>
      </c>
      <c r="P2665" t="n">
        <v>0</v>
      </c>
      <c r="Q2665" t="n">
        <v>0</v>
      </c>
      <c r="R2665" s="2" t="inlineStr"/>
    </row>
    <row r="2666" ht="15" customHeight="1">
      <c r="A2666" t="inlineStr">
        <is>
          <t>A 26079-2020</t>
        </is>
      </c>
      <c r="B2666" s="1" t="n">
        <v>43985</v>
      </c>
      <c r="C2666" s="1" t="n">
        <v>45212</v>
      </c>
      <c r="D2666" t="inlineStr">
        <is>
          <t>VÄSTERNORRLANDS LÄN</t>
        </is>
      </c>
      <c r="E2666" t="inlineStr">
        <is>
          <t>ÖRNSKÖLDSVIK</t>
        </is>
      </c>
      <c r="G2666" t="n">
        <v>11.6</v>
      </c>
      <c r="H2666" t="n">
        <v>0</v>
      </c>
      <c r="I2666" t="n">
        <v>0</v>
      </c>
      <c r="J2666" t="n">
        <v>0</v>
      </c>
      <c r="K2666" t="n">
        <v>0</v>
      </c>
      <c r="L2666" t="n">
        <v>0</v>
      </c>
      <c r="M2666" t="n">
        <v>0</v>
      </c>
      <c r="N2666" t="n">
        <v>0</v>
      </c>
      <c r="O2666" t="n">
        <v>0</v>
      </c>
      <c r="P2666" t="n">
        <v>0</v>
      </c>
      <c r="Q2666" t="n">
        <v>0</v>
      </c>
      <c r="R2666" s="2" t="inlineStr"/>
    </row>
    <row r="2667" ht="15" customHeight="1">
      <c r="A2667" t="inlineStr">
        <is>
          <t>A 26189-2020</t>
        </is>
      </c>
      <c r="B2667" s="1" t="n">
        <v>43985</v>
      </c>
      <c r="C2667" s="1" t="n">
        <v>45212</v>
      </c>
      <c r="D2667" t="inlineStr">
        <is>
          <t>VÄSTERNORRLANDS LÄN</t>
        </is>
      </c>
      <c r="E2667" t="inlineStr">
        <is>
          <t>SOLLEFTEÅ</t>
        </is>
      </c>
      <c r="F2667" t="inlineStr">
        <is>
          <t>SCA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26039-2020</t>
        </is>
      </c>
      <c r="B2668" s="1" t="n">
        <v>43985</v>
      </c>
      <c r="C2668" s="1" t="n">
        <v>45212</v>
      </c>
      <c r="D2668" t="inlineStr">
        <is>
          <t>VÄSTERNORRLANDS LÄN</t>
        </is>
      </c>
      <c r="E2668" t="inlineStr">
        <is>
          <t>ÖRNSKÖLDSVIK</t>
        </is>
      </c>
      <c r="F2668" t="inlineStr">
        <is>
          <t>Holmen skog AB</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26249-2020</t>
        </is>
      </c>
      <c r="B2669" s="1" t="n">
        <v>43986</v>
      </c>
      <c r="C2669" s="1" t="n">
        <v>45212</v>
      </c>
      <c r="D2669" t="inlineStr">
        <is>
          <t>VÄSTERNORRLANDS LÄN</t>
        </is>
      </c>
      <c r="E2669" t="inlineStr">
        <is>
          <t>SOLLEFTEÅ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26379-2020</t>
        </is>
      </c>
      <c r="B2670" s="1" t="n">
        <v>43986</v>
      </c>
      <c r="C2670" s="1" t="n">
        <v>45212</v>
      </c>
      <c r="D2670" t="inlineStr">
        <is>
          <t>VÄSTERNORRLANDS LÄN</t>
        </is>
      </c>
      <c r="E2670" t="inlineStr">
        <is>
          <t>HÄRNÖSAND</t>
        </is>
      </c>
      <c r="G2670" t="n">
        <v>7.3</v>
      </c>
      <c r="H2670" t="n">
        <v>0</v>
      </c>
      <c r="I2670" t="n">
        <v>0</v>
      </c>
      <c r="J2670" t="n">
        <v>0</v>
      </c>
      <c r="K2670" t="n">
        <v>0</v>
      </c>
      <c r="L2670" t="n">
        <v>0</v>
      </c>
      <c r="M2670" t="n">
        <v>0</v>
      </c>
      <c r="N2670" t="n">
        <v>0</v>
      </c>
      <c r="O2670" t="n">
        <v>0</v>
      </c>
      <c r="P2670" t="n">
        <v>0</v>
      </c>
      <c r="Q2670" t="n">
        <v>0</v>
      </c>
      <c r="R2670" s="2" t="inlineStr"/>
    </row>
    <row r="2671" ht="15" customHeight="1">
      <c r="A2671" t="inlineStr">
        <is>
          <t>A 26378-2020</t>
        </is>
      </c>
      <c r="B2671" s="1" t="n">
        <v>43986</v>
      </c>
      <c r="C2671" s="1" t="n">
        <v>45212</v>
      </c>
      <c r="D2671" t="inlineStr">
        <is>
          <t>VÄSTERNORRLANDS LÄN</t>
        </is>
      </c>
      <c r="E2671" t="inlineStr">
        <is>
          <t>HÄRNÖSAND</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26380-2020</t>
        </is>
      </c>
      <c r="B2672" s="1" t="n">
        <v>43986</v>
      </c>
      <c r="C2672" s="1" t="n">
        <v>45212</v>
      </c>
      <c r="D2672" t="inlineStr">
        <is>
          <t>VÄSTERNORRLANDS LÄN</t>
        </is>
      </c>
      <c r="E2672" t="inlineStr">
        <is>
          <t>HÄRNÖSAND</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26387-2020</t>
        </is>
      </c>
      <c r="B2673" s="1" t="n">
        <v>43986</v>
      </c>
      <c r="C2673" s="1" t="n">
        <v>45212</v>
      </c>
      <c r="D2673" t="inlineStr">
        <is>
          <t>VÄSTERNORRLANDS LÄN</t>
        </is>
      </c>
      <c r="E2673" t="inlineStr">
        <is>
          <t>HÄRNÖSAND</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26469-2020</t>
        </is>
      </c>
      <c r="B2674" s="1" t="n">
        <v>43987</v>
      </c>
      <c r="C2674" s="1" t="n">
        <v>45212</v>
      </c>
      <c r="D2674" t="inlineStr">
        <is>
          <t>VÄSTERNORRLANDS LÄN</t>
        </is>
      </c>
      <c r="E2674" t="inlineStr">
        <is>
          <t>ÖRNSKÖLDSVIK</t>
        </is>
      </c>
      <c r="F2674" t="inlineStr">
        <is>
          <t>Holmen skog AB</t>
        </is>
      </c>
      <c r="G2674" t="n">
        <v>5.2</v>
      </c>
      <c r="H2674" t="n">
        <v>0</v>
      </c>
      <c r="I2674" t="n">
        <v>0</v>
      </c>
      <c r="J2674" t="n">
        <v>0</v>
      </c>
      <c r="K2674" t="n">
        <v>0</v>
      </c>
      <c r="L2674" t="n">
        <v>0</v>
      </c>
      <c r="M2674" t="n">
        <v>0</v>
      </c>
      <c r="N2674" t="n">
        <v>0</v>
      </c>
      <c r="O2674" t="n">
        <v>0</v>
      </c>
      <c r="P2674" t="n">
        <v>0</v>
      </c>
      <c r="Q2674" t="n">
        <v>0</v>
      </c>
      <c r="R2674" s="2" t="inlineStr"/>
    </row>
    <row r="2675" ht="15" customHeight="1">
      <c r="A2675" t="inlineStr">
        <is>
          <t>A 26613-2020</t>
        </is>
      </c>
      <c r="B2675" s="1" t="n">
        <v>43987</v>
      </c>
      <c r="C2675" s="1" t="n">
        <v>45212</v>
      </c>
      <c r="D2675" t="inlineStr">
        <is>
          <t>VÄSTERNORRLANDS LÄN</t>
        </is>
      </c>
      <c r="E2675" t="inlineStr">
        <is>
          <t>SUNDSVALL</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26778-2020</t>
        </is>
      </c>
      <c r="B2676" s="1" t="n">
        <v>43987</v>
      </c>
      <c r="C2676" s="1" t="n">
        <v>45212</v>
      </c>
      <c r="D2676" t="inlineStr">
        <is>
          <t>VÄSTERNORRLANDS LÄN</t>
        </is>
      </c>
      <c r="E2676" t="inlineStr">
        <is>
          <t>HÄRNÖSAND</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26473-2020</t>
        </is>
      </c>
      <c r="B2677" s="1" t="n">
        <v>43987</v>
      </c>
      <c r="C2677" s="1" t="n">
        <v>45212</v>
      </c>
      <c r="D2677" t="inlineStr">
        <is>
          <t>VÄSTERNORRLANDS LÄN</t>
        </is>
      </c>
      <c r="E2677" t="inlineStr">
        <is>
          <t>ÖRNSKÖLDSVIK</t>
        </is>
      </c>
      <c r="F2677" t="inlineStr">
        <is>
          <t>Holmen skog AB</t>
        </is>
      </c>
      <c r="G2677" t="n">
        <v>3.6</v>
      </c>
      <c r="H2677" t="n">
        <v>0</v>
      </c>
      <c r="I2677" t="n">
        <v>0</v>
      </c>
      <c r="J2677" t="n">
        <v>0</v>
      </c>
      <c r="K2677" t="n">
        <v>0</v>
      </c>
      <c r="L2677" t="n">
        <v>0</v>
      </c>
      <c r="M2677" t="n">
        <v>0</v>
      </c>
      <c r="N2677" t="n">
        <v>0</v>
      </c>
      <c r="O2677" t="n">
        <v>0</v>
      </c>
      <c r="P2677" t="n">
        <v>0</v>
      </c>
      <c r="Q2677" t="n">
        <v>0</v>
      </c>
      <c r="R2677" s="2" t="inlineStr"/>
    </row>
    <row r="2678" ht="15" customHeight="1">
      <c r="A2678" t="inlineStr">
        <is>
          <t>A 26447-2020</t>
        </is>
      </c>
      <c r="B2678" s="1" t="n">
        <v>43987</v>
      </c>
      <c r="C2678" s="1" t="n">
        <v>45212</v>
      </c>
      <c r="D2678" t="inlineStr">
        <is>
          <t>VÄSTERNORRLANDS LÄN</t>
        </is>
      </c>
      <c r="E2678" t="inlineStr">
        <is>
          <t>ÅNGE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26925-2020</t>
        </is>
      </c>
      <c r="B2679" s="1" t="n">
        <v>43990</v>
      </c>
      <c r="C2679" s="1" t="n">
        <v>45212</v>
      </c>
      <c r="D2679" t="inlineStr">
        <is>
          <t>VÄSTERNORRLANDS LÄN</t>
        </is>
      </c>
      <c r="E2679" t="inlineStr">
        <is>
          <t>HÄRNÖSAND</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26976-2020</t>
        </is>
      </c>
      <c r="B2680" s="1" t="n">
        <v>43990</v>
      </c>
      <c r="C2680" s="1" t="n">
        <v>45212</v>
      </c>
      <c r="D2680" t="inlineStr">
        <is>
          <t>VÄSTERNORRLANDS LÄN</t>
        </is>
      </c>
      <c r="E2680" t="inlineStr">
        <is>
          <t>KRAMFORS</t>
        </is>
      </c>
      <c r="F2680" t="inlineStr">
        <is>
          <t>SCA</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26962-2020</t>
        </is>
      </c>
      <c r="B2681" s="1" t="n">
        <v>43990</v>
      </c>
      <c r="C2681" s="1" t="n">
        <v>45212</v>
      </c>
      <c r="D2681" t="inlineStr">
        <is>
          <t>VÄSTERNORRLANDS LÄN</t>
        </is>
      </c>
      <c r="E2681" t="inlineStr">
        <is>
          <t>SUNDSVALL</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27209-2020</t>
        </is>
      </c>
      <c r="B2682" s="1" t="n">
        <v>43991</v>
      </c>
      <c r="C2682" s="1" t="n">
        <v>45212</v>
      </c>
      <c r="D2682" t="inlineStr">
        <is>
          <t>VÄSTERNORRLANDS LÄN</t>
        </is>
      </c>
      <c r="E2682" t="inlineStr">
        <is>
          <t>SOLLEFTEÅ</t>
        </is>
      </c>
      <c r="F2682" t="inlineStr">
        <is>
          <t>SCA</t>
        </is>
      </c>
      <c r="G2682" t="n">
        <v>15.7</v>
      </c>
      <c r="H2682" t="n">
        <v>0</v>
      </c>
      <c r="I2682" t="n">
        <v>0</v>
      </c>
      <c r="J2682" t="n">
        <v>0</v>
      </c>
      <c r="K2682" t="n">
        <v>0</v>
      </c>
      <c r="L2682" t="n">
        <v>0</v>
      </c>
      <c r="M2682" t="n">
        <v>0</v>
      </c>
      <c r="N2682" t="n">
        <v>0</v>
      </c>
      <c r="O2682" t="n">
        <v>0</v>
      </c>
      <c r="P2682" t="n">
        <v>0</v>
      </c>
      <c r="Q2682" t="n">
        <v>0</v>
      </c>
      <c r="R2682" s="2" t="inlineStr"/>
    </row>
    <row r="2683" ht="15" customHeight="1">
      <c r="A2683" t="inlineStr">
        <is>
          <t>A 27105-2020</t>
        </is>
      </c>
      <c r="B2683" s="1" t="n">
        <v>43991</v>
      </c>
      <c r="C2683" s="1" t="n">
        <v>45212</v>
      </c>
      <c r="D2683" t="inlineStr">
        <is>
          <t>VÄSTERNORRLANDS LÄN</t>
        </is>
      </c>
      <c r="E2683" t="inlineStr">
        <is>
          <t>ÖRNSKÖLDSVIK</t>
        </is>
      </c>
      <c r="G2683" t="n">
        <v>2.2</v>
      </c>
      <c r="H2683" t="n">
        <v>0</v>
      </c>
      <c r="I2683" t="n">
        <v>0</v>
      </c>
      <c r="J2683" t="n">
        <v>0</v>
      </c>
      <c r="K2683" t="n">
        <v>0</v>
      </c>
      <c r="L2683" t="n">
        <v>0</v>
      </c>
      <c r="M2683" t="n">
        <v>0</v>
      </c>
      <c r="N2683" t="n">
        <v>0</v>
      </c>
      <c r="O2683" t="n">
        <v>0</v>
      </c>
      <c r="P2683" t="n">
        <v>0</v>
      </c>
      <c r="Q2683" t="n">
        <v>0</v>
      </c>
      <c r="R2683" s="2" t="inlineStr"/>
    </row>
    <row r="2684" ht="15" customHeight="1">
      <c r="A2684" t="inlineStr">
        <is>
          <t>A 27139-2020</t>
        </is>
      </c>
      <c r="B2684" s="1" t="n">
        <v>43991</v>
      </c>
      <c r="C2684" s="1" t="n">
        <v>45212</v>
      </c>
      <c r="D2684" t="inlineStr">
        <is>
          <t>VÄSTERNORRLANDS LÄN</t>
        </is>
      </c>
      <c r="E2684" t="inlineStr">
        <is>
          <t>ÖRNSKÖLDSVIK</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27199-2020</t>
        </is>
      </c>
      <c r="B2685" s="1" t="n">
        <v>43991</v>
      </c>
      <c r="C2685" s="1" t="n">
        <v>45212</v>
      </c>
      <c r="D2685" t="inlineStr">
        <is>
          <t>VÄSTERNORRLANDS LÄN</t>
        </is>
      </c>
      <c r="E2685" t="inlineStr">
        <is>
          <t>SOLLEFTEÅ</t>
        </is>
      </c>
      <c r="F2685" t="inlineStr">
        <is>
          <t>SCA</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27177-2020</t>
        </is>
      </c>
      <c r="B2686" s="1" t="n">
        <v>43991</v>
      </c>
      <c r="C2686" s="1" t="n">
        <v>45212</v>
      </c>
      <c r="D2686" t="inlineStr">
        <is>
          <t>VÄSTERNORRLANDS LÄN</t>
        </is>
      </c>
      <c r="E2686" t="inlineStr">
        <is>
          <t>SOLLEFTEÅ</t>
        </is>
      </c>
      <c r="F2686" t="inlineStr">
        <is>
          <t>Holmen skog AB</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27195-2020</t>
        </is>
      </c>
      <c r="B2687" s="1" t="n">
        <v>43991</v>
      </c>
      <c r="C2687" s="1" t="n">
        <v>45212</v>
      </c>
      <c r="D2687" t="inlineStr">
        <is>
          <t>VÄSTERNORRLANDS LÄN</t>
        </is>
      </c>
      <c r="E2687" t="inlineStr">
        <is>
          <t>SUNDSVALL</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27822-2020</t>
        </is>
      </c>
      <c r="B2688" s="1" t="n">
        <v>43992</v>
      </c>
      <c r="C2688" s="1" t="n">
        <v>45212</v>
      </c>
      <c r="D2688" t="inlineStr">
        <is>
          <t>VÄSTERNORRLANDS LÄN</t>
        </is>
      </c>
      <c r="E2688" t="inlineStr">
        <is>
          <t>ÖRNSKÖLDSVIK</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27454-2020</t>
        </is>
      </c>
      <c r="B2689" s="1" t="n">
        <v>43992</v>
      </c>
      <c r="C2689" s="1" t="n">
        <v>45212</v>
      </c>
      <c r="D2689" t="inlineStr">
        <is>
          <t>VÄSTERNORRLANDS LÄN</t>
        </is>
      </c>
      <c r="E2689" t="inlineStr">
        <is>
          <t>KRAMFORS</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27821-2020</t>
        </is>
      </c>
      <c r="B2690" s="1" t="n">
        <v>43992</v>
      </c>
      <c r="C2690" s="1" t="n">
        <v>45212</v>
      </c>
      <c r="D2690" t="inlineStr">
        <is>
          <t>VÄSTERNORRLANDS LÄN</t>
        </is>
      </c>
      <c r="E2690" t="inlineStr">
        <is>
          <t>ÖRNSKÖLDSVIK</t>
        </is>
      </c>
      <c r="G2690" t="n">
        <v>2.8</v>
      </c>
      <c r="H2690" t="n">
        <v>0</v>
      </c>
      <c r="I2690" t="n">
        <v>0</v>
      </c>
      <c r="J2690" t="n">
        <v>0</v>
      </c>
      <c r="K2690" t="n">
        <v>0</v>
      </c>
      <c r="L2690" t="n">
        <v>0</v>
      </c>
      <c r="M2690" t="n">
        <v>0</v>
      </c>
      <c r="N2690" t="n">
        <v>0</v>
      </c>
      <c r="O2690" t="n">
        <v>0</v>
      </c>
      <c r="P2690" t="n">
        <v>0</v>
      </c>
      <c r="Q2690" t="n">
        <v>0</v>
      </c>
      <c r="R2690" s="2" t="inlineStr"/>
    </row>
    <row r="2691" ht="15" customHeight="1">
      <c r="A2691" t="inlineStr">
        <is>
          <t>A 27351-2020</t>
        </is>
      </c>
      <c r="B2691" s="1" t="n">
        <v>43992</v>
      </c>
      <c r="C2691" s="1" t="n">
        <v>45212</v>
      </c>
      <c r="D2691" t="inlineStr">
        <is>
          <t>VÄSTERNORRLANDS LÄN</t>
        </is>
      </c>
      <c r="E2691" t="inlineStr">
        <is>
          <t>ÖRNSKÖLDSVIK</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27382-2020</t>
        </is>
      </c>
      <c r="B2692" s="1" t="n">
        <v>43992</v>
      </c>
      <c r="C2692" s="1" t="n">
        <v>45212</v>
      </c>
      <c r="D2692" t="inlineStr">
        <is>
          <t>VÄSTERNORRLANDS LÄN</t>
        </is>
      </c>
      <c r="E2692" t="inlineStr">
        <is>
          <t>ÖRNSKÖLDSVIK</t>
        </is>
      </c>
      <c r="F2692" t="inlineStr">
        <is>
          <t>Holmen skog AB</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27422-2020</t>
        </is>
      </c>
      <c r="B2693" s="1" t="n">
        <v>43992</v>
      </c>
      <c r="C2693" s="1" t="n">
        <v>45212</v>
      </c>
      <c r="D2693" t="inlineStr">
        <is>
          <t>VÄSTERNORRLANDS LÄN</t>
        </is>
      </c>
      <c r="E2693" t="inlineStr">
        <is>
          <t>ÖRNSKÖLDSVIK</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27773-2020</t>
        </is>
      </c>
      <c r="B2694" s="1" t="n">
        <v>43992</v>
      </c>
      <c r="C2694" s="1" t="n">
        <v>45212</v>
      </c>
      <c r="D2694" t="inlineStr">
        <is>
          <t>VÄSTERNORRLANDS LÄN</t>
        </is>
      </c>
      <c r="E2694" t="inlineStr">
        <is>
          <t>ÅNGE</t>
        </is>
      </c>
      <c r="G2694" t="n">
        <v>7.2</v>
      </c>
      <c r="H2694" t="n">
        <v>0</v>
      </c>
      <c r="I2694" t="n">
        <v>0</v>
      </c>
      <c r="J2694" t="n">
        <v>0</v>
      </c>
      <c r="K2694" t="n">
        <v>0</v>
      </c>
      <c r="L2694" t="n">
        <v>0</v>
      </c>
      <c r="M2694" t="n">
        <v>0</v>
      </c>
      <c r="N2694" t="n">
        <v>0</v>
      </c>
      <c r="O2694" t="n">
        <v>0</v>
      </c>
      <c r="P2694" t="n">
        <v>0</v>
      </c>
      <c r="Q2694" t="n">
        <v>0</v>
      </c>
      <c r="R2694" s="2" t="inlineStr"/>
    </row>
    <row r="2695" ht="15" customHeight="1">
      <c r="A2695" t="inlineStr">
        <is>
          <t>A 27274-2020</t>
        </is>
      </c>
      <c r="B2695" s="1" t="n">
        <v>43992</v>
      </c>
      <c r="C2695" s="1" t="n">
        <v>45212</v>
      </c>
      <c r="D2695" t="inlineStr">
        <is>
          <t>VÄSTERNORRLANDS LÄN</t>
        </is>
      </c>
      <c r="E2695" t="inlineStr">
        <is>
          <t>SUNDSVALL</t>
        </is>
      </c>
      <c r="G2695" t="n">
        <v>0.1</v>
      </c>
      <c r="H2695" t="n">
        <v>0</v>
      </c>
      <c r="I2695" t="n">
        <v>0</v>
      </c>
      <c r="J2695" t="n">
        <v>0</v>
      </c>
      <c r="K2695" t="n">
        <v>0</v>
      </c>
      <c r="L2695" t="n">
        <v>0</v>
      </c>
      <c r="M2695" t="n">
        <v>0</v>
      </c>
      <c r="N2695" t="n">
        <v>0</v>
      </c>
      <c r="O2695" t="n">
        <v>0</v>
      </c>
      <c r="P2695" t="n">
        <v>0</v>
      </c>
      <c r="Q2695" t="n">
        <v>0</v>
      </c>
      <c r="R2695" s="2" t="inlineStr"/>
    </row>
    <row r="2696" ht="15" customHeight="1">
      <c r="A2696" t="inlineStr">
        <is>
          <t>A 27551-2020</t>
        </is>
      </c>
      <c r="B2696" s="1" t="n">
        <v>43993</v>
      </c>
      <c r="C2696" s="1" t="n">
        <v>45212</v>
      </c>
      <c r="D2696" t="inlineStr">
        <is>
          <t>VÄSTERNORRLANDS LÄN</t>
        </is>
      </c>
      <c r="E2696" t="inlineStr">
        <is>
          <t>SUNDSVALL</t>
        </is>
      </c>
      <c r="G2696" t="n">
        <v>9.699999999999999</v>
      </c>
      <c r="H2696" t="n">
        <v>0</v>
      </c>
      <c r="I2696" t="n">
        <v>0</v>
      </c>
      <c r="J2696" t="n">
        <v>0</v>
      </c>
      <c r="K2696" t="n">
        <v>0</v>
      </c>
      <c r="L2696" t="n">
        <v>0</v>
      </c>
      <c r="M2696" t="n">
        <v>0</v>
      </c>
      <c r="N2696" t="n">
        <v>0</v>
      </c>
      <c r="O2696" t="n">
        <v>0</v>
      </c>
      <c r="P2696" t="n">
        <v>0</v>
      </c>
      <c r="Q2696" t="n">
        <v>0</v>
      </c>
      <c r="R2696" s="2" t="inlineStr"/>
    </row>
    <row r="2697" ht="15" customHeight="1">
      <c r="A2697" t="inlineStr">
        <is>
          <t>A 27885-2020</t>
        </is>
      </c>
      <c r="B2697" s="1" t="n">
        <v>43994</v>
      </c>
      <c r="C2697" s="1" t="n">
        <v>45212</v>
      </c>
      <c r="D2697" t="inlineStr">
        <is>
          <t>VÄSTERNORRLANDS LÄN</t>
        </is>
      </c>
      <c r="E2697" t="inlineStr">
        <is>
          <t>KRAMFORS</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27886-2020</t>
        </is>
      </c>
      <c r="B2698" s="1" t="n">
        <v>43994</v>
      </c>
      <c r="C2698" s="1" t="n">
        <v>45212</v>
      </c>
      <c r="D2698" t="inlineStr">
        <is>
          <t>VÄSTERNORRLANDS LÄN</t>
        </is>
      </c>
      <c r="E2698" t="inlineStr">
        <is>
          <t>KRAMFORS</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28180-2020</t>
        </is>
      </c>
      <c r="B2699" s="1" t="n">
        <v>43997</v>
      </c>
      <c r="C2699" s="1" t="n">
        <v>45212</v>
      </c>
      <c r="D2699" t="inlineStr">
        <is>
          <t>VÄSTERNORRLANDS LÄN</t>
        </is>
      </c>
      <c r="E2699" t="inlineStr">
        <is>
          <t>ÖRNSKÖLDSVIK</t>
        </is>
      </c>
      <c r="F2699" t="inlineStr">
        <is>
          <t>Holmen skog AB</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28218-2020</t>
        </is>
      </c>
      <c r="B2700" s="1" t="n">
        <v>43997</v>
      </c>
      <c r="C2700" s="1" t="n">
        <v>45212</v>
      </c>
      <c r="D2700" t="inlineStr">
        <is>
          <t>VÄSTERNORRLANDS LÄN</t>
        </is>
      </c>
      <c r="E2700" t="inlineStr">
        <is>
          <t>SUNDSVALL</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27951-2020</t>
        </is>
      </c>
      <c r="B2701" s="1" t="n">
        <v>43997</v>
      </c>
      <c r="C2701" s="1" t="n">
        <v>45212</v>
      </c>
      <c r="D2701" t="inlineStr">
        <is>
          <t>VÄSTERNORRLANDS LÄN</t>
        </is>
      </c>
      <c r="E2701" t="inlineStr">
        <is>
          <t>KRAMFORS</t>
        </is>
      </c>
      <c r="G2701" t="n">
        <v>18.7</v>
      </c>
      <c r="H2701" t="n">
        <v>0</v>
      </c>
      <c r="I2701" t="n">
        <v>0</v>
      </c>
      <c r="J2701" t="n">
        <v>0</v>
      </c>
      <c r="K2701" t="n">
        <v>0</v>
      </c>
      <c r="L2701" t="n">
        <v>0</v>
      </c>
      <c r="M2701" t="n">
        <v>0</v>
      </c>
      <c r="N2701" t="n">
        <v>0</v>
      </c>
      <c r="O2701" t="n">
        <v>0</v>
      </c>
      <c r="P2701" t="n">
        <v>0</v>
      </c>
      <c r="Q2701" t="n">
        <v>0</v>
      </c>
      <c r="R2701" s="2" t="inlineStr"/>
    </row>
    <row r="2702" ht="15" customHeight="1">
      <c r="A2702" t="inlineStr">
        <is>
          <t>A 28222-2020</t>
        </is>
      </c>
      <c r="B2702" s="1" t="n">
        <v>43997</v>
      </c>
      <c r="C2702" s="1" t="n">
        <v>45212</v>
      </c>
      <c r="D2702" t="inlineStr">
        <is>
          <t>VÄSTERNORRLANDS LÄN</t>
        </is>
      </c>
      <c r="E2702" t="inlineStr">
        <is>
          <t>SUNDSVALL</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27992-2020</t>
        </is>
      </c>
      <c r="B2703" s="1" t="n">
        <v>43997</v>
      </c>
      <c r="C2703" s="1" t="n">
        <v>45212</v>
      </c>
      <c r="D2703" t="inlineStr">
        <is>
          <t>VÄSTERNORRLANDS LÄN</t>
        </is>
      </c>
      <c r="E2703" t="inlineStr">
        <is>
          <t>SUNDSVALL</t>
        </is>
      </c>
      <c r="G2703" t="n">
        <v>0.1</v>
      </c>
      <c r="H2703" t="n">
        <v>0</v>
      </c>
      <c r="I2703" t="n">
        <v>0</v>
      </c>
      <c r="J2703" t="n">
        <v>0</v>
      </c>
      <c r="K2703" t="n">
        <v>0</v>
      </c>
      <c r="L2703" t="n">
        <v>0</v>
      </c>
      <c r="M2703" t="n">
        <v>0</v>
      </c>
      <c r="N2703" t="n">
        <v>0</v>
      </c>
      <c r="O2703" t="n">
        <v>0</v>
      </c>
      <c r="P2703" t="n">
        <v>0</v>
      </c>
      <c r="Q2703" t="n">
        <v>0</v>
      </c>
      <c r="R2703" s="2" t="inlineStr"/>
    </row>
    <row r="2704" ht="15" customHeight="1">
      <c r="A2704" t="inlineStr">
        <is>
          <t>A 28064-2020</t>
        </is>
      </c>
      <c r="B2704" s="1" t="n">
        <v>43997</v>
      </c>
      <c r="C2704" s="1" t="n">
        <v>45212</v>
      </c>
      <c r="D2704" t="inlineStr">
        <is>
          <t>VÄSTERNORRLANDS LÄN</t>
        </is>
      </c>
      <c r="E2704" t="inlineStr">
        <is>
          <t>ÅNGE</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28220-2020</t>
        </is>
      </c>
      <c r="B2705" s="1" t="n">
        <v>43997</v>
      </c>
      <c r="C2705" s="1" t="n">
        <v>45212</v>
      </c>
      <c r="D2705" t="inlineStr">
        <is>
          <t>VÄSTERNORRLANDS LÄN</t>
        </is>
      </c>
      <c r="E2705" t="inlineStr">
        <is>
          <t>SUNDSVALL</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28559-2020</t>
        </is>
      </c>
      <c r="B2706" s="1" t="n">
        <v>43997</v>
      </c>
      <c r="C2706" s="1" t="n">
        <v>45212</v>
      </c>
      <c r="D2706" t="inlineStr">
        <is>
          <t>VÄSTERNORRLANDS LÄN</t>
        </is>
      </c>
      <c r="E2706" t="inlineStr">
        <is>
          <t>SUNDSVALL</t>
        </is>
      </c>
      <c r="F2706" t="inlineStr">
        <is>
          <t>SCA</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28299-2020</t>
        </is>
      </c>
      <c r="B2707" s="1" t="n">
        <v>43998</v>
      </c>
      <c r="C2707" s="1" t="n">
        <v>45212</v>
      </c>
      <c r="D2707" t="inlineStr">
        <is>
          <t>VÄSTERNORRLANDS LÄN</t>
        </is>
      </c>
      <c r="E2707" t="inlineStr">
        <is>
          <t>ÖRNSKÖLDSVIK</t>
        </is>
      </c>
      <c r="F2707" t="inlineStr">
        <is>
          <t>Holmen skog AB</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28489-2020</t>
        </is>
      </c>
      <c r="B2708" s="1" t="n">
        <v>43998</v>
      </c>
      <c r="C2708" s="1" t="n">
        <v>45212</v>
      </c>
      <c r="D2708" t="inlineStr">
        <is>
          <t>VÄSTERNORRLANDS LÄN</t>
        </is>
      </c>
      <c r="E2708" t="inlineStr">
        <is>
          <t>SOLLEFTEÅ</t>
        </is>
      </c>
      <c r="F2708" t="inlineStr">
        <is>
          <t>SCA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28532-2020</t>
        </is>
      </c>
      <c r="B2709" s="1" t="n">
        <v>43999</v>
      </c>
      <c r="C2709" s="1" t="n">
        <v>45212</v>
      </c>
      <c r="D2709" t="inlineStr">
        <is>
          <t>VÄSTERNORRLANDS LÄN</t>
        </is>
      </c>
      <c r="E2709" t="inlineStr">
        <is>
          <t>KRAMFORS</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28724-2020</t>
        </is>
      </c>
      <c r="B2710" s="1" t="n">
        <v>43999</v>
      </c>
      <c r="C2710" s="1" t="n">
        <v>45212</v>
      </c>
      <c r="D2710" t="inlineStr">
        <is>
          <t>VÄSTERNORRLANDS LÄN</t>
        </is>
      </c>
      <c r="E2710" t="inlineStr">
        <is>
          <t>SUNDSVALL</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28655-2020</t>
        </is>
      </c>
      <c r="B2711" s="1" t="n">
        <v>43999</v>
      </c>
      <c r="C2711" s="1" t="n">
        <v>45212</v>
      </c>
      <c r="D2711" t="inlineStr">
        <is>
          <t>VÄSTERNORRLANDS LÄN</t>
        </is>
      </c>
      <c r="E2711" t="inlineStr">
        <is>
          <t>SUNDSVALL</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28727-2020</t>
        </is>
      </c>
      <c r="B2712" s="1" t="n">
        <v>43999</v>
      </c>
      <c r="C2712" s="1" t="n">
        <v>45212</v>
      </c>
      <c r="D2712" t="inlineStr">
        <is>
          <t>VÄSTERNORRLANDS LÄN</t>
        </is>
      </c>
      <c r="E2712" t="inlineStr">
        <is>
          <t>SUNDSVALL</t>
        </is>
      </c>
      <c r="G2712" t="n">
        <v>4.7</v>
      </c>
      <c r="H2712" t="n">
        <v>0</v>
      </c>
      <c r="I2712" t="n">
        <v>0</v>
      </c>
      <c r="J2712" t="n">
        <v>0</v>
      </c>
      <c r="K2712" t="n">
        <v>0</v>
      </c>
      <c r="L2712" t="n">
        <v>0</v>
      </c>
      <c r="M2712" t="n">
        <v>0</v>
      </c>
      <c r="N2712" t="n">
        <v>0</v>
      </c>
      <c r="O2712" t="n">
        <v>0</v>
      </c>
      <c r="P2712" t="n">
        <v>0</v>
      </c>
      <c r="Q2712" t="n">
        <v>0</v>
      </c>
      <c r="R2712" s="2" t="inlineStr"/>
    </row>
    <row r="2713" ht="15" customHeight="1">
      <c r="A2713" t="inlineStr">
        <is>
          <t>A 28762-2020</t>
        </is>
      </c>
      <c r="B2713" s="1" t="n">
        <v>43999</v>
      </c>
      <c r="C2713" s="1" t="n">
        <v>45212</v>
      </c>
      <c r="D2713" t="inlineStr">
        <is>
          <t>VÄSTERNORRLANDS LÄN</t>
        </is>
      </c>
      <c r="E2713" t="inlineStr">
        <is>
          <t>HÄRNÖSAND</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28890-2020</t>
        </is>
      </c>
      <c r="B2714" s="1" t="n">
        <v>44000</v>
      </c>
      <c r="C2714" s="1" t="n">
        <v>45212</v>
      </c>
      <c r="D2714" t="inlineStr">
        <is>
          <t>VÄSTERNORRLANDS LÄN</t>
        </is>
      </c>
      <c r="E2714" t="inlineStr">
        <is>
          <t>ÅNGE</t>
        </is>
      </c>
      <c r="G2714" t="n">
        <v>15.2</v>
      </c>
      <c r="H2714" t="n">
        <v>0</v>
      </c>
      <c r="I2714" t="n">
        <v>0</v>
      </c>
      <c r="J2714" t="n">
        <v>0</v>
      </c>
      <c r="K2714" t="n">
        <v>0</v>
      </c>
      <c r="L2714" t="n">
        <v>0</v>
      </c>
      <c r="M2714" t="n">
        <v>0</v>
      </c>
      <c r="N2714" t="n">
        <v>0</v>
      </c>
      <c r="O2714" t="n">
        <v>0</v>
      </c>
      <c r="P2714" t="n">
        <v>0</v>
      </c>
      <c r="Q2714" t="n">
        <v>0</v>
      </c>
      <c r="R2714" s="2" t="inlineStr"/>
    </row>
    <row r="2715" ht="15" customHeight="1">
      <c r="A2715" t="inlineStr">
        <is>
          <t>A 29059-2020</t>
        </is>
      </c>
      <c r="B2715" s="1" t="n">
        <v>44000</v>
      </c>
      <c r="C2715" s="1" t="n">
        <v>45212</v>
      </c>
      <c r="D2715" t="inlineStr">
        <is>
          <t>VÄSTERNORRLANDS LÄN</t>
        </is>
      </c>
      <c r="E2715" t="inlineStr">
        <is>
          <t>SUNDSVALL</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28832-2020</t>
        </is>
      </c>
      <c r="B2716" s="1" t="n">
        <v>44000</v>
      </c>
      <c r="C2716" s="1" t="n">
        <v>45212</v>
      </c>
      <c r="D2716" t="inlineStr">
        <is>
          <t>VÄSTERNORRLANDS LÄN</t>
        </is>
      </c>
      <c r="E2716" t="inlineStr">
        <is>
          <t>ÅNGE</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29430-2020</t>
        </is>
      </c>
      <c r="B2717" s="1" t="n">
        <v>44000</v>
      </c>
      <c r="C2717" s="1" t="n">
        <v>45212</v>
      </c>
      <c r="D2717" t="inlineStr">
        <is>
          <t>VÄSTERNORRLANDS LÄN</t>
        </is>
      </c>
      <c r="E2717" t="inlineStr">
        <is>
          <t>ÖRNSKÖLDSVIK</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29648-2020</t>
        </is>
      </c>
      <c r="B2718" s="1" t="n">
        <v>44004</v>
      </c>
      <c r="C2718" s="1" t="n">
        <v>45212</v>
      </c>
      <c r="D2718" t="inlineStr">
        <is>
          <t>VÄSTERNORRLANDS LÄN</t>
        </is>
      </c>
      <c r="E2718" t="inlineStr">
        <is>
          <t>SOLLEFTEÅ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29353-2020</t>
        </is>
      </c>
      <c r="B2719" s="1" t="n">
        <v>44004</v>
      </c>
      <c r="C2719" s="1" t="n">
        <v>45212</v>
      </c>
      <c r="D2719" t="inlineStr">
        <is>
          <t>VÄSTERNORRLANDS LÄN</t>
        </is>
      </c>
      <c r="E2719" t="inlineStr">
        <is>
          <t>ÖRNSKÖLDSVIK</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29475-2020</t>
        </is>
      </c>
      <c r="B2720" s="1" t="n">
        <v>44004</v>
      </c>
      <c r="C2720" s="1" t="n">
        <v>45212</v>
      </c>
      <c r="D2720" t="inlineStr">
        <is>
          <t>VÄSTERNORRLANDS LÄN</t>
        </is>
      </c>
      <c r="E2720" t="inlineStr">
        <is>
          <t>TIMRÅ</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29662-2020</t>
        </is>
      </c>
      <c r="B2721" s="1" t="n">
        <v>44004</v>
      </c>
      <c r="C2721" s="1" t="n">
        <v>45212</v>
      </c>
      <c r="D2721" t="inlineStr">
        <is>
          <t>VÄSTERNORRLANDS LÄN</t>
        </is>
      </c>
      <c r="E2721" t="inlineStr">
        <is>
          <t>ÖRNSKÖLDSVIK</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29189-2020</t>
        </is>
      </c>
      <c r="B2722" s="1" t="n">
        <v>44004</v>
      </c>
      <c r="C2722" s="1" t="n">
        <v>45212</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29507-2020</t>
        </is>
      </c>
      <c r="B2723" s="1" t="n">
        <v>44004</v>
      </c>
      <c r="C2723" s="1" t="n">
        <v>45212</v>
      </c>
      <c r="D2723" t="inlineStr">
        <is>
          <t>VÄSTERNORRLANDS LÄN</t>
        </is>
      </c>
      <c r="E2723" t="inlineStr">
        <is>
          <t>KRAMFORS</t>
        </is>
      </c>
      <c r="F2723" t="inlineStr">
        <is>
          <t>SCA</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30158-2020</t>
        </is>
      </c>
      <c r="B2724" s="1" t="n">
        <v>44005</v>
      </c>
      <c r="C2724" s="1" t="n">
        <v>45212</v>
      </c>
      <c r="D2724" t="inlineStr">
        <is>
          <t>VÄSTERNORRLANDS LÄN</t>
        </is>
      </c>
      <c r="E2724" t="inlineStr">
        <is>
          <t>KRAMFORS</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29784-2020</t>
        </is>
      </c>
      <c r="B2725" s="1" t="n">
        <v>44005</v>
      </c>
      <c r="C2725" s="1" t="n">
        <v>45212</v>
      </c>
      <c r="D2725" t="inlineStr">
        <is>
          <t>VÄSTERNORRLANDS LÄN</t>
        </is>
      </c>
      <c r="E2725" t="inlineStr">
        <is>
          <t>SUNDSVALL</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29801-2020</t>
        </is>
      </c>
      <c r="B2726" s="1" t="n">
        <v>44005</v>
      </c>
      <c r="C2726" s="1" t="n">
        <v>45212</v>
      </c>
      <c r="D2726" t="inlineStr">
        <is>
          <t>VÄSTERNORRLANDS LÄN</t>
        </is>
      </c>
      <c r="E2726" t="inlineStr">
        <is>
          <t>SOLLEFTEÅ</t>
        </is>
      </c>
      <c r="F2726" t="inlineStr">
        <is>
          <t>SCA</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30159-2020</t>
        </is>
      </c>
      <c r="B2727" s="1" t="n">
        <v>44005</v>
      </c>
      <c r="C2727" s="1" t="n">
        <v>45212</v>
      </c>
      <c r="D2727" t="inlineStr">
        <is>
          <t>VÄSTERNORRLANDS LÄN</t>
        </is>
      </c>
      <c r="E2727" t="inlineStr">
        <is>
          <t>KRAMFORS</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29777-2020</t>
        </is>
      </c>
      <c r="B2728" s="1" t="n">
        <v>44005</v>
      </c>
      <c r="C2728" s="1" t="n">
        <v>45212</v>
      </c>
      <c r="D2728" t="inlineStr">
        <is>
          <t>VÄSTERNORRLANDS LÄN</t>
        </is>
      </c>
      <c r="E2728" t="inlineStr">
        <is>
          <t>SUNDSVALL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29825-2020</t>
        </is>
      </c>
      <c r="B2729" s="1" t="n">
        <v>44005</v>
      </c>
      <c r="C2729" s="1" t="n">
        <v>45212</v>
      </c>
      <c r="D2729" t="inlineStr">
        <is>
          <t>VÄSTERNORRLANDS LÄN</t>
        </is>
      </c>
      <c r="E2729" t="inlineStr">
        <is>
          <t>SOLLEFTEÅ</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29815-2020</t>
        </is>
      </c>
      <c r="B2730" s="1" t="n">
        <v>44005</v>
      </c>
      <c r="C2730" s="1" t="n">
        <v>45212</v>
      </c>
      <c r="D2730" t="inlineStr">
        <is>
          <t>VÄSTERNORRLANDS LÄN</t>
        </is>
      </c>
      <c r="E2730" t="inlineStr">
        <is>
          <t>KRAMFORS</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30162-2020</t>
        </is>
      </c>
      <c r="B2731" s="1" t="n">
        <v>44005</v>
      </c>
      <c r="C2731" s="1" t="n">
        <v>45212</v>
      </c>
      <c r="D2731" t="inlineStr">
        <is>
          <t>VÄSTERNORRLANDS LÄN</t>
        </is>
      </c>
      <c r="E2731" t="inlineStr">
        <is>
          <t>KRAMFORS</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29916-2020</t>
        </is>
      </c>
      <c r="B2732" s="1" t="n">
        <v>44006</v>
      </c>
      <c r="C2732" s="1" t="n">
        <v>45212</v>
      </c>
      <c r="D2732" t="inlineStr">
        <is>
          <t>VÄSTERNORRLANDS LÄN</t>
        </is>
      </c>
      <c r="E2732" t="inlineStr">
        <is>
          <t>ÖRNSKÖLDSVIK</t>
        </is>
      </c>
      <c r="G2732" t="n">
        <v>6.4</v>
      </c>
      <c r="H2732" t="n">
        <v>0</v>
      </c>
      <c r="I2732" t="n">
        <v>0</v>
      </c>
      <c r="J2732" t="n">
        <v>0</v>
      </c>
      <c r="K2732" t="n">
        <v>0</v>
      </c>
      <c r="L2732" t="n">
        <v>0</v>
      </c>
      <c r="M2732" t="n">
        <v>0</v>
      </c>
      <c r="N2732" t="n">
        <v>0</v>
      </c>
      <c r="O2732" t="n">
        <v>0</v>
      </c>
      <c r="P2732" t="n">
        <v>0</v>
      </c>
      <c r="Q2732" t="n">
        <v>0</v>
      </c>
      <c r="R2732" s="2" t="inlineStr"/>
    </row>
    <row r="2733" ht="15" customHeight="1">
      <c r="A2733" t="inlineStr">
        <is>
          <t>A 29950-2020</t>
        </is>
      </c>
      <c r="B2733" s="1" t="n">
        <v>44006</v>
      </c>
      <c r="C2733" s="1" t="n">
        <v>45212</v>
      </c>
      <c r="D2733" t="inlineStr">
        <is>
          <t>VÄSTERNORRLANDS LÄN</t>
        </is>
      </c>
      <c r="E2733" t="inlineStr">
        <is>
          <t>ÅNGE</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30065-2020</t>
        </is>
      </c>
      <c r="B2734" s="1" t="n">
        <v>44006</v>
      </c>
      <c r="C2734" s="1" t="n">
        <v>45212</v>
      </c>
      <c r="D2734" t="inlineStr">
        <is>
          <t>VÄSTERNORRLANDS LÄN</t>
        </is>
      </c>
      <c r="E2734" t="inlineStr">
        <is>
          <t>HÄRNÖSAND</t>
        </is>
      </c>
      <c r="G2734" t="n">
        <v>3.7</v>
      </c>
      <c r="H2734" t="n">
        <v>0</v>
      </c>
      <c r="I2734" t="n">
        <v>0</v>
      </c>
      <c r="J2734" t="n">
        <v>0</v>
      </c>
      <c r="K2734" t="n">
        <v>0</v>
      </c>
      <c r="L2734" t="n">
        <v>0</v>
      </c>
      <c r="M2734" t="n">
        <v>0</v>
      </c>
      <c r="N2734" t="n">
        <v>0</v>
      </c>
      <c r="O2734" t="n">
        <v>0</v>
      </c>
      <c r="P2734" t="n">
        <v>0</v>
      </c>
      <c r="Q2734" t="n">
        <v>0</v>
      </c>
      <c r="R2734" s="2" t="inlineStr"/>
    </row>
    <row r="2735" ht="15" customHeight="1">
      <c r="A2735" t="inlineStr">
        <is>
          <t>A 29906-2020</t>
        </is>
      </c>
      <c r="B2735" s="1" t="n">
        <v>44006</v>
      </c>
      <c r="C2735" s="1" t="n">
        <v>45212</v>
      </c>
      <c r="D2735" t="inlineStr">
        <is>
          <t>VÄSTERNORRLANDS LÄN</t>
        </is>
      </c>
      <c r="E2735" t="inlineStr">
        <is>
          <t>SUNDSVALL</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30069-2020</t>
        </is>
      </c>
      <c r="B2736" s="1" t="n">
        <v>44006</v>
      </c>
      <c r="C2736" s="1" t="n">
        <v>45212</v>
      </c>
      <c r="D2736" t="inlineStr">
        <is>
          <t>VÄSTERNORRLANDS LÄN</t>
        </is>
      </c>
      <c r="E2736" t="inlineStr">
        <is>
          <t>HÄRNÖSAND</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30257-2020</t>
        </is>
      </c>
      <c r="B2737" s="1" t="n">
        <v>44007</v>
      </c>
      <c r="C2737" s="1" t="n">
        <v>45212</v>
      </c>
      <c r="D2737" t="inlineStr">
        <is>
          <t>VÄSTERNORRLANDS LÄN</t>
        </is>
      </c>
      <c r="E2737" t="inlineStr">
        <is>
          <t>HÄRNÖSAND</t>
        </is>
      </c>
      <c r="F2737" t="inlineStr">
        <is>
          <t>Övriga statliga verk och myndigheter</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30279-2020</t>
        </is>
      </c>
      <c r="B2738" s="1" t="n">
        <v>44007</v>
      </c>
      <c r="C2738" s="1" t="n">
        <v>45212</v>
      </c>
      <c r="D2738" t="inlineStr">
        <is>
          <t>VÄSTERNORRLANDS LÄN</t>
        </is>
      </c>
      <c r="E2738" t="inlineStr">
        <is>
          <t>ÖRNSKÖLDSVIK</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30421-2020</t>
        </is>
      </c>
      <c r="B2739" s="1" t="n">
        <v>44007</v>
      </c>
      <c r="C2739" s="1" t="n">
        <v>45212</v>
      </c>
      <c r="D2739" t="inlineStr">
        <is>
          <t>VÄSTERNORRLANDS LÄN</t>
        </is>
      </c>
      <c r="E2739" t="inlineStr">
        <is>
          <t>ÖRNSKÖLDSVIK</t>
        </is>
      </c>
      <c r="F2739" t="inlineStr">
        <is>
          <t>Holmen skog AB</t>
        </is>
      </c>
      <c r="G2739" t="n">
        <v>16.1</v>
      </c>
      <c r="H2739" t="n">
        <v>0</v>
      </c>
      <c r="I2739" t="n">
        <v>0</v>
      </c>
      <c r="J2739" t="n">
        <v>0</v>
      </c>
      <c r="K2739" t="n">
        <v>0</v>
      </c>
      <c r="L2739" t="n">
        <v>0</v>
      </c>
      <c r="M2739" t="n">
        <v>0</v>
      </c>
      <c r="N2739" t="n">
        <v>0</v>
      </c>
      <c r="O2739" t="n">
        <v>0</v>
      </c>
      <c r="P2739" t="n">
        <v>0</v>
      </c>
      <c r="Q2739" t="n">
        <v>0</v>
      </c>
      <c r="R2739" s="2" t="inlineStr"/>
    </row>
    <row r="2740" ht="15" customHeight="1">
      <c r="A2740" t="inlineStr">
        <is>
          <t>A 30492-2020</t>
        </is>
      </c>
      <c r="B2740" s="1" t="n">
        <v>44007</v>
      </c>
      <c r="C2740" s="1" t="n">
        <v>45212</v>
      </c>
      <c r="D2740" t="inlineStr">
        <is>
          <t>VÄSTERNORRLANDS LÄN</t>
        </is>
      </c>
      <c r="E2740" t="inlineStr">
        <is>
          <t>SOLLEFTEÅ</t>
        </is>
      </c>
      <c r="F2740" t="inlineStr">
        <is>
          <t>SCA</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30499-2020</t>
        </is>
      </c>
      <c r="B2741" s="1" t="n">
        <v>44007</v>
      </c>
      <c r="C2741" s="1" t="n">
        <v>45212</v>
      </c>
      <c r="D2741" t="inlineStr">
        <is>
          <t>VÄSTERNORRLANDS LÄN</t>
        </is>
      </c>
      <c r="E2741" t="inlineStr">
        <is>
          <t>HÄRNÖSAND</t>
        </is>
      </c>
      <c r="F2741" t="inlineStr">
        <is>
          <t>SCA</t>
        </is>
      </c>
      <c r="G2741" t="n">
        <v>0.1</v>
      </c>
      <c r="H2741" t="n">
        <v>0</v>
      </c>
      <c r="I2741" t="n">
        <v>0</v>
      </c>
      <c r="J2741" t="n">
        <v>0</v>
      </c>
      <c r="K2741" t="n">
        <v>0</v>
      </c>
      <c r="L2741" t="n">
        <v>0</v>
      </c>
      <c r="M2741" t="n">
        <v>0</v>
      </c>
      <c r="N2741" t="n">
        <v>0</v>
      </c>
      <c r="O2741" t="n">
        <v>0</v>
      </c>
      <c r="P2741" t="n">
        <v>0</v>
      </c>
      <c r="Q2741" t="n">
        <v>0</v>
      </c>
      <c r="R2741" s="2" t="inlineStr"/>
    </row>
    <row r="2742" ht="15" customHeight="1">
      <c r="A2742" t="inlineStr">
        <is>
          <t>A 30484-2020</t>
        </is>
      </c>
      <c r="B2742" s="1" t="n">
        <v>44007</v>
      </c>
      <c r="C2742" s="1" t="n">
        <v>45212</v>
      </c>
      <c r="D2742" t="inlineStr">
        <is>
          <t>VÄSTERNORRLANDS LÄN</t>
        </is>
      </c>
      <c r="E2742" t="inlineStr">
        <is>
          <t>SOLLEFTEÅ</t>
        </is>
      </c>
      <c r="F2742" t="inlineStr">
        <is>
          <t>SCA</t>
        </is>
      </c>
      <c r="G2742" t="n">
        <v>3.3</v>
      </c>
      <c r="H2742" t="n">
        <v>0</v>
      </c>
      <c r="I2742" t="n">
        <v>0</v>
      </c>
      <c r="J2742" t="n">
        <v>0</v>
      </c>
      <c r="K2742" t="n">
        <v>0</v>
      </c>
      <c r="L2742" t="n">
        <v>0</v>
      </c>
      <c r="M2742" t="n">
        <v>0</v>
      </c>
      <c r="N2742" t="n">
        <v>0</v>
      </c>
      <c r="O2742" t="n">
        <v>0</v>
      </c>
      <c r="P2742" t="n">
        <v>0</v>
      </c>
      <c r="Q2742" t="n">
        <v>0</v>
      </c>
      <c r="R2742" s="2" t="inlineStr"/>
    </row>
    <row r="2743" ht="15" customHeight="1">
      <c r="A2743" t="inlineStr">
        <is>
          <t>A 30685-2020</t>
        </is>
      </c>
      <c r="B2743" s="1" t="n">
        <v>44008</v>
      </c>
      <c r="C2743" s="1" t="n">
        <v>45212</v>
      </c>
      <c r="D2743" t="inlineStr">
        <is>
          <t>VÄSTERNORRLANDS LÄN</t>
        </is>
      </c>
      <c r="E2743" t="inlineStr">
        <is>
          <t>SUNDSVALL</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30747-2020</t>
        </is>
      </c>
      <c r="B2744" s="1" t="n">
        <v>44008</v>
      </c>
      <c r="C2744" s="1" t="n">
        <v>45212</v>
      </c>
      <c r="D2744" t="inlineStr">
        <is>
          <t>VÄSTERNORRLANDS LÄN</t>
        </is>
      </c>
      <c r="E2744" t="inlineStr">
        <is>
          <t>SOLLEFTEÅ</t>
        </is>
      </c>
      <c r="F2744" t="inlineStr">
        <is>
          <t>SCA</t>
        </is>
      </c>
      <c r="G2744" t="n">
        <v>2.5</v>
      </c>
      <c r="H2744" t="n">
        <v>0</v>
      </c>
      <c r="I2744" t="n">
        <v>0</v>
      </c>
      <c r="J2744" t="n">
        <v>0</v>
      </c>
      <c r="K2744" t="n">
        <v>0</v>
      </c>
      <c r="L2744" t="n">
        <v>0</v>
      </c>
      <c r="M2744" t="n">
        <v>0</v>
      </c>
      <c r="N2744" t="n">
        <v>0</v>
      </c>
      <c r="O2744" t="n">
        <v>0</v>
      </c>
      <c r="P2744" t="n">
        <v>0</v>
      </c>
      <c r="Q2744" t="n">
        <v>0</v>
      </c>
      <c r="R2744" s="2" t="inlineStr"/>
    </row>
    <row r="2745" ht="15" customHeight="1">
      <c r="A2745" t="inlineStr">
        <is>
          <t>A 30753-2020</t>
        </is>
      </c>
      <c r="B2745" s="1" t="n">
        <v>44008</v>
      </c>
      <c r="C2745" s="1" t="n">
        <v>45212</v>
      </c>
      <c r="D2745" t="inlineStr">
        <is>
          <t>VÄSTERNORRLANDS LÄN</t>
        </is>
      </c>
      <c r="E2745" t="inlineStr">
        <is>
          <t>SOLLEFTEÅ</t>
        </is>
      </c>
      <c r="F2745" t="inlineStr">
        <is>
          <t>SCA</t>
        </is>
      </c>
      <c r="G2745" t="n">
        <v>10.7</v>
      </c>
      <c r="H2745" t="n">
        <v>0</v>
      </c>
      <c r="I2745" t="n">
        <v>0</v>
      </c>
      <c r="J2745" t="n">
        <v>0</v>
      </c>
      <c r="K2745" t="n">
        <v>0</v>
      </c>
      <c r="L2745" t="n">
        <v>0</v>
      </c>
      <c r="M2745" t="n">
        <v>0</v>
      </c>
      <c r="N2745" t="n">
        <v>0</v>
      </c>
      <c r="O2745" t="n">
        <v>0</v>
      </c>
      <c r="P2745" t="n">
        <v>0</v>
      </c>
      <c r="Q2745" t="n">
        <v>0</v>
      </c>
      <c r="R2745" s="2" t="inlineStr"/>
    </row>
    <row r="2746" ht="15" customHeight="1">
      <c r="A2746" t="inlineStr">
        <is>
          <t>A 30683-2020</t>
        </is>
      </c>
      <c r="B2746" s="1" t="n">
        <v>44008</v>
      </c>
      <c r="C2746" s="1" t="n">
        <v>45212</v>
      </c>
      <c r="D2746" t="inlineStr">
        <is>
          <t>VÄSTERNORRLANDS LÄN</t>
        </is>
      </c>
      <c r="E2746" t="inlineStr">
        <is>
          <t>ÖRNSKÖLDSVIK</t>
        </is>
      </c>
      <c r="F2746" t="inlineStr">
        <is>
          <t>Holmen skog AB</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31083-2020</t>
        </is>
      </c>
      <c r="B2747" s="1" t="n">
        <v>44011</v>
      </c>
      <c r="C2747" s="1" t="n">
        <v>45212</v>
      </c>
      <c r="D2747" t="inlineStr">
        <is>
          <t>VÄSTERNORRLANDS LÄN</t>
        </is>
      </c>
      <c r="E2747" t="inlineStr">
        <is>
          <t>ÖRNSKÖLDSVIK</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30989-2020</t>
        </is>
      </c>
      <c r="B2748" s="1" t="n">
        <v>44011</v>
      </c>
      <c r="C2748" s="1" t="n">
        <v>45212</v>
      </c>
      <c r="D2748" t="inlineStr">
        <is>
          <t>VÄSTERNORRLANDS LÄN</t>
        </is>
      </c>
      <c r="E2748" t="inlineStr">
        <is>
          <t>ÖRNSKÖLDSVIK</t>
        </is>
      </c>
      <c r="F2748" t="inlineStr">
        <is>
          <t>Holmen skog AB</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31079-2020</t>
        </is>
      </c>
      <c r="B2749" s="1" t="n">
        <v>44011</v>
      </c>
      <c r="C2749" s="1" t="n">
        <v>45212</v>
      </c>
      <c r="D2749" t="inlineStr">
        <is>
          <t>VÄSTERNORRLANDS LÄN</t>
        </is>
      </c>
      <c r="E2749" t="inlineStr">
        <is>
          <t>ÅNGE</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31293-2020</t>
        </is>
      </c>
      <c r="B2750" s="1" t="n">
        <v>44012</v>
      </c>
      <c r="C2750" s="1" t="n">
        <v>45212</v>
      </c>
      <c r="D2750" t="inlineStr">
        <is>
          <t>VÄSTERNORRLANDS LÄN</t>
        </is>
      </c>
      <c r="E2750" t="inlineStr">
        <is>
          <t>KRAMFORS</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31313-2020</t>
        </is>
      </c>
      <c r="B2751" s="1" t="n">
        <v>44012</v>
      </c>
      <c r="C2751" s="1" t="n">
        <v>45212</v>
      </c>
      <c r="D2751" t="inlineStr">
        <is>
          <t>VÄSTERNORRLANDS LÄN</t>
        </is>
      </c>
      <c r="E2751" t="inlineStr">
        <is>
          <t>SOLLEFTEÅ</t>
        </is>
      </c>
      <c r="F2751" t="inlineStr">
        <is>
          <t>SCA</t>
        </is>
      </c>
      <c r="G2751" t="n">
        <v>6.9</v>
      </c>
      <c r="H2751" t="n">
        <v>0</v>
      </c>
      <c r="I2751" t="n">
        <v>0</v>
      </c>
      <c r="J2751" t="n">
        <v>0</v>
      </c>
      <c r="K2751" t="n">
        <v>0</v>
      </c>
      <c r="L2751" t="n">
        <v>0</v>
      </c>
      <c r="M2751" t="n">
        <v>0</v>
      </c>
      <c r="N2751" t="n">
        <v>0</v>
      </c>
      <c r="O2751" t="n">
        <v>0</v>
      </c>
      <c r="P2751" t="n">
        <v>0</v>
      </c>
      <c r="Q2751" t="n">
        <v>0</v>
      </c>
      <c r="R2751" s="2" t="inlineStr"/>
    </row>
    <row r="2752" ht="15" customHeight="1">
      <c r="A2752" t="inlineStr">
        <is>
          <t>A 31050-2020</t>
        </is>
      </c>
      <c r="B2752" s="1" t="n">
        <v>44012</v>
      </c>
      <c r="C2752" s="1" t="n">
        <v>45212</v>
      </c>
      <c r="D2752" t="inlineStr">
        <is>
          <t>VÄSTERNORRLANDS LÄN</t>
        </is>
      </c>
      <c r="E2752" t="inlineStr">
        <is>
          <t>ÖRNSKÖLDSVIK</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31067-2020</t>
        </is>
      </c>
      <c r="B2753" s="1" t="n">
        <v>44012</v>
      </c>
      <c r="C2753" s="1" t="n">
        <v>45212</v>
      </c>
      <c r="D2753" t="inlineStr">
        <is>
          <t>VÄSTERNORRLANDS LÄN</t>
        </is>
      </c>
      <c r="E2753" t="inlineStr">
        <is>
          <t>ÖRNSKÖLDSVIK</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31294-2020</t>
        </is>
      </c>
      <c r="B2754" s="1" t="n">
        <v>44012</v>
      </c>
      <c r="C2754" s="1" t="n">
        <v>45212</v>
      </c>
      <c r="D2754" t="inlineStr">
        <is>
          <t>VÄSTERNORRLANDS LÄN</t>
        </is>
      </c>
      <c r="E2754" t="inlineStr">
        <is>
          <t>KRAMFORS</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31729-2020</t>
        </is>
      </c>
      <c r="B2755" s="1" t="n">
        <v>44013</v>
      </c>
      <c r="C2755" s="1" t="n">
        <v>45212</v>
      </c>
      <c r="D2755" t="inlineStr">
        <is>
          <t>VÄSTERNORRLANDS LÄN</t>
        </is>
      </c>
      <c r="E2755" t="inlineStr">
        <is>
          <t>ÖRNSKÖLDSVIK</t>
        </is>
      </c>
      <c r="G2755" t="n">
        <v>12.6</v>
      </c>
      <c r="H2755" t="n">
        <v>0</v>
      </c>
      <c r="I2755" t="n">
        <v>0</v>
      </c>
      <c r="J2755" t="n">
        <v>0</v>
      </c>
      <c r="K2755" t="n">
        <v>0</v>
      </c>
      <c r="L2755" t="n">
        <v>0</v>
      </c>
      <c r="M2755" t="n">
        <v>0</v>
      </c>
      <c r="N2755" t="n">
        <v>0</v>
      </c>
      <c r="O2755" t="n">
        <v>0</v>
      </c>
      <c r="P2755" t="n">
        <v>0</v>
      </c>
      <c r="Q2755" t="n">
        <v>0</v>
      </c>
      <c r="R2755" s="2" t="inlineStr"/>
    </row>
    <row r="2756" ht="15" customHeight="1">
      <c r="A2756" t="inlineStr">
        <is>
          <t>A 31560-2020</t>
        </is>
      </c>
      <c r="B2756" s="1" t="n">
        <v>44013</v>
      </c>
      <c r="C2756" s="1" t="n">
        <v>45212</v>
      </c>
      <c r="D2756" t="inlineStr">
        <is>
          <t>VÄSTERNORRLANDS LÄN</t>
        </is>
      </c>
      <c r="E2756" t="inlineStr">
        <is>
          <t>ÖRNSKÖLDSVIK</t>
        </is>
      </c>
      <c r="F2756" t="inlineStr">
        <is>
          <t>Holmen skog AB</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31594-2020</t>
        </is>
      </c>
      <c r="B2757" s="1" t="n">
        <v>44013</v>
      </c>
      <c r="C2757" s="1" t="n">
        <v>45212</v>
      </c>
      <c r="D2757" t="inlineStr">
        <is>
          <t>VÄSTERNORRLANDS LÄN</t>
        </is>
      </c>
      <c r="E2757" t="inlineStr">
        <is>
          <t>ÖRNSKÖLDSVIK</t>
        </is>
      </c>
      <c r="F2757" t="inlineStr">
        <is>
          <t>Holmen skog AB</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31643-2020</t>
        </is>
      </c>
      <c r="B2758" s="1" t="n">
        <v>44013</v>
      </c>
      <c r="C2758" s="1" t="n">
        <v>45212</v>
      </c>
      <c r="D2758" t="inlineStr">
        <is>
          <t>VÄSTERNORRLANDS LÄN</t>
        </is>
      </c>
      <c r="E2758" t="inlineStr">
        <is>
          <t>ÅNGE</t>
        </is>
      </c>
      <c r="F2758" t="inlineStr">
        <is>
          <t>SCA</t>
        </is>
      </c>
      <c r="G2758" t="n">
        <v>7.2</v>
      </c>
      <c r="H2758" t="n">
        <v>0</v>
      </c>
      <c r="I2758" t="n">
        <v>0</v>
      </c>
      <c r="J2758" t="n">
        <v>0</v>
      </c>
      <c r="K2758" t="n">
        <v>0</v>
      </c>
      <c r="L2758" t="n">
        <v>0</v>
      </c>
      <c r="M2758" t="n">
        <v>0</v>
      </c>
      <c r="N2758" t="n">
        <v>0</v>
      </c>
      <c r="O2758" t="n">
        <v>0</v>
      </c>
      <c r="P2758" t="n">
        <v>0</v>
      </c>
      <c r="Q2758" t="n">
        <v>0</v>
      </c>
      <c r="R2758" s="2" t="inlineStr"/>
    </row>
    <row r="2759" ht="15" customHeight="1">
      <c r="A2759" t="inlineStr">
        <is>
          <t>A 31586-2020</t>
        </is>
      </c>
      <c r="B2759" s="1" t="n">
        <v>44013</v>
      </c>
      <c r="C2759" s="1" t="n">
        <v>45212</v>
      </c>
      <c r="D2759" t="inlineStr">
        <is>
          <t>VÄSTERNORRLANDS LÄN</t>
        </is>
      </c>
      <c r="E2759" t="inlineStr">
        <is>
          <t>SUNDSVALL</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31867-2020</t>
        </is>
      </c>
      <c r="B2760" s="1" t="n">
        <v>44014</v>
      </c>
      <c r="C2760" s="1" t="n">
        <v>45212</v>
      </c>
      <c r="D2760" t="inlineStr">
        <is>
          <t>VÄSTERNORRLANDS LÄN</t>
        </is>
      </c>
      <c r="E2760" t="inlineStr">
        <is>
          <t>ÅNGE</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31965-2020</t>
        </is>
      </c>
      <c r="B2761" s="1" t="n">
        <v>44014</v>
      </c>
      <c r="C2761" s="1" t="n">
        <v>45212</v>
      </c>
      <c r="D2761" t="inlineStr">
        <is>
          <t>VÄSTERNORRLANDS LÄN</t>
        </is>
      </c>
      <c r="E2761" t="inlineStr">
        <is>
          <t>SUNDSVALL</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31996-2020</t>
        </is>
      </c>
      <c r="B2762" s="1" t="n">
        <v>44014</v>
      </c>
      <c r="C2762" s="1" t="n">
        <v>45212</v>
      </c>
      <c r="D2762" t="inlineStr">
        <is>
          <t>VÄSTERNORRLANDS LÄN</t>
        </is>
      </c>
      <c r="E2762" t="inlineStr">
        <is>
          <t>HÄRNÖSAND</t>
        </is>
      </c>
      <c r="G2762" t="n">
        <v>3.8</v>
      </c>
      <c r="H2762" t="n">
        <v>0</v>
      </c>
      <c r="I2762" t="n">
        <v>0</v>
      </c>
      <c r="J2762" t="n">
        <v>0</v>
      </c>
      <c r="K2762" t="n">
        <v>0</v>
      </c>
      <c r="L2762" t="n">
        <v>0</v>
      </c>
      <c r="M2762" t="n">
        <v>0</v>
      </c>
      <c r="N2762" t="n">
        <v>0</v>
      </c>
      <c r="O2762" t="n">
        <v>0</v>
      </c>
      <c r="P2762" t="n">
        <v>0</v>
      </c>
      <c r="Q2762" t="n">
        <v>0</v>
      </c>
      <c r="R2762" s="2" t="inlineStr"/>
    </row>
    <row r="2763" ht="15" customHeight="1">
      <c r="A2763" t="inlineStr">
        <is>
          <t>A 32170-2020</t>
        </is>
      </c>
      <c r="B2763" s="1" t="n">
        <v>44014</v>
      </c>
      <c r="C2763" s="1" t="n">
        <v>45212</v>
      </c>
      <c r="D2763" t="inlineStr">
        <is>
          <t>VÄSTERNORRLANDS LÄN</t>
        </is>
      </c>
      <c r="E2763" t="inlineStr">
        <is>
          <t>HÄRNÖSAND</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31677-2020</t>
        </is>
      </c>
      <c r="B2764" s="1" t="n">
        <v>44014</v>
      </c>
      <c r="C2764" s="1" t="n">
        <v>45212</v>
      </c>
      <c r="D2764" t="inlineStr">
        <is>
          <t>VÄSTERNORRLANDS LÄN</t>
        </is>
      </c>
      <c r="E2764" t="inlineStr">
        <is>
          <t>ÖRNSKÖLDSVIK</t>
        </is>
      </c>
      <c r="G2764" t="n">
        <v>5.9</v>
      </c>
      <c r="H2764" t="n">
        <v>0</v>
      </c>
      <c r="I2764" t="n">
        <v>0</v>
      </c>
      <c r="J2764" t="n">
        <v>0</v>
      </c>
      <c r="K2764" t="n">
        <v>0</v>
      </c>
      <c r="L2764" t="n">
        <v>0</v>
      </c>
      <c r="M2764" t="n">
        <v>0</v>
      </c>
      <c r="N2764" t="n">
        <v>0</v>
      </c>
      <c r="O2764" t="n">
        <v>0</v>
      </c>
      <c r="P2764" t="n">
        <v>0</v>
      </c>
      <c r="Q2764" t="n">
        <v>0</v>
      </c>
      <c r="R2764" s="2" t="inlineStr"/>
    </row>
    <row r="2765" ht="15" customHeight="1">
      <c r="A2765" t="inlineStr">
        <is>
          <t>A 31926-2020</t>
        </is>
      </c>
      <c r="B2765" s="1" t="n">
        <v>44014</v>
      </c>
      <c r="C2765" s="1" t="n">
        <v>45212</v>
      </c>
      <c r="D2765" t="inlineStr">
        <is>
          <t>VÄSTERNORRLANDS LÄN</t>
        </is>
      </c>
      <c r="E2765" t="inlineStr">
        <is>
          <t>ÅNGE</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32005-2020</t>
        </is>
      </c>
      <c r="B2766" s="1" t="n">
        <v>44014</v>
      </c>
      <c r="C2766" s="1" t="n">
        <v>45212</v>
      </c>
      <c r="D2766" t="inlineStr">
        <is>
          <t>VÄSTERNORRLANDS LÄN</t>
        </is>
      </c>
      <c r="E2766" t="inlineStr">
        <is>
          <t>HÄRNÖSAND</t>
        </is>
      </c>
      <c r="G2766" t="n">
        <v>8.6</v>
      </c>
      <c r="H2766" t="n">
        <v>0</v>
      </c>
      <c r="I2766" t="n">
        <v>0</v>
      </c>
      <c r="J2766" t="n">
        <v>0</v>
      </c>
      <c r="K2766" t="n">
        <v>0</v>
      </c>
      <c r="L2766" t="n">
        <v>0</v>
      </c>
      <c r="M2766" t="n">
        <v>0</v>
      </c>
      <c r="N2766" t="n">
        <v>0</v>
      </c>
      <c r="O2766" t="n">
        <v>0</v>
      </c>
      <c r="P2766" t="n">
        <v>0</v>
      </c>
      <c r="Q2766" t="n">
        <v>0</v>
      </c>
      <c r="R2766" s="2" t="inlineStr"/>
    </row>
    <row r="2767" ht="15" customHeight="1">
      <c r="A2767" t="inlineStr">
        <is>
          <t>A 32115-2020</t>
        </is>
      </c>
      <c r="B2767" s="1" t="n">
        <v>44014</v>
      </c>
      <c r="C2767" s="1" t="n">
        <v>45212</v>
      </c>
      <c r="D2767" t="inlineStr">
        <is>
          <t>VÄSTERNORRLANDS LÄN</t>
        </is>
      </c>
      <c r="E2767" t="inlineStr">
        <is>
          <t>KRAMFORS</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31984-2020</t>
        </is>
      </c>
      <c r="B2768" s="1" t="n">
        <v>44014</v>
      </c>
      <c r="C2768" s="1" t="n">
        <v>45212</v>
      </c>
      <c r="D2768" t="inlineStr">
        <is>
          <t>VÄSTERNORRLANDS LÄN</t>
        </is>
      </c>
      <c r="E2768" t="inlineStr">
        <is>
          <t>SUNDSVALL</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32000-2020</t>
        </is>
      </c>
      <c r="B2769" s="1" t="n">
        <v>44014</v>
      </c>
      <c r="C2769" s="1" t="n">
        <v>45212</v>
      </c>
      <c r="D2769" t="inlineStr">
        <is>
          <t>VÄSTERNORRLANDS LÄN</t>
        </is>
      </c>
      <c r="E2769" t="inlineStr">
        <is>
          <t>HÄRNÖSAND</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32299-2020</t>
        </is>
      </c>
      <c r="B2770" s="1" t="n">
        <v>44015</v>
      </c>
      <c r="C2770" s="1" t="n">
        <v>45212</v>
      </c>
      <c r="D2770" t="inlineStr">
        <is>
          <t>VÄSTERNORRLANDS LÄN</t>
        </is>
      </c>
      <c r="E2770" t="inlineStr">
        <is>
          <t>ÅNGE</t>
        </is>
      </c>
      <c r="F2770" t="inlineStr">
        <is>
          <t>SCA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32198-2020</t>
        </is>
      </c>
      <c r="B2771" s="1" t="n">
        <v>44015</v>
      </c>
      <c r="C2771" s="1" t="n">
        <v>45212</v>
      </c>
      <c r="D2771" t="inlineStr">
        <is>
          <t>VÄSTERNORRLANDS LÄN</t>
        </is>
      </c>
      <c r="E2771" t="inlineStr">
        <is>
          <t>ÖRNSKÖLDSVIK</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32461-2020</t>
        </is>
      </c>
      <c r="B2772" s="1" t="n">
        <v>44015</v>
      </c>
      <c r="C2772" s="1" t="n">
        <v>45212</v>
      </c>
      <c r="D2772" t="inlineStr">
        <is>
          <t>VÄSTERNORRLANDS LÄN</t>
        </is>
      </c>
      <c r="E2772" t="inlineStr">
        <is>
          <t>SOLLEFTEÅ</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32303-2020</t>
        </is>
      </c>
      <c r="B2773" s="1" t="n">
        <v>44015</v>
      </c>
      <c r="C2773" s="1" t="n">
        <v>45212</v>
      </c>
      <c r="D2773" t="inlineStr">
        <is>
          <t>VÄSTERNORRLANDS LÄN</t>
        </is>
      </c>
      <c r="E2773" t="inlineStr">
        <is>
          <t>ÅNGE</t>
        </is>
      </c>
      <c r="F2773" t="inlineStr">
        <is>
          <t>SCA</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32318-2020</t>
        </is>
      </c>
      <c r="B2774" s="1" t="n">
        <v>44015</v>
      </c>
      <c r="C2774" s="1" t="n">
        <v>45212</v>
      </c>
      <c r="D2774" t="inlineStr">
        <is>
          <t>VÄSTERNORRLANDS LÄN</t>
        </is>
      </c>
      <c r="E2774" t="inlineStr">
        <is>
          <t>SOLLEFTEÅ</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32211-2020</t>
        </is>
      </c>
      <c r="B2775" s="1" t="n">
        <v>44015</v>
      </c>
      <c r="C2775" s="1" t="n">
        <v>45212</v>
      </c>
      <c r="D2775" t="inlineStr">
        <is>
          <t>VÄSTERNORRLANDS LÄN</t>
        </is>
      </c>
      <c r="E2775" t="inlineStr">
        <is>
          <t>ÖRNSKÖLDSVIK</t>
        </is>
      </c>
      <c r="F2775" t="inlineStr">
        <is>
          <t>Kyrkan</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32866-2020</t>
        </is>
      </c>
      <c r="B2776" s="1" t="n">
        <v>44018</v>
      </c>
      <c r="C2776" s="1" t="n">
        <v>45212</v>
      </c>
      <c r="D2776" t="inlineStr">
        <is>
          <t>VÄSTERNORRLANDS LÄN</t>
        </is>
      </c>
      <c r="E2776" t="inlineStr">
        <is>
          <t>KRAMFORS</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32425-2020</t>
        </is>
      </c>
      <c r="B2777" s="1" t="n">
        <v>44018</v>
      </c>
      <c r="C2777" s="1" t="n">
        <v>45212</v>
      </c>
      <c r="D2777" t="inlineStr">
        <is>
          <t>VÄSTERNORRLANDS LÄN</t>
        </is>
      </c>
      <c r="E2777" t="inlineStr">
        <is>
          <t>SUNDSVALL</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32919-2020</t>
        </is>
      </c>
      <c r="B2778" s="1" t="n">
        <v>44018</v>
      </c>
      <c r="C2778" s="1" t="n">
        <v>45212</v>
      </c>
      <c r="D2778" t="inlineStr">
        <is>
          <t>VÄSTERNORRLANDS LÄN</t>
        </is>
      </c>
      <c r="E2778" t="inlineStr">
        <is>
          <t>SOLLEFTEÅ</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32573-2020</t>
        </is>
      </c>
      <c r="B2779" s="1" t="n">
        <v>44018</v>
      </c>
      <c r="C2779" s="1" t="n">
        <v>45212</v>
      </c>
      <c r="D2779" t="inlineStr">
        <is>
          <t>VÄSTERNORRLANDS LÄN</t>
        </is>
      </c>
      <c r="E2779" t="inlineStr">
        <is>
          <t>ÖRNSKÖLDSVIK</t>
        </is>
      </c>
      <c r="F2779" t="inlineStr">
        <is>
          <t>Holmen skog AB</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32852-2020</t>
        </is>
      </c>
      <c r="B2780" s="1" t="n">
        <v>44018</v>
      </c>
      <c r="C2780" s="1" t="n">
        <v>45212</v>
      </c>
      <c r="D2780" t="inlineStr">
        <is>
          <t>VÄSTERNORRLANDS LÄN</t>
        </is>
      </c>
      <c r="E2780" t="inlineStr">
        <is>
          <t>KRAMFORS</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32929-2020</t>
        </is>
      </c>
      <c r="B2781" s="1" t="n">
        <v>44018</v>
      </c>
      <c r="C2781" s="1" t="n">
        <v>45212</v>
      </c>
      <c r="D2781" t="inlineStr">
        <is>
          <t>VÄSTERNORRLANDS LÄN</t>
        </is>
      </c>
      <c r="E2781" t="inlineStr">
        <is>
          <t>SOLLEFTEÅ</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32402-2020</t>
        </is>
      </c>
      <c r="B2782" s="1" t="n">
        <v>44018</v>
      </c>
      <c r="C2782" s="1" t="n">
        <v>45212</v>
      </c>
      <c r="D2782" t="inlineStr">
        <is>
          <t>VÄSTERNORRLANDS LÄN</t>
        </is>
      </c>
      <c r="E2782" t="inlineStr">
        <is>
          <t>ÖRNSKÖLDSVIK</t>
        </is>
      </c>
      <c r="G2782" t="n">
        <v>20.9</v>
      </c>
      <c r="H2782" t="n">
        <v>0</v>
      </c>
      <c r="I2782" t="n">
        <v>0</v>
      </c>
      <c r="J2782" t="n">
        <v>0</v>
      </c>
      <c r="K2782" t="n">
        <v>0</v>
      </c>
      <c r="L2782" t="n">
        <v>0</v>
      </c>
      <c r="M2782" t="n">
        <v>0</v>
      </c>
      <c r="N2782" t="n">
        <v>0</v>
      </c>
      <c r="O2782" t="n">
        <v>0</v>
      </c>
      <c r="P2782" t="n">
        <v>0</v>
      </c>
      <c r="Q2782" t="n">
        <v>0</v>
      </c>
      <c r="R2782" s="2" t="inlineStr"/>
    </row>
    <row r="2783" ht="15" customHeight="1">
      <c r="A2783" t="inlineStr">
        <is>
          <t>A 32646-2020</t>
        </is>
      </c>
      <c r="B2783" s="1" t="n">
        <v>44018</v>
      </c>
      <c r="C2783" s="1" t="n">
        <v>45212</v>
      </c>
      <c r="D2783" t="inlineStr">
        <is>
          <t>VÄSTERNORRLANDS LÄN</t>
        </is>
      </c>
      <c r="E2783" t="inlineStr">
        <is>
          <t>SUNDSVALL</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32850-2020</t>
        </is>
      </c>
      <c r="B2784" s="1" t="n">
        <v>44018</v>
      </c>
      <c r="C2784" s="1" t="n">
        <v>45212</v>
      </c>
      <c r="D2784" t="inlineStr">
        <is>
          <t>VÄSTERNORRLANDS LÄN</t>
        </is>
      </c>
      <c r="E2784" t="inlineStr">
        <is>
          <t>KRAMFORS</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32924-2020</t>
        </is>
      </c>
      <c r="B2785" s="1" t="n">
        <v>44018</v>
      </c>
      <c r="C2785" s="1" t="n">
        <v>45212</v>
      </c>
      <c r="D2785" t="inlineStr">
        <is>
          <t>VÄSTERNORRLANDS LÄN</t>
        </is>
      </c>
      <c r="E2785" t="inlineStr">
        <is>
          <t>SOLLEFTEÅ</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32772-2020</t>
        </is>
      </c>
      <c r="B2786" s="1" t="n">
        <v>44019</v>
      </c>
      <c r="C2786" s="1" t="n">
        <v>45212</v>
      </c>
      <c r="D2786" t="inlineStr">
        <is>
          <t>VÄSTERNORRLANDS LÄN</t>
        </is>
      </c>
      <c r="E2786" t="inlineStr">
        <is>
          <t>KRAMFORS</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32774-2020</t>
        </is>
      </c>
      <c r="B2787" s="1" t="n">
        <v>44019</v>
      </c>
      <c r="C2787" s="1" t="n">
        <v>45212</v>
      </c>
      <c r="D2787" t="inlineStr">
        <is>
          <t>VÄSTERNORRLANDS LÄN</t>
        </is>
      </c>
      <c r="E2787" t="inlineStr">
        <is>
          <t>KRAMFORS</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32786-2020</t>
        </is>
      </c>
      <c r="B2788" s="1" t="n">
        <v>44019</v>
      </c>
      <c r="C2788" s="1" t="n">
        <v>45212</v>
      </c>
      <c r="D2788" t="inlineStr">
        <is>
          <t>VÄSTERNORRLANDS LÄN</t>
        </is>
      </c>
      <c r="E2788" t="inlineStr">
        <is>
          <t>HÄRNÖSAND</t>
        </is>
      </c>
      <c r="F2788" t="inlineStr">
        <is>
          <t>SCA</t>
        </is>
      </c>
      <c r="G2788" t="n">
        <v>4</v>
      </c>
      <c r="H2788" t="n">
        <v>0</v>
      </c>
      <c r="I2788" t="n">
        <v>0</v>
      </c>
      <c r="J2788" t="n">
        <v>0</v>
      </c>
      <c r="K2788" t="n">
        <v>0</v>
      </c>
      <c r="L2788" t="n">
        <v>0</v>
      </c>
      <c r="M2788" t="n">
        <v>0</v>
      </c>
      <c r="N2788" t="n">
        <v>0</v>
      </c>
      <c r="O2788" t="n">
        <v>0</v>
      </c>
      <c r="P2788" t="n">
        <v>0</v>
      </c>
      <c r="Q2788" t="n">
        <v>0</v>
      </c>
      <c r="R2788" s="2" t="inlineStr"/>
    </row>
    <row r="2789" ht="15" customHeight="1">
      <c r="A2789" t="inlineStr">
        <is>
          <t>A 32742-2020</t>
        </is>
      </c>
      <c r="B2789" s="1" t="n">
        <v>44019</v>
      </c>
      <c r="C2789" s="1" t="n">
        <v>45212</v>
      </c>
      <c r="D2789" t="inlineStr">
        <is>
          <t>VÄSTERNORRLANDS LÄN</t>
        </is>
      </c>
      <c r="E2789" t="inlineStr">
        <is>
          <t>SOLLEFTEÅ</t>
        </is>
      </c>
      <c r="F2789" t="inlineStr">
        <is>
          <t>SCA</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32760-2020</t>
        </is>
      </c>
      <c r="B2790" s="1" t="n">
        <v>44019</v>
      </c>
      <c r="C2790" s="1" t="n">
        <v>45212</v>
      </c>
      <c r="D2790" t="inlineStr">
        <is>
          <t>VÄSTERNORRLANDS LÄN</t>
        </is>
      </c>
      <c r="E2790" t="inlineStr">
        <is>
          <t>ÅNGE</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32998-2020</t>
        </is>
      </c>
      <c r="B2791" s="1" t="n">
        <v>44020</v>
      </c>
      <c r="C2791" s="1" t="n">
        <v>45212</v>
      </c>
      <c r="D2791" t="inlineStr">
        <is>
          <t>VÄSTERNORRLANDS LÄN</t>
        </is>
      </c>
      <c r="E2791" t="inlineStr">
        <is>
          <t>SUNDSVALL</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33009-2020</t>
        </is>
      </c>
      <c r="B2792" s="1" t="n">
        <v>44020</v>
      </c>
      <c r="C2792" s="1" t="n">
        <v>45212</v>
      </c>
      <c r="D2792" t="inlineStr">
        <is>
          <t>VÄSTERNORRLANDS LÄN</t>
        </is>
      </c>
      <c r="E2792" t="inlineStr">
        <is>
          <t>SOLLEFTEÅ</t>
        </is>
      </c>
      <c r="F2792" t="inlineStr">
        <is>
          <t>SCA</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33013-2020</t>
        </is>
      </c>
      <c r="B2793" s="1" t="n">
        <v>44020</v>
      </c>
      <c r="C2793" s="1" t="n">
        <v>45212</v>
      </c>
      <c r="D2793" t="inlineStr">
        <is>
          <t>VÄSTERNORRLANDS LÄN</t>
        </is>
      </c>
      <c r="E2793" t="inlineStr">
        <is>
          <t>SOLLEFTEÅ</t>
        </is>
      </c>
      <c r="F2793" t="inlineStr">
        <is>
          <t>SCA</t>
        </is>
      </c>
      <c r="G2793" t="n">
        <v>6.6</v>
      </c>
      <c r="H2793" t="n">
        <v>0</v>
      </c>
      <c r="I2793" t="n">
        <v>0</v>
      </c>
      <c r="J2793" t="n">
        <v>0</v>
      </c>
      <c r="K2793" t="n">
        <v>0</v>
      </c>
      <c r="L2793" t="n">
        <v>0</v>
      </c>
      <c r="M2793" t="n">
        <v>0</v>
      </c>
      <c r="N2793" t="n">
        <v>0</v>
      </c>
      <c r="O2793" t="n">
        <v>0</v>
      </c>
      <c r="P2793" t="n">
        <v>0</v>
      </c>
      <c r="Q2793" t="n">
        <v>0</v>
      </c>
      <c r="R2793" s="2" t="inlineStr"/>
    </row>
    <row r="2794" ht="15" customHeight="1">
      <c r="A2794" t="inlineStr">
        <is>
          <t>A 33010-2020</t>
        </is>
      </c>
      <c r="B2794" s="1" t="n">
        <v>44020</v>
      </c>
      <c r="C2794" s="1" t="n">
        <v>45212</v>
      </c>
      <c r="D2794" t="inlineStr">
        <is>
          <t>VÄSTERNORRLANDS LÄN</t>
        </is>
      </c>
      <c r="E2794" t="inlineStr">
        <is>
          <t>SOLLEFTEÅ</t>
        </is>
      </c>
      <c r="F2794" t="inlineStr">
        <is>
          <t>SCA</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33208-2020</t>
        </is>
      </c>
      <c r="B2795" s="1" t="n">
        <v>44021</v>
      </c>
      <c r="C2795" s="1" t="n">
        <v>45212</v>
      </c>
      <c r="D2795" t="inlineStr">
        <is>
          <t>VÄSTERNORRLANDS LÄN</t>
        </is>
      </c>
      <c r="E2795" t="inlineStr">
        <is>
          <t>SOLLEFTEÅ</t>
        </is>
      </c>
      <c r="F2795" t="inlineStr">
        <is>
          <t>SCA</t>
        </is>
      </c>
      <c r="G2795" t="n">
        <v>3.7</v>
      </c>
      <c r="H2795" t="n">
        <v>0</v>
      </c>
      <c r="I2795" t="n">
        <v>0</v>
      </c>
      <c r="J2795" t="n">
        <v>0</v>
      </c>
      <c r="K2795" t="n">
        <v>0</v>
      </c>
      <c r="L2795" t="n">
        <v>0</v>
      </c>
      <c r="M2795" t="n">
        <v>0</v>
      </c>
      <c r="N2795" t="n">
        <v>0</v>
      </c>
      <c r="O2795" t="n">
        <v>0</v>
      </c>
      <c r="P2795" t="n">
        <v>0</v>
      </c>
      <c r="Q2795" t="n">
        <v>0</v>
      </c>
      <c r="R2795" s="2" t="inlineStr"/>
    </row>
    <row r="2796" ht="15" customHeight="1">
      <c r="A2796" t="inlineStr">
        <is>
          <t>A 33211-2020</t>
        </is>
      </c>
      <c r="B2796" s="1" t="n">
        <v>44021</v>
      </c>
      <c r="C2796" s="1" t="n">
        <v>45212</v>
      </c>
      <c r="D2796" t="inlineStr">
        <is>
          <t>VÄSTERNORRLANDS LÄN</t>
        </is>
      </c>
      <c r="E2796" t="inlineStr">
        <is>
          <t>SOLLEFTEÅ</t>
        </is>
      </c>
      <c r="F2796" t="inlineStr">
        <is>
          <t>SCA</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33200-2020</t>
        </is>
      </c>
      <c r="B2797" s="1" t="n">
        <v>44021</v>
      </c>
      <c r="C2797" s="1" t="n">
        <v>45212</v>
      </c>
      <c r="D2797" t="inlineStr">
        <is>
          <t>VÄSTERNORRLANDS LÄN</t>
        </is>
      </c>
      <c r="E2797" t="inlineStr">
        <is>
          <t>SOLLEFTEÅ</t>
        </is>
      </c>
      <c r="F2797" t="inlineStr">
        <is>
          <t>SCA</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33209-2020</t>
        </is>
      </c>
      <c r="B2798" s="1" t="n">
        <v>44021</v>
      </c>
      <c r="C2798" s="1" t="n">
        <v>45212</v>
      </c>
      <c r="D2798" t="inlineStr">
        <is>
          <t>VÄSTERNORRLANDS LÄN</t>
        </is>
      </c>
      <c r="E2798" t="inlineStr">
        <is>
          <t>SOLLEFTEÅ</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33212-2020</t>
        </is>
      </c>
      <c r="B2799" s="1" t="n">
        <v>44021</v>
      </c>
      <c r="C2799" s="1" t="n">
        <v>45212</v>
      </c>
      <c r="D2799" t="inlineStr">
        <is>
          <t>VÄSTERNORRLANDS LÄN</t>
        </is>
      </c>
      <c r="E2799" t="inlineStr">
        <is>
          <t>SOLLEFTEÅ</t>
        </is>
      </c>
      <c r="F2799" t="inlineStr">
        <is>
          <t>SCA</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33445-2020</t>
        </is>
      </c>
      <c r="B2800" s="1" t="n">
        <v>44022</v>
      </c>
      <c r="C2800" s="1" t="n">
        <v>45212</v>
      </c>
      <c r="D2800" t="inlineStr">
        <is>
          <t>VÄSTERNORRLANDS LÄN</t>
        </is>
      </c>
      <c r="E2800" t="inlineStr">
        <is>
          <t>SOLLEFTEÅ</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33440-2020</t>
        </is>
      </c>
      <c r="B2801" s="1" t="n">
        <v>44022</v>
      </c>
      <c r="C2801" s="1" t="n">
        <v>45212</v>
      </c>
      <c r="D2801" t="inlineStr">
        <is>
          <t>VÄSTERNORRLANDS LÄN</t>
        </is>
      </c>
      <c r="E2801" t="inlineStr">
        <is>
          <t>SOLLEFTEÅ</t>
        </is>
      </c>
      <c r="F2801" t="inlineStr">
        <is>
          <t>SCA</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33458-2020</t>
        </is>
      </c>
      <c r="B2802" s="1" t="n">
        <v>44022</v>
      </c>
      <c r="C2802" s="1" t="n">
        <v>45212</v>
      </c>
      <c r="D2802" t="inlineStr">
        <is>
          <t>VÄSTERNORRLANDS LÄN</t>
        </is>
      </c>
      <c r="E2802" t="inlineStr">
        <is>
          <t>SOLLEFTEÅ</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33492-2020</t>
        </is>
      </c>
      <c r="B2803" s="1" t="n">
        <v>44024</v>
      </c>
      <c r="C2803" s="1" t="n">
        <v>45212</v>
      </c>
      <c r="D2803" t="inlineStr">
        <is>
          <t>VÄSTERNORRLANDS LÄN</t>
        </is>
      </c>
      <c r="E2803" t="inlineStr">
        <is>
          <t>SOLLEFTEÅ</t>
        </is>
      </c>
      <c r="F2803" t="inlineStr">
        <is>
          <t>SCA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33628-2020</t>
        </is>
      </c>
      <c r="B2804" s="1" t="n">
        <v>44025</v>
      </c>
      <c r="C2804" s="1" t="n">
        <v>45212</v>
      </c>
      <c r="D2804" t="inlineStr">
        <is>
          <t>VÄSTERNORRLANDS LÄN</t>
        </is>
      </c>
      <c r="E2804" t="inlineStr">
        <is>
          <t>SOLLEFTEÅ</t>
        </is>
      </c>
      <c r="F2804" t="inlineStr">
        <is>
          <t>SCA</t>
        </is>
      </c>
      <c r="G2804" t="n">
        <v>8</v>
      </c>
      <c r="H2804" t="n">
        <v>0</v>
      </c>
      <c r="I2804" t="n">
        <v>0</v>
      </c>
      <c r="J2804" t="n">
        <v>0</v>
      </c>
      <c r="K2804" t="n">
        <v>0</v>
      </c>
      <c r="L2804" t="n">
        <v>0</v>
      </c>
      <c r="M2804" t="n">
        <v>0</v>
      </c>
      <c r="N2804" t="n">
        <v>0</v>
      </c>
      <c r="O2804" t="n">
        <v>0</v>
      </c>
      <c r="P2804" t="n">
        <v>0</v>
      </c>
      <c r="Q2804" t="n">
        <v>0</v>
      </c>
      <c r="R2804" s="2" t="inlineStr"/>
    </row>
    <row r="2805" ht="15" customHeight="1">
      <c r="A2805" t="inlineStr">
        <is>
          <t>A 33641-2020</t>
        </is>
      </c>
      <c r="B2805" s="1" t="n">
        <v>44025</v>
      </c>
      <c r="C2805" s="1" t="n">
        <v>45212</v>
      </c>
      <c r="D2805" t="inlineStr">
        <is>
          <t>VÄSTERNORRLANDS LÄN</t>
        </is>
      </c>
      <c r="E2805" t="inlineStr">
        <is>
          <t>SOLLEFTEÅ</t>
        </is>
      </c>
      <c r="F2805" t="inlineStr">
        <is>
          <t>SCA</t>
        </is>
      </c>
      <c r="G2805" t="n">
        <v>8.1</v>
      </c>
      <c r="H2805" t="n">
        <v>0</v>
      </c>
      <c r="I2805" t="n">
        <v>0</v>
      </c>
      <c r="J2805" t="n">
        <v>0</v>
      </c>
      <c r="K2805" t="n">
        <v>0</v>
      </c>
      <c r="L2805" t="n">
        <v>0</v>
      </c>
      <c r="M2805" t="n">
        <v>0</v>
      </c>
      <c r="N2805" t="n">
        <v>0</v>
      </c>
      <c r="O2805" t="n">
        <v>0</v>
      </c>
      <c r="P2805" t="n">
        <v>0</v>
      </c>
      <c r="Q2805" t="n">
        <v>0</v>
      </c>
      <c r="R2805" s="2" t="inlineStr"/>
    </row>
    <row r="2806" ht="15" customHeight="1">
      <c r="A2806" t="inlineStr">
        <is>
          <t>A 33524-2020</t>
        </is>
      </c>
      <c r="B2806" s="1" t="n">
        <v>44025</v>
      </c>
      <c r="C2806" s="1" t="n">
        <v>45212</v>
      </c>
      <c r="D2806" t="inlineStr">
        <is>
          <t>VÄSTERNORRLANDS LÄN</t>
        </is>
      </c>
      <c r="E2806" t="inlineStr">
        <is>
          <t>ÅNGE</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33554-2020</t>
        </is>
      </c>
      <c r="B2807" s="1" t="n">
        <v>44025</v>
      </c>
      <c r="C2807" s="1" t="n">
        <v>45212</v>
      </c>
      <c r="D2807" t="inlineStr">
        <is>
          <t>VÄSTERNORRLANDS LÄN</t>
        </is>
      </c>
      <c r="E2807" t="inlineStr">
        <is>
          <t>ÖRNSKÖLDSVIK</t>
        </is>
      </c>
      <c r="F2807" t="inlineStr">
        <is>
          <t>Kommuner</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33563-2020</t>
        </is>
      </c>
      <c r="B2808" s="1" t="n">
        <v>44025</v>
      </c>
      <c r="C2808" s="1" t="n">
        <v>45212</v>
      </c>
      <c r="D2808" t="inlineStr">
        <is>
          <t>VÄSTERNORRLANDS LÄN</t>
        </is>
      </c>
      <c r="E2808" t="inlineStr">
        <is>
          <t>ÖRNSKÖLDSVIK</t>
        </is>
      </c>
      <c r="F2808" t="inlineStr">
        <is>
          <t>Kommuner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33640-2020</t>
        </is>
      </c>
      <c r="B2809" s="1" t="n">
        <v>44025</v>
      </c>
      <c r="C2809" s="1" t="n">
        <v>45212</v>
      </c>
      <c r="D2809" t="inlineStr">
        <is>
          <t>VÄSTERNORRLANDS LÄN</t>
        </is>
      </c>
      <c r="E2809" t="inlineStr">
        <is>
          <t>SOLLEFTEÅ</t>
        </is>
      </c>
      <c r="F2809" t="inlineStr">
        <is>
          <t>SCA</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33877-2020</t>
        </is>
      </c>
      <c r="B2810" s="1" t="n">
        <v>44025</v>
      </c>
      <c r="C2810" s="1" t="n">
        <v>45212</v>
      </c>
      <c r="D2810" t="inlineStr">
        <is>
          <t>VÄSTERNORRLANDS LÄN</t>
        </is>
      </c>
      <c r="E2810" t="inlineStr">
        <is>
          <t>SUNDSVALL</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33784-2020</t>
        </is>
      </c>
      <c r="B2811" s="1" t="n">
        <v>44026</v>
      </c>
      <c r="C2811" s="1" t="n">
        <v>45212</v>
      </c>
      <c r="D2811" t="inlineStr">
        <is>
          <t>VÄSTERNORRLANDS LÄN</t>
        </is>
      </c>
      <c r="E2811" t="inlineStr">
        <is>
          <t>SOLLEFTEÅ</t>
        </is>
      </c>
      <c r="F2811" t="inlineStr">
        <is>
          <t>SCA</t>
        </is>
      </c>
      <c r="G2811" t="n">
        <v>10.6</v>
      </c>
      <c r="H2811" t="n">
        <v>0</v>
      </c>
      <c r="I2811" t="n">
        <v>0</v>
      </c>
      <c r="J2811" t="n">
        <v>0</v>
      </c>
      <c r="K2811" t="n">
        <v>0</v>
      </c>
      <c r="L2811" t="n">
        <v>0</v>
      </c>
      <c r="M2811" t="n">
        <v>0</v>
      </c>
      <c r="N2811" t="n">
        <v>0</v>
      </c>
      <c r="O2811" t="n">
        <v>0</v>
      </c>
      <c r="P2811" t="n">
        <v>0</v>
      </c>
      <c r="Q2811" t="n">
        <v>0</v>
      </c>
      <c r="R2811" s="2" t="inlineStr"/>
    </row>
    <row r="2812" ht="15" customHeight="1">
      <c r="A2812" t="inlineStr">
        <is>
          <t>A 33782-2020</t>
        </is>
      </c>
      <c r="B2812" s="1" t="n">
        <v>44026</v>
      </c>
      <c r="C2812" s="1" t="n">
        <v>45212</v>
      </c>
      <c r="D2812" t="inlineStr">
        <is>
          <t>VÄSTERNORRLANDS LÄN</t>
        </is>
      </c>
      <c r="E2812" t="inlineStr">
        <is>
          <t>SOLLEFTEÅ</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33703-2020</t>
        </is>
      </c>
      <c r="B2813" s="1" t="n">
        <v>44026</v>
      </c>
      <c r="C2813" s="1" t="n">
        <v>45212</v>
      </c>
      <c r="D2813" t="inlineStr">
        <is>
          <t>VÄSTERNORRLANDS LÄN</t>
        </is>
      </c>
      <c r="E2813" t="inlineStr">
        <is>
          <t>ÖRNSKÖLDSVIK</t>
        </is>
      </c>
      <c r="F2813" t="inlineStr">
        <is>
          <t>Holmen skog AB</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33727-2020</t>
        </is>
      </c>
      <c r="B2814" s="1" t="n">
        <v>44026</v>
      </c>
      <c r="C2814" s="1" t="n">
        <v>45212</v>
      </c>
      <c r="D2814" t="inlineStr">
        <is>
          <t>VÄSTERNORRLANDS LÄN</t>
        </is>
      </c>
      <c r="E2814" t="inlineStr">
        <is>
          <t>ÖRNSKÖLDSVIK</t>
        </is>
      </c>
      <c r="F2814" t="inlineStr">
        <is>
          <t>Holmen skog AB</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33779-2020</t>
        </is>
      </c>
      <c r="B2815" s="1" t="n">
        <v>44026</v>
      </c>
      <c r="C2815" s="1" t="n">
        <v>45212</v>
      </c>
      <c r="D2815" t="inlineStr">
        <is>
          <t>VÄSTERNORRLANDS LÄN</t>
        </is>
      </c>
      <c r="E2815" t="inlineStr">
        <is>
          <t>SUNDSVALL</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33879-2020</t>
        </is>
      </c>
      <c r="B2816" s="1" t="n">
        <v>44027</v>
      </c>
      <c r="C2816" s="1" t="n">
        <v>45212</v>
      </c>
      <c r="D2816" t="inlineStr">
        <is>
          <t>VÄSTERNORRLANDS LÄN</t>
        </is>
      </c>
      <c r="E2816" t="inlineStr">
        <is>
          <t>ÖRNSKÖLDSVIK</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33929-2020</t>
        </is>
      </c>
      <c r="B2817" s="1" t="n">
        <v>44027</v>
      </c>
      <c r="C2817" s="1" t="n">
        <v>45212</v>
      </c>
      <c r="D2817" t="inlineStr">
        <is>
          <t>VÄSTERNORRLANDS LÄN</t>
        </is>
      </c>
      <c r="E2817" t="inlineStr">
        <is>
          <t>KRAMFORS</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33950-2020</t>
        </is>
      </c>
      <c r="B2818" s="1" t="n">
        <v>44027</v>
      </c>
      <c r="C2818" s="1" t="n">
        <v>45212</v>
      </c>
      <c r="D2818" t="inlineStr">
        <is>
          <t>VÄSTERNORRLANDS LÄN</t>
        </is>
      </c>
      <c r="E2818" t="inlineStr">
        <is>
          <t>SOLLEFTEÅ</t>
        </is>
      </c>
      <c r="F2818" t="inlineStr">
        <is>
          <t>SCA</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33966-2020</t>
        </is>
      </c>
      <c r="B2819" s="1" t="n">
        <v>44028</v>
      </c>
      <c r="C2819" s="1" t="n">
        <v>45212</v>
      </c>
      <c r="D2819" t="inlineStr">
        <is>
          <t>VÄSTERNORRLANDS LÄN</t>
        </is>
      </c>
      <c r="E2819" t="inlineStr">
        <is>
          <t>TIMRÅ</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34090-2020</t>
        </is>
      </c>
      <c r="B2820" s="1" t="n">
        <v>44028</v>
      </c>
      <c r="C2820" s="1" t="n">
        <v>45212</v>
      </c>
      <c r="D2820" t="inlineStr">
        <is>
          <t>VÄSTERNORRLANDS LÄN</t>
        </is>
      </c>
      <c r="E2820" t="inlineStr">
        <is>
          <t>SOLLEFTEÅ</t>
        </is>
      </c>
      <c r="F2820" t="inlineStr">
        <is>
          <t>SCA</t>
        </is>
      </c>
      <c r="G2820" t="n">
        <v>7.8</v>
      </c>
      <c r="H2820" t="n">
        <v>0</v>
      </c>
      <c r="I2820" t="n">
        <v>0</v>
      </c>
      <c r="J2820" t="n">
        <v>0</v>
      </c>
      <c r="K2820" t="n">
        <v>0</v>
      </c>
      <c r="L2820" t="n">
        <v>0</v>
      </c>
      <c r="M2820" t="n">
        <v>0</v>
      </c>
      <c r="N2820" t="n">
        <v>0</v>
      </c>
      <c r="O2820" t="n">
        <v>0</v>
      </c>
      <c r="P2820" t="n">
        <v>0</v>
      </c>
      <c r="Q2820" t="n">
        <v>0</v>
      </c>
      <c r="R2820" s="2" t="inlineStr"/>
    </row>
    <row r="2821" ht="15" customHeight="1">
      <c r="A2821" t="inlineStr">
        <is>
          <t>A 34352-2020</t>
        </is>
      </c>
      <c r="B2821" s="1" t="n">
        <v>44028</v>
      </c>
      <c r="C2821" s="1" t="n">
        <v>45212</v>
      </c>
      <c r="D2821" t="inlineStr">
        <is>
          <t>VÄSTERNORRLANDS LÄN</t>
        </is>
      </c>
      <c r="E2821" t="inlineStr">
        <is>
          <t>KRAMFORS</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34175-2020</t>
        </is>
      </c>
      <c r="B2822" s="1" t="n">
        <v>44029</v>
      </c>
      <c r="C2822" s="1" t="n">
        <v>45212</v>
      </c>
      <c r="D2822" t="inlineStr">
        <is>
          <t>VÄSTERNORRLANDS LÄN</t>
        </is>
      </c>
      <c r="E2822" t="inlineStr">
        <is>
          <t>ÅNGE</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34237-2020</t>
        </is>
      </c>
      <c r="B2823" s="1" t="n">
        <v>44029</v>
      </c>
      <c r="C2823" s="1" t="n">
        <v>45212</v>
      </c>
      <c r="D2823" t="inlineStr">
        <is>
          <t>VÄSTERNORRLANDS LÄN</t>
        </is>
      </c>
      <c r="E2823" t="inlineStr">
        <is>
          <t>ÅNGE</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34120-2020</t>
        </is>
      </c>
      <c r="B2824" s="1" t="n">
        <v>44029</v>
      </c>
      <c r="C2824" s="1" t="n">
        <v>45212</v>
      </c>
      <c r="D2824" t="inlineStr">
        <is>
          <t>VÄSTERNORRLANDS LÄN</t>
        </is>
      </c>
      <c r="E2824" t="inlineStr">
        <is>
          <t>SOLLEFTEÅ</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34400-2020</t>
        </is>
      </c>
      <c r="B2825" s="1" t="n">
        <v>44032</v>
      </c>
      <c r="C2825" s="1" t="n">
        <v>45212</v>
      </c>
      <c r="D2825" t="inlineStr">
        <is>
          <t>VÄSTERNORRLANDS LÄN</t>
        </is>
      </c>
      <c r="E2825" t="inlineStr">
        <is>
          <t>ÅNGE</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34420-2020</t>
        </is>
      </c>
      <c r="B2826" s="1" t="n">
        <v>44032</v>
      </c>
      <c r="C2826" s="1" t="n">
        <v>45212</v>
      </c>
      <c r="D2826" t="inlineStr">
        <is>
          <t>VÄSTERNORRLANDS LÄN</t>
        </is>
      </c>
      <c r="E2826" t="inlineStr">
        <is>
          <t>ÅNGE</t>
        </is>
      </c>
      <c r="G2826" t="n">
        <v>13.9</v>
      </c>
      <c r="H2826" t="n">
        <v>0</v>
      </c>
      <c r="I2826" t="n">
        <v>0</v>
      </c>
      <c r="J2826" t="n">
        <v>0</v>
      </c>
      <c r="K2826" t="n">
        <v>0</v>
      </c>
      <c r="L2826" t="n">
        <v>0</v>
      </c>
      <c r="M2826" t="n">
        <v>0</v>
      </c>
      <c r="N2826" t="n">
        <v>0</v>
      </c>
      <c r="O2826" t="n">
        <v>0</v>
      </c>
      <c r="P2826" t="n">
        <v>0</v>
      </c>
      <c r="Q2826" t="n">
        <v>0</v>
      </c>
      <c r="R2826" s="2" t="inlineStr"/>
    </row>
    <row r="2827" ht="15" customHeight="1">
      <c r="A2827" t="inlineStr">
        <is>
          <t>A 34474-2020</t>
        </is>
      </c>
      <c r="B2827" s="1" t="n">
        <v>44032</v>
      </c>
      <c r="C2827" s="1" t="n">
        <v>45212</v>
      </c>
      <c r="D2827" t="inlineStr">
        <is>
          <t>VÄSTERNORRLANDS LÄN</t>
        </is>
      </c>
      <c r="E2827" t="inlineStr">
        <is>
          <t>SOLLEFTEÅ</t>
        </is>
      </c>
      <c r="F2827" t="inlineStr">
        <is>
          <t>SCA</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34568-2020</t>
        </is>
      </c>
      <c r="B2828" s="1" t="n">
        <v>44033</v>
      </c>
      <c r="C2828" s="1" t="n">
        <v>45212</v>
      </c>
      <c r="D2828" t="inlineStr">
        <is>
          <t>VÄSTERNORRLANDS LÄN</t>
        </is>
      </c>
      <c r="E2828" t="inlineStr">
        <is>
          <t>SUNDSVALL</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34585-2020</t>
        </is>
      </c>
      <c r="B2829" s="1" t="n">
        <v>44033</v>
      </c>
      <c r="C2829" s="1" t="n">
        <v>45212</v>
      </c>
      <c r="D2829" t="inlineStr">
        <is>
          <t>VÄSTERNORRLANDS LÄN</t>
        </is>
      </c>
      <c r="E2829" t="inlineStr">
        <is>
          <t>SOLLEFTEÅ</t>
        </is>
      </c>
      <c r="F2829" t="inlineStr">
        <is>
          <t>SCA</t>
        </is>
      </c>
      <c r="G2829" t="n">
        <v>10</v>
      </c>
      <c r="H2829" t="n">
        <v>0</v>
      </c>
      <c r="I2829" t="n">
        <v>0</v>
      </c>
      <c r="J2829" t="n">
        <v>0</v>
      </c>
      <c r="K2829" t="n">
        <v>0</v>
      </c>
      <c r="L2829" t="n">
        <v>0</v>
      </c>
      <c r="M2829" t="n">
        <v>0</v>
      </c>
      <c r="N2829" t="n">
        <v>0</v>
      </c>
      <c r="O2829" t="n">
        <v>0</v>
      </c>
      <c r="P2829" t="n">
        <v>0</v>
      </c>
      <c r="Q2829" t="n">
        <v>0</v>
      </c>
      <c r="R2829" s="2" t="inlineStr"/>
    </row>
    <row r="2830" ht="15" customHeight="1">
      <c r="A2830" t="inlineStr">
        <is>
          <t>A 34669-2020</t>
        </is>
      </c>
      <c r="B2830" s="1" t="n">
        <v>44034</v>
      </c>
      <c r="C2830" s="1" t="n">
        <v>45212</v>
      </c>
      <c r="D2830" t="inlineStr">
        <is>
          <t>VÄSTERNORRLANDS LÄN</t>
        </is>
      </c>
      <c r="E2830" t="inlineStr">
        <is>
          <t>SOLLEFTEÅ</t>
        </is>
      </c>
      <c r="F2830" t="inlineStr">
        <is>
          <t>SCA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34656-2020</t>
        </is>
      </c>
      <c r="B2831" s="1" t="n">
        <v>44034</v>
      </c>
      <c r="C2831" s="1" t="n">
        <v>45212</v>
      </c>
      <c r="D2831" t="inlineStr">
        <is>
          <t>VÄSTERNORRLANDS LÄN</t>
        </is>
      </c>
      <c r="E2831" t="inlineStr">
        <is>
          <t>SUNDSVALL</t>
        </is>
      </c>
      <c r="F2831" t="inlineStr">
        <is>
          <t>Naturvårdsverket</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34655-2020</t>
        </is>
      </c>
      <c r="B2832" s="1" t="n">
        <v>44034</v>
      </c>
      <c r="C2832" s="1" t="n">
        <v>45212</v>
      </c>
      <c r="D2832" t="inlineStr">
        <is>
          <t>VÄSTERNORRLANDS LÄN</t>
        </is>
      </c>
      <c r="E2832" t="inlineStr">
        <is>
          <t>SUNDSVALL</t>
        </is>
      </c>
      <c r="F2832" t="inlineStr">
        <is>
          <t>Naturvårdsverket</t>
        </is>
      </c>
      <c r="G2832" t="n">
        <v>39.1</v>
      </c>
      <c r="H2832" t="n">
        <v>0</v>
      </c>
      <c r="I2832" t="n">
        <v>0</v>
      </c>
      <c r="J2832" t="n">
        <v>0</v>
      </c>
      <c r="K2832" t="n">
        <v>0</v>
      </c>
      <c r="L2832" t="n">
        <v>0</v>
      </c>
      <c r="M2832" t="n">
        <v>0</v>
      </c>
      <c r="N2832" t="n">
        <v>0</v>
      </c>
      <c r="O2832" t="n">
        <v>0</v>
      </c>
      <c r="P2832" t="n">
        <v>0</v>
      </c>
      <c r="Q2832" t="n">
        <v>0</v>
      </c>
      <c r="R2832" s="2" t="inlineStr"/>
    </row>
    <row r="2833" ht="15" customHeight="1">
      <c r="A2833" t="inlineStr">
        <is>
          <t>A 34777-2020</t>
        </is>
      </c>
      <c r="B2833" s="1" t="n">
        <v>44035</v>
      </c>
      <c r="C2833" s="1" t="n">
        <v>45212</v>
      </c>
      <c r="D2833" t="inlineStr">
        <is>
          <t>VÄSTERNORRLANDS LÄN</t>
        </is>
      </c>
      <c r="E2833" t="inlineStr">
        <is>
          <t>ÅNGE</t>
        </is>
      </c>
      <c r="F2833" t="inlineStr">
        <is>
          <t>SCA</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34779-2020</t>
        </is>
      </c>
      <c r="B2834" s="1" t="n">
        <v>44035</v>
      </c>
      <c r="C2834" s="1" t="n">
        <v>45212</v>
      </c>
      <c r="D2834" t="inlineStr">
        <is>
          <t>VÄSTERNORRLANDS LÄN</t>
        </is>
      </c>
      <c r="E2834" t="inlineStr">
        <is>
          <t>SUNDSVALL</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34800-2020</t>
        </is>
      </c>
      <c r="B2835" s="1" t="n">
        <v>44035</v>
      </c>
      <c r="C2835" s="1" t="n">
        <v>45212</v>
      </c>
      <c r="D2835" t="inlineStr">
        <is>
          <t>VÄSTERNORRLANDS LÄN</t>
        </is>
      </c>
      <c r="E2835" t="inlineStr">
        <is>
          <t>SOLLEFTEÅ</t>
        </is>
      </c>
      <c r="F2835" t="inlineStr">
        <is>
          <t>SCA</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34677-2020</t>
        </is>
      </c>
      <c r="B2836" s="1" t="n">
        <v>44035</v>
      </c>
      <c r="C2836" s="1" t="n">
        <v>45212</v>
      </c>
      <c r="D2836" t="inlineStr">
        <is>
          <t>VÄSTERNORRLANDS LÄN</t>
        </is>
      </c>
      <c r="E2836" t="inlineStr">
        <is>
          <t>ÅNGE</t>
        </is>
      </c>
      <c r="G2836" t="n">
        <v>6.5</v>
      </c>
      <c r="H2836" t="n">
        <v>0</v>
      </c>
      <c r="I2836" t="n">
        <v>0</v>
      </c>
      <c r="J2836" t="n">
        <v>0</v>
      </c>
      <c r="K2836" t="n">
        <v>0</v>
      </c>
      <c r="L2836" t="n">
        <v>0</v>
      </c>
      <c r="M2836" t="n">
        <v>0</v>
      </c>
      <c r="N2836" t="n">
        <v>0</v>
      </c>
      <c r="O2836" t="n">
        <v>0</v>
      </c>
      <c r="P2836" t="n">
        <v>0</v>
      </c>
      <c r="Q2836" t="n">
        <v>0</v>
      </c>
      <c r="R2836" s="2" t="inlineStr"/>
    </row>
    <row r="2837" ht="15" customHeight="1">
      <c r="A2837" t="inlineStr">
        <is>
          <t>A 34780-2020</t>
        </is>
      </c>
      <c r="B2837" s="1" t="n">
        <v>44035</v>
      </c>
      <c r="C2837" s="1" t="n">
        <v>45212</v>
      </c>
      <c r="D2837" t="inlineStr">
        <is>
          <t>VÄSTERNORRLANDS LÄN</t>
        </is>
      </c>
      <c r="E2837" t="inlineStr">
        <is>
          <t>SUNDSVALL</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34781-2020</t>
        </is>
      </c>
      <c r="B2838" s="1" t="n">
        <v>44035</v>
      </c>
      <c r="C2838" s="1" t="n">
        <v>45212</v>
      </c>
      <c r="D2838" t="inlineStr">
        <is>
          <t>VÄSTERNORRLANDS LÄN</t>
        </is>
      </c>
      <c r="E2838" t="inlineStr">
        <is>
          <t>SUNDSVALL</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34921-2020</t>
        </is>
      </c>
      <c r="B2839" s="1" t="n">
        <v>44036</v>
      </c>
      <c r="C2839" s="1" t="n">
        <v>45212</v>
      </c>
      <c r="D2839" t="inlineStr">
        <is>
          <t>VÄSTERNORRLANDS LÄN</t>
        </is>
      </c>
      <c r="E2839" t="inlineStr">
        <is>
          <t>SOLLEFTEÅ</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34928-2020</t>
        </is>
      </c>
      <c r="B2840" s="1" t="n">
        <v>44036</v>
      </c>
      <c r="C2840" s="1" t="n">
        <v>45212</v>
      </c>
      <c r="D2840" t="inlineStr">
        <is>
          <t>VÄSTERNORRLANDS LÄN</t>
        </is>
      </c>
      <c r="E2840" t="inlineStr">
        <is>
          <t>ÅNGE</t>
        </is>
      </c>
      <c r="F2840" t="inlineStr">
        <is>
          <t>SCA</t>
        </is>
      </c>
      <c r="G2840" t="n">
        <v>4.2</v>
      </c>
      <c r="H2840" t="n">
        <v>0</v>
      </c>
      <c r="I2840" t="n">
        <v>0</v>
      </c>
      <c r="J2840" t="n">
        <v>0</v>
      </c>
      <c r="K2840" t="n">
        <v>0</v>
      </c>
      <c r="L2840" t="n">
        <v>0</v>
      </c>
      <c r="M2840" t="n">
        <v>0</v>
      </c>
      <c r="N2840" t="n">
        <v>0</v>
      </c>
      <c r="O2840" t="n">
        <v>0</v>
      </c>
      <c r="P2840" t="n">
        <v>0</v>
      </c>
      <c r="Q2840" t="n">
        <v>0</v>
      </c>
      <c r="R2840" s="2" t="inlineStr"/>
    </row>
    <row r="2841" ht="15" customHeight="1">
      <c r="A2841" t="inlineStr">
        <is>
          <t>A 34922-2020</t>
        </is>
      </c>
      <c r="B2841" s="1" t="n">
        <v>44036</v>
      </c>
      <c r="C2841" s="1" t="n">
        <v>45212</v>
      </c>
      <c r="D2841" t="inlineStr">
        <is>
          <t>VÄSTERNORRLANDS LÄN</t>
        </is>
      </c>
      <c r="E2841" t="inlineStr">
        <is>
          <t>SOLLEFTEÅ</t>
        </is>
      </c>
      <c r="F2841" t="inlineStr">
        <is>
          <t>SCA</t>
        </is>
      </c>
      <c r="G2841" t="n">
        <v>3.3</v>
      </c>
      <c r="H2841" t="n">
        <v>0</v>
      </c>
      <c r="I2841" t="n">
        <v>0</v>
      </c>
      <c r="J2841" t="n">
        <v>0</v>
      </c>
      <c r="K2841" t="n">
        <v>0</v>
      </c>
      <c r="L2841" t="n">
        <v>0</v>
      </c>
      <c r="M2841" t="n">
        <v>0</v>
      </c>
      <c r="N2841" t="n">
        <v>0</v>
      </c>
      <c r="O2841" t="n">
        <v>0</v>
      </c>
      <c r="P2841" t="n">
        <v>0</v>
      </c>
      <c r="Q2841" t="n">
        <v>0</v>
      </c>
      <c r="R2841" s="2" t="inlineStr"/>
    </row>
    <row r="2842" ht="15" customHeight="1">
      <c r="A2842" t="inlineStr">
        <is>
          <t>A 34974-2020</t>
        </is>
      </c>
      <c r="B2842" s="1" t="n">
        <v>44039</v>
      </c>
      <c r="C2842" s="1" t="n">
        <v>45212</v>
      </c>
      <c r="D2842" t="inlineStr">
        <is>
          <t>VÄSTERNORRLANDS LÄN</t>
        </is>
      </c>
      <c r="E2842" t="inlineStr">
        <is>
          <t>ÅNGE</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35211-2020</t>
        </is>
      </c>
      <c r="B2843" s="1" t="n">
        <v>44040</v>
      </c>
      <c r="C2843" s="1" t="n">
        <v>45212</v>
      </c>
      <c r="D2843" t="inlineStr">
        <is>
          <t>VÄSTERNORRLANDS LÄN</t>
        </is>
      </c>
      <c r="E2843" t="inlineStr">
        <is>
          <t>SUNDSVALL</t>
        </is>
      </c>
      <c r="F2843" t="inlineStr">
        <is>
          <t>SCA</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35372-2020</t>
        </is>
      </c>
      <c r="B2844" s="1" t="n">
        <v>44041</v>
      </c>
      <c r="C2844" s="1" t="n">
        <v>45212</v>
      </c>
      <c r="D2844" t="inlineStr">
        <is>
          <t>VÄSTERNORRLANDS LÄN</t>
        </is>
      </c>
      <c r="E2844" t="inlineStr">
        <is>
          <t>SOLLEFTEÅ</t>
        </is>
      </c>
      <c r="F2844" t="inlineStr">
        <is>
          <t>SCA</t>
        </is>
      </c>
      <c r="G2844" t="n">
        <v>12.3</v>
      </c>
      <c r="H2844" t="n">
        <v>0</v>
      </c>
      <c r="I2844" t="n">
        <v>0</v>
      </c>
      <c r="J2844" t="n">
        <v>0</v>
      </c>
      <c r="K2844" t="n">
        <v>0</v>
      </c>
      <c r="L2844" t="n">
        <v>0</v>
      </c>
      <c r="M2844" t="n">
        <v>0</v>
      </c>
      <c r="N2844" t="n">
        <v>0</v>
      </c>
      <c r="O2844" t="n">
        <v>0</v>
      </c>
      <c r="P2844" t="n">
        <v>0</v>
      </c>
      <c r="Q2844" t="n">
        <v>0</v>
      </c>
      <c r="R2844" s="2" t="inlineStr"/>
    </row>
    <row r="2845" ht="15" customHeight="1">
      <c r="A2845" t="inlineStr">
        <is>
          <t>A 35292-2020</t>
        </is>
      </c>
      <c r="B2845" s="1" t="n">
        <v>44041</v>
      </c>
      <c r="C2845" s="1" t="n">
        <v>45212</v>
      </c>
      <c r="D2845" t="inlineStr">
        <is>
          <t>VÄSTERNORRLANDS LÄN</t>
        </is>
      </c>
      <c r="E2845" t="inlineStr">
        <is>
          <t>HÄRNÖSAND</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35361-2020</t>
        </is>
      </c>
      <c r="B2846" s="1" t="n">
        <v>44041</v>
      </c>
      <c r="C2846" s="1" t="n">
        <v>45212</v>
      </c>
      <c r="D2846" t="inlineStr">
        <is>
          <t>VÄSTERNORRLANDS LÄN</t>
        </is>
      </c>
      <c r="E2846" t="inlineStr">
        <is>
          <t>SOLLEFTEÅ</t>
        </is>
      </c>
      <c r="F2846" t="inlineStr">
        <is>
          <t>SCA</t>
        </is>
      </c>
      <c r="G2846" t="n">
        <v>13.6</v>
      </c>
      <c r="H2846" t="n">
        <v>0</v>
      </c>
      <c r="I2846" t="n">
        <v>0</v>
      </c>
      <c r="J2846" t="n">
        <v>0</v>
      </c>
      <c r="K2846" t="n">
        <v>0</v>
      </c>
      <c r="L2846" t="n">
        <v>0</v>
      </c>
      <c r="M2846" t="n">
        <v>0</v>
      </c>
      <c r="N2846" t="n">
        <v>0</v>
      </c>
      <c r="O2846" t="n">
        <v>0</v>
      </c>
      <c r="P2846" t="n">
        <v>0</v>
      </c>
      <c r="Q2846" t="n">
        <v>0</v>
      </c>
      <c r="R2846" s="2" t="inlineStr"/>
    </row>
    <row r="2847" ht="15" customHeight="1">
      <c r="A2847" t="inlineStr">
        <is>
          <t>A 35419-2020</t>
        </is>
      </c>
      <c r="B2847" s="1" t="n">
        <v>44042</v>
      </c>
      <c r="C2847" s="1" t="n">
        <v>45212</v>
      </c>
      <c r="D2847" t="inlineStr">
        <is>
          <t>VÄSTERNORRLANDS LÄN</t>
        </is>
      </c>
      <c r="E2847" t="inlineStr">
        <is>
          <t>ÅNGE</t>
        </is>
      </c>
      <c r="F2847" t="inlineStr">
        <is>
          <t>Holmen skog AB</t>
        </is>
      </c>
      <c r="G2847" t="n">
        <v>7.8</v>
      </c>
      <c r="H2847" t="n">
        <v>0</v>
      </c>
      <c r="I2847" t="n">
        <v>0</v>
      </c>
      <c r="J2847" t="n">
        <v>0</v>
      </c>
      <c r="K2847" t="n">
        <v>0</v>
      </c>
      <c r="L2847" t="n">
        <v>0</v>
      </c>
      <c r="M2847" t="n">
        <v>0</v>
      </c>
      <c r="N2847" t="n">
        <v>0</v>
      </c>
      <c r="O2847" t="n">
        <v>0</v>
      </c>
      <c r="P2847" t="n">
        <v>0</v>
      </c>
      <c r="Q2847" t="n">
        <v>0</v>
      </c>
      <c r="R2847" s="2" t="inlineStr"/>
    </row>
    <row r="2848" ht="15" customHeight="1">
      <c r="A2848" t="inlineStr">
        <is>
          <t>A 35527-2020</t>
        </is>
      </c>
      <c r="B2848" s="1" t="n">
        <v>44043</v>
      </c>
      <c r="C2848" s="1" t="n">
        <v>45212</v>
      </c>
      <c r="D2848" t="inlineStr">
        <is>
          <t>VÄSTERNORRLANDS LÄN</t>
        </is>
      </c>
      <c r="E2848" t="inlineStr">
        <is>
          <t>KRAMFORS</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35596-2020</t>
        </is>
      </c>
      <c r="B2849" s="1" t="n">
        <v>44043</v>
      </c>
      <c r="C2849" s="1" t="n">
        <v>45212</v>
      </c>
      <c r="D2849" t="inlineStr">
        <is>
          <t>VÄSTERNORRLANDS LÄN</t>
        </is>
      </c>
      <c r="E2849" t="inlineStr">
        <is>
          <t>SUNDSVALL</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35526-2020</t>
        </is>
      </c>
      <c r="B2850" s="1" t="n">
        <v>44043</v>
      </c>
      <c r="C2850" s="1" t="n">
        <v>45212</v>
      </c>
      <c r="D2850" t="inlineStr">
        <is>
          <t>VÄSTERNORRLANDS LÄN</t>
        </is>
      </c>
      <c r="E2850" t="inlineStr">
        <is>
          <t>KRAMFORS</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35531-2020</t>
        </is>
      </c>
      <c r="B2851" s="1" t="n">
        <v>44043</v>
      </c>
      <c r="C2851" s="1" t="n">
        <v>45212</v>
      </c>
      <c r="D2851" t="inlineStr">
        <is>
          <t>VÄSTERNORRLANDS LÄN</t>
        </is>
      </c>
      <c r="E2851" t="inlineStr">
        <is>
          <t>TIMRÅ</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35644-2020</t>
        </is>
      </c>
      <c r="B2852" s="1" t="n">
        <v>44046</v>
      </c>
      <c r="C2852" s="1" t="n">
        <v>45212</v>
      </c>
      <c r="D2852" t="inlineStr">
        <is>
          <t>VÄSTERNORRLANDS LÄN</t>
        </is>
      </c>
      <c r="E2852" t="inlineStr">
        <is>
          <t>ÖRNSKÖLDSVIK</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35971-2020</t>
        </is>
      </c>
      <c r="B2853" s="1" t="n">
        <v>44047</v>
      </c>
      <c r="C2853" s="1" t="n">
        <v>45212</v>
      </c>
      <c r="D2853" t="inlineStr">
        <is>
          <t>VÄSTERNORRLANDS LÄN</t>
        </is>
      </c>
      <c r="E2853" t="inlineStr">
        <is>
          <t>ÖRNSKÖLDSVIK</t>
        </is>
      </c>
      <c r="F2853" t="inlineStr">
        <is>
          <t>Holmen skog AB</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36013-2020</t>
        </is>
      </c>
      <c r="B2854" s="1" t="n">
        <v>44047</v>
      </c>
      <c r="C2854" s="1" t="n">
        <v>45212</v>
      </c>
      <c r="D2854" t="inlineStr">
        <is>
          <t>VÄSTERNORRLANDS LÄN</t>
        </is>
      </c>
      <c r="E2854" t="inlineStr">
        <is>
          <t>KRAMFORS</t>
        </is>
      </c>
      <c r="F2854" t="inlineStr">
        <is>
          <t>SCA</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35843-2020</t>
        </is>
      </c>
      <c r="B2855" s="1" t="n">
        <v>44047</v>
      </c>
      <c r="C2855" s="1" t="n">
        <v>45212</v>
      </c>
      <c r="D2855" t="inlineStr">
        <is>
          <t>VÄSTERNORRLANDS LÄN</t>
        </is>
      </c>
      <c r="E2855" t="inlineStr">
        <is>
          <t>ÖRNSKÖLDSVIK</t>
        </is>
      </c>
      <c r="G2855" t="n">
        <v>3.9</v>
      </c>
      <c r="H2855" t="n">
        <v>0</v>
      </c>
      <c r="I2855" t="n">
        <v>0</v>
      </c>
      <c r="J2855" t="n">
        <v>0</v>
      </c>
      <c r="K2855" t="n">
        <v>0</v>
      </c>
      <c r="L2855" t="n">
        <v>0</v>
      </c>
      <c r="M2855" t="n">
        <v>0</v>
      </c>
      <c r="N2855" t="n">
        <v>0</v>
      </c>
      <c r="O2855" t="n">
        <v>0</v>
      </c>
      <c r="P2855" t="n">
        <v>0</v>
      </c>
      <c r="Q2855" t="n">
        <v>0</v>
      </c>
      <c r="R2855" s="2" t="inlineStr"/>
    </row>
    <row r="2856" ht="15" customHeight="1">
      <c r="A2856" t="inlineStr">
        <is>
          <t>A 36009-2020</t>
        </is>
      </c>
      <c r="B2856" s="1" t="n">
        <v>44047</v>
      </c>
      <c r="C2856" s="1" t="n">
        <v>45212</v>
      </c>
      <c r="D2856" t="inlineStr">
        <is>
          <t>VÄSTERNORRLANDS LÄN</t>
        </is>
      </c>
      <c r="E2856" t="inlineStr">
        <is>
          <t>ÖRNSKÖLDSVIK</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35967-2020</t>
        </is>
      </c>
      <c r="B2857" s="1" t="n">
        <v>44047</v>
      </c>
      <c r="C2857" s="1" t="n">
        <v>45212</v>
      </c>
      <c r="D2857" t="inlineStr">
        <is>
          <t>VÄSTERNORRLANDS LÄN</t>
        </is>
      </c>
      <c r="E2857" t="inlineStr">
        <is>
          <t>ÖRNSKÖLDSVIK</t>
        </is>
      </c>
      <c r="F2857" t="inlineStr">
        <is>
          <t>Holmen skog AB</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36020-2020</t>
        </is>
      </c>
      <c r="B2858" s="1" t="n">
        <v>44047</v>
      </c>
      <c r="C2858" s="1" t="n">
        <v>45212</v>
      </c>
      <c r="D2858" t="inlineStr">
        <is>
          <t>VÄSTERNORRLANDS LÄN</t>
        </is>
      </c>
      <c r="E2858" t="inlineStr">
        <is>
          <t>SUNDSVALL</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36789-2020</t>
        </is>
      </c>
      <c r="B2859" s="1" t="n">
        <v>44048</v>
      </c>
      <c r="C2859" s="1" t="n">
        <v>45212</v>
      </c>
      <c r="D2859" t="inlineStr">
        <is>
          <t>VÄSTERNORRLANDS LÄN</t>
        </is>
      </c>
      <c r="E2859" t="inlineStr">
        <is>
          <t>SOLLEFTEÅ</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36183-2020</t>
        </is>
      </c>
      <c r="B2860" s="1" t="n">
        <v>44048</v>
      </c>
      <c r="C2860" s="1" t="n">
        <v>45212</v>
      </c>
      <c r="D2860" t="inlineStr">
        <is>
          <t>VÄSTERNORRLANDS LÄN</t>
        </is>
      </c>
      <c r="E2860" t="inlineStr">
        <is>
          <t>ÖRNSKÖLDSVIK</t>
        </is>
      </c>
      <c r="F2860" t="inlineStr">
        <is>
          <t>Holmen skog AB</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36448-2020</t>
        </is>
      </c>
      <c r="B2861" s="1" t="n">
        <v>44049</v>
      </c>
      <c r="C2861" s="1" t="n">
        <v>45212</v>
      </c>
      <c r="D2861" t="inlineStr">
        <is>
          <t>VÄSTERNORRLANDS LÄN</t>
        </is>
      </c>
      <c r="E2861" t="inlineStr">
        <is>
          <t>SUNDSVALL</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36257-2020</t>
        </is>
      </c>
      <c r="B2862" s="1" t="n">
        <v>44049</v>
      </c>
      <c r="C2862" s="1" t="n">
        <v>45212</v>
      </c>
      <c r="D2862" t="inlineStr">
        <is>
          <t>VÄSTERNORRLANDS LÄN</t>
        </is>
      </c>
      <c r="E2862" t="inlineStr">
        <is>
          <t>ÖRNSKÖLDSVIK</t>
        </is>
      </c>
      <c r="F2862" t="inlineStr">
        <is>
          <t>Holmen skog AB</t>
        </is>
      </c>
      <c r="G2862" t="n">
        <v>5.2</v>
      </c>
      <c r="H2862" t="n">
        <v>0</v>
      </c>
      <c r="I2862" t="n">
        <v>0</v>
      </c>
      <c r="J2862" t="n">
        <v>0</v>
      </c>
      <c r="K2862" t="n">
        <v>0</v>
      </c>
      <c r="L2862" t="n">
        <v>0</v>
      </c>
      <c r="M2862" t="n">
        <v>0</v>
      </c>
      <c r="N2862" t="n">
        <v>0</v>
      </c>
      <c r="O2862" t="n">
        <v>0</v>
      </c>
      <c r="P2862" t="n">
        <v>0</v>
      </c>
      <c r="Q2862" t="n">
        <v>0</v>
      </c>
      <c r="R2862" s="2" t="inlineStr"/>
    </row>
    <row r="2863" ht="15" customHeight="1">
      <c r="A2863" t="inlineStr">
        <is>
          <t>A 36645-2020</t>
        </is>
      </c>
      <c r="B2863" s="1" t="n">
        <v>44050</v>
      </c>
      <c r="C2863" s="1" t="n">
        <v>45212</v>
      </c>
      <c r="D2863" t="inlineStr">
        <is>
          <t>VÄSTERNORRLANDS LÄN</t>
        </is>
      </c>
      <c r="E2863" t="inlineStr">
        <is>
          <t>SUNDSVALL</t>
        </is>
      </c>
      <c r="F2863" t="inlineStr">
        <is>
          <t>SCA</t>
        </is>
      </c>
      <c r="G2863" t="n">
        <v>7.3</v>
      </c>
      <c r="H2863" t="n">
        <v>0</v>
      </c>
      <c r="I2863" t="n">
        <v>0</v>
      </c>
      <c r="J2863" t="n">
        <v>0</v>
      </c>
      <c r="K2863" t="n">
        <v>0</v>
      </c>
      <c r="L2863" t="n">
        <v>0</v>
      </c>
      <c r="M2863" t="n">
        <v>0</v>
      </c>
      <c r="N2863" t="n">
        <v>0</v>
      </c>
      <c r="O2863" t="n">
        <v>0</v>
      </c>
      <c r="P2863" t="n">
        <v>0</v>
      </c>
      <c r="Q2863" t="n">
        <v>0</v>
      </c>
      <c r="R2863" s="2" t="inlineStr"/>
    </row>
    <row r="2864" ht="15" customHeight="1">
      <c r="A2864" t="inlineStr">
        <is>
          <t>A 36660-2020</t>
        </is>
      </c>
      <c r="B2864" s="1" t="n">
        <v>44050</v>
      </c>
      <c r="C2864" s="1" t="n">
        <v>45212</v>
      </c>
      <c r="D2864" t="inlineStr">
        <is>
          <t>VÄSTERNORRLANDS LÄN</t>
        </is>
      </c>
      <c r="E2864" t="inlineStr">
        <is>
          <t>SOLLEFTEÅ</t>
        </is>
      </c>
      <c r="G2864" t="n">
        <v>18.2</v>
      </c>
      <c r="H2864" t="n">
        <v>0</v>
      </c>
      <c r="I2864" t="n">
        <v>0</v>
      </c>
      <c r="J2864" t="n">
        <v>0</v>
      </c>
      <c r="K2864" t="n">
        <v>0</v>
      </c>
      <c r="L2864" t="n">
        <v>0</v>
      </c>
      <c r="M2864" t="n">
        <v>0</v>
      </c>
      <c r="N2864" t="n">
        <v>0</v>
      </c>
      <c r="O2864" t="n">
        <v>0</v>
      </c>
      <c r="P2864" t="n">
        <v>0</v>
      </c>
      <c r="Q2864" t="n">
        <v>0</v>
      </c>
      <c r="R2864" s="2" t="inlineStr"/>
    </row>
    <row r="2865" ht="15" customHeight="1">
      <c r="A2865" t="inlineStr">
        <is>
          <t>A 36673-2020</t>
        </is>
      </c>
      <c r="B2865" s="1" t="n">
        <v>44050</v>
      </c>
      <c r="C2865" s="1" t="n">
        <v>45212</v>
      </c>
      <c r="D2865" t="inlineStr">
        <is>
          <t>VÄSTERNORRLANDS LÄN</t>
        </is>
      </c>
      <c r="E2865" t="inlineStr">
        <is>
          <t>SUNDSVALL</t>
        </is>
      </c>
      <c r="F2865" t="inlineStr">
        <is>
          <t>SCA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36876-2020</t>
        </is>
      </c>
      <c r="B2866" s="1" t="n">
        <v>44053</v>
      </c>
      <c r="C2866" s="1" t="n">
        <v>45212</v>
      </c>
      <c r="D2866" t="inlineStr">
        <is>
          <t>VÄSTERNORRLANDS LÄN</t>
        </is>
      </c>
      <c r="E2866" t="inlineStr">
        <is>
          <t>ÖRNSKÖLDSVIK</t>
        </is>
      </c>
      <c r="F2866" t="inlineStr">
        <is>
          <t>Holmen skog AB</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36811-2020</t>
        </is>
      </c>
      <c r="B2867" s="1" t="n">
        <v>44053</v>
      </c>
      <c r="C2867" s="1" t="n">
        <v>45212</v>
      </c>
      <c r="D2867" t="inlineStr">
        <is>
          <t>VÄSTERNORRLANDS LÄN</t>
        </is>
      </c>
      <c r="E2867" t="inlineStr">
        <is>
          <t>SOLLEFTEÅ</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37228-2020</t>
        </is>
      </c>
      <c r="B2868" s="1" t="n">
        <v>44054</v>
      </c>
      <c r="C2868" s="1" t="n">
        <v>45212</v>
      </c>
      <c r="D2868" t="inlineStr">
        <is>
          <t>VÄSTERNORRLANDS LÄN</t>
        </is>
      </c>
      <c r="E2868" t="inlineStr">
        <is>
          <t>KRAMFORS</t>
        </is>
      </c>
      <c r="F2868" t="inlineStr">
        <is>
          <t>SCA</t>
        </is>
      </c>
      <c r="G2868" t="n">
        <v>26.3</v>
      </c>
      <c r="H2868" t="n">
        <v>0</v>
      </c>
      <c r="I2868" t="n">
        <v>0</v>
      </c>
      <c r="J2868" t="n">
        <v>0</v>
      </c>
      <c r="K2868" t="n">
        <v>0</v>
      </c>
      <c r="L2868" t="n">
        <v>0</v>
      </c>
      <c r="M2868" t="n">
        <v>0</v>
      </c>
      <c r="N2868" t="n">
        <v>0</v>
      </c>
      <c r="O2868" t="n">
        <v>0</v>
      </c>
      <c r="P2868" t="n">
        <v>0</v>
      </c>
      <c r="Q2868" t="n">
        <v>0</v>
      </c>
      <c r="R2868" s="2" t="inlineStr"/>
    </row>
    <row r="2869" ht="15" customHeight="1">
      <c r="A2869" t="inlineStr">
        <is>
          <t>A 37188-2020</t>
        </is>
      </c>
      <c r="B2869" s="1" t="n">
        <v>44054</v>
      </c>
      <c r="C2869" s="1" t="n">
        <v>45212</v>
      </c>
      <c r="D2869" t="inlineStr">
        <is>
          <t>VÄSTERNORRLANDS LÄN</t>
        </is>
      </c>
      <c r="E2869" t="inlineStr">
        <is>
          <t>KRAMFORS</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37233-2020</t>
        </is>
      </c>
      <c r="B2870" s="1" t="n">
        <v>44054</v>
      </c>
      <c r="C2870" s="1" t="n">
        <v>45212</v>
      </c>
      <c r="D2870" t="inlineStr">
        <is>
          <t>VÄSTERNORRLANDS LÄN</t>
        </is>
      </c>
      <c r="E2870" t="inlineStr">
        <is>
          <t>SUNDSVALL</t>
        </is>
      </c>
      <c r="F2870" t="inlineStr">
        <is>
          <t>SCA</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37427-2020</t>
        </is>
      </c>
      <c r="B2871" s="1" t="n">
        <v>44055</v>
      </c>
      <c r="C2871" s="1" t="n">
        <v>45212</v>
      </c>
      <c r="D2871" t="inlineStr">
        <is>
          <t>VÄSTERNORRLANDS LÄN</t>
        </is>
      </c>
      <c r="E2871" t="inlineStr">
        <is>
          <t>ÖRNSKÖLDSVIK</t>
        </is>
      </c>
      <c r="F2871" t="inlineStr">
        <is>
          <t>Holmen skog AB</t>
        </is>
      </c>
      <c r="G2871" t="n">
        <v>19.7</v>
      </c>
      <c r="H2871" t="n">
        <v>0</v>
      </c>
      <c r="I2871" t="n">
        <v>0</v>
      </c>
      <c r="J2871" t="n">
        <v>0</v>
      </c>
      <c r="K2871" t="n">
        <v>0</v>
      </c>
      <c r="L2871" t="n">
        <v>0</v>
      </c>
      <c r="M2871" t="n">
        <v>0</v>
      </c>
      <c r="N2871" t="n">
        <v>0</v>
      </c>
      <c r="O2871" t="n">
        <v>0</v>
      </c>
      <c r="P2871" t="n">
        <v>0</v>
      </c>
      <c r="Q2871" t="n">
        <v>0</v>
      </c>
      <c r="R2871" s="2" t="inlineStr"/>
    </row>
    <row r="2872" ht="15" customHeight="1">
      <c r="A2872" t="inlineStr">
        <is>
          <t>A 37642-2020</t>
        </is>
      </c>
      <c r="B2872" s="1" t="n">
        <v>44056</v>
      </c>
      <c r="C2872" s="1" t="n">
        <v>45212</v>
      </c>
      <c r="D2872" t="inlineStr">
        <is>
          <t>VÄSTERNORRLANDS LÄN</t>
        </is>
      </c>
      <c r="E2872" t="inlineStr">
        <is>
          <t>ÖRNSKÖLDSVIK</t>
        </is>
      </c>
      <c r="F2872" t="inlineStr">
        <is>
          <t>Holmen skog AB</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37710-2020</t>
        </is>
      </c>
      <c r="B2873" s="1" t="n">
        <v>44056</v>
      </c>
      <c r="C2873" s="1" t="n">
        <v>45212</v>
      </c>
      <c r="D2873" t="inlineStr">
        <is>
          <t>VÄSTERNORRLANDS LÄN</t>
        </is>
      </c>
      <c r="E2873" t="inlineStr">
        <is>
          <t>SOLLEFTEÅ</t>
        </is>
      </c>
      <c r="F2873" t="inlineStr">
        <is>
          <t>Kommuner</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37904-2020</t>
        </is>
      </c>
      <c r="B2874" s="1" t="n">
        <v>44057</v>
      </c>
      <c r="C2874" s="1" t="n">
        <v>45212</v>
      </c>
      <c r="D2874" t="inlineStr">
        <is>
          <t>VÄSTERNORRLANDS LÄN</t>
        </is>
      </c>
      <c r="E2874" t="inlineStr">
        <is>
          <t>KRAMFORS</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38042-2020</t>
        </is>
      </c>
      <c r="B2875" s="1" t="n">
        <v>44057</v>
      </c>
      <c r="C2875" s="1" t="n">
        <v>45212</v>
      </c>
      <c r="D2875" t="inlineStr">
        <is>
          <t>VÄSTERNORRLANDS LÄN</t>
        </is>
      </c>
      <c r="E2875" t="inlineStr">
        <is>
          <t>ÖRNSKÖLDSVIK</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38074-2020</t>
        </is>
      </c>
      <c r="B2876" s="1" t="n">
        <v>44057</v>
      </c>
      <c r="C2876" s="1" t="n">
        <v>45212</v>
      </c>
      <c r="D2876" t="inlineStr">
        <is>
          <t>VÄSTERNORRLANDS LÄN</t>
        </is>
      </c>
      <c r="E2876" t="inlineStr">
        <is>
          <t>SOLLEFTEÅ</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38095-2020</t>
        </is>
      </c>
      <c r="B2877" s="1" t="n">
        <v>44057</v>
      </c>
      <c r="C2877" s="1" t="n">
        <v>45212</v>
      </c>
      <c r="D2877" t="inlineStr">
        <is>
          <t>VÄSTERNORRLANDS LÄN</t>
        </is>
      </c>
      <c r="E2877" t="inlineStr">
        <is>
          <t>ÖRNSKÖLDSVIK</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37903-2020</t>
        </is>
      </c>
      <c r="B2878" s="1" t="n">
        <v>44057</v>
      </c>
      <c r="C2878" s="1" t="n">
        <v>45212</v>
      </c>
      <c r="D2878" t="inlineStr">
        <is>
          <t>VÄSTERNORRLANDS LÄN</t>
        </is>
      </c>
      <c r="E2878" t="inlineStr">
        <is>
          <t>KRAMFORS</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38096-2020</t>
        </is>
      </c>
      <c r="B2879" s="1" t="n">
        <v>44057</v>
      </c>
      <c r="C2879" s="1" t="n">
        <v>45212</v>
      </c>
      <c r="D2879" t="inlineStr">
        <is>
          <t>VÄSTERNORRLANDS LÄN</t>
        </is>
      </c>
      <c r="E2879" t="inlineStr">
        <is>
          <t>SUNDSVALL</t>
        </is>
      </c>
      <c r="F2879" t="inlineStr">
        <is>
          <t>Naturvårdsverket</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37905-2020</t>
        </is>
      </c>
      <c r="B2880" s="1" t="n">
        <v>44057</v>
      </c>
      <c r="C2880" s="1" t="n">
        <v>45212</v>
      </c>
      <c r="D2880" t="inlineStr">
        <is>
          <t>VÄSTERNORRLANDS LÄN</t>
        </is>
      </c>
      <c r="E2880" t="inlineStr">
        <is>
          <t>KRAMFORS</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38021-2020</t>
        </is>
      </c>
      <c r="B2881" s="1" t="n">
        <v>44057</v>
      </c>
      <c r="C2881" s="1" t="n">
        <v>45212</v>
      </c>
      <c r="D2881" t="inlineStr">
        <is>
          <t>VÄSTERNORRLANDS LÄN</t>
        </is>
      </c>
      <c r="E2881" t="inlineStr">
        <is>
          <t>ÖRNSKÖLDSVIK</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38091-2020</t>
        </is>
      </c>
      <c r="B2882" s="1" t="n">
        <v>44057</v>
      </c>
      <c r="C2882" s="1" t="n">
        <v>45212</v>
      </c>
      <c r="D2882" t="inlineStr">
        <is>
          <t>VÄSTERNORRLANDS LÄN</t>
        </is>
      </c>
      <c r="E2882" t="inlineStr">
        <is>
          <t>SUNDSVALL</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38166-2020</t>
        </is>
      </c>
      <c r="B2883" s="1" t="n">
        <v>44060</v>
      </c>
      <c r="C2883" s="1" t="n">
        <v>45212</v>
      </c>
      <c r="D2883" t="inlineStr">
        <is>
          <t>VÄSTERNORRLANDS LÄN</t>
        </is>
      </c>
      <c r="E2883" t="inlineStr">
        <is>
          <t>ÖRNSKÖLDSVIK</t>
        </is>
      </c>
      <c r="F2883" t="inlineStr">
        <is>
          <t>Holmen skog AB</t>
        </is>
      </c>
      <c r="G2883" t="n">
        <v>10.3</v>
      </c>
      <c r="H2883" t="n">
        <v>0</v>
      </c>
      <c r="I2883" t="n">
        <v>0</v>
      </c>
      <c r="J2883" t="n">
        <v>0</v>
      </c>
      <c r="K2883" t="n">
        <v>0</v>
      </c>
      <c r="L2883" t="n">
        <v>0</v>
      </c>
      <c r="M2883" t="n">
        <v>0</v>
      </c>
      <c r="N2883" t="n">
        <v>0</v>
      </c>
      <c r="O2883" t="n">
        <v>0</v>
      </c>
      <c r="P2883" t="n">
        <v>0</v>
      </c>
      <c r="Q2883" t="n">
        <v>0</v>
      </c>
      <c r="R2883" s="2" t="inlineStr"/>
    </row>
    <row r="2884" ht="15" customHeight="1">
      <c r="A2884" t="inlineStr">
        <is>
          <t>A 38469-2020</t>
        </is>
      </c>
      <c r="B2884" s="1" t="n">
        <v>44060</v>
      </c>
      <c r="C2884" s="1" t="n">
        <v>45212</v>
      </c>
      <c r="D2884" t="inlineStr">
        <is>
          <t>VÄSTERNORRLANDS LÄN</t>
        </is>
      </c>
      <c r="E2884" t="inlineStr">
        <is>
          <t>KRAMFORS</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38482-2020</t>
        </is>
      </c>
      <c r="B2885" s="1" t="n">
        <v>44060</v>
      </c>
      <c r="C2885" s="1" t="n">
        <v>45212</v>
      </c>
      <c r="D2885" t="inlineStr">
        <is>
          <t>VÄSTERNORRLANDS LÄN</t>
        </is>
      </c>
      <c r="E2885" t="inlineStr">
        <is>
          <t>SOLLEFTEÅ</t>
        </is>
      </c>
      <c r="F2885" t="inlineStr">
        <is>
          <t>SCA</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38517-2020</t>
        </is>
      </c>
      <c r="B2886" s="1" t="n">
        <v>44060</v>
      </c>
      <c r="C2886" s="1" t="n">
        <v>45212</v>
      </c>
      <c r="D2886" t="inlineStr">
        <is>
          <t>VÄSTERNORRLANDS LÄN</t>
        </is>
      </c>
      <c r="E2886" t="inlineStr">
        <is>
          <t>SOLLEFTEÅ</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38751-2020</t>
        </is>
      </c>
      <c r="B2887" s="1" t="n">
        <v>44061</v>
      </c>
      <c r="C2887" s="1" t="n">
        <v>45212</v>
      </c>
      <c r="D2887" t="inlineStr">
        <is>
          <t>VÄSTERNORRLANDS LÄN</t>
        </is>
      </c>
      <c r="E2887" t="inlineStr">
        <is>
          <t>ÖRNSKÖLDSVIK</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38754-2020</t>
        </is>
      </c>
      <c r="B2888" s="1" t="n">
        <v>44061</v>
      </c>
      <c r="C2888" s="1" t="n">
        <v>45212</v>
      </c>
      <c r="D2888" t="inlineStr">
        <is>
          <t>VÄSTERNORRLANDS LÄN</t>
        </is>
      </c>
      <c r="E2888" t="inlineStr">
        <is>
          <t>SUNDSVALL</t>
        </is>
      </c>
      <c r="F2888" t="inlineStr">
        <is>
          <t>Holmen skog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38852-2020</t>
        </is>
      </c>
      <c r="B2889" s="1" t="n">
        <v>44062</v>
      </c>
      <c r="C2889" s="1" t="n">
        <v>45212</v>
      </c>
      <c r="D2889" t="inlineStr">
        <is>
          <t>VÄSTERNORRLANDS LÄN</t>
        </is>
      </c>
      <c r="E2889" t="inlineStr">
        <is>
          <t>SUNDSVALL</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38871-2020</t>
        </is>
      </c>
      <c r="B2890" s="1" t="n">
        <v>44062</v>
      </c>
      <c r="C2890" s="1" t="n">
        <v>45212</v>
      </c>
      <c r="D2890" t="inlineStr">
        <is>
          <t>VÄSTERNORRLANDS LÄN</t>
        </is>
      </c>
      <c r="E2890" t="inlineStr">
        <is>
          <t>ÅNGE</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38863-2020</t>
        </is>
      </c>
      <c r="B2891" s="1" t="n">
        <v>44062</v>
      </c>
      <c r="C2891" s="1" t="n">
        <v>45212</v>
      </c>
      <c r="D2891" t="inlineStr">
        <is>
          <t>VÄSTERNORRLANDS LÄN</t>
        </is>
      </c>
      <c r="E2891" t="inlineStr">
        <is>
          <t>SUNDSVALL</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38894-2020</t>
        </is>
      </c>
      <c r="B2892" s="1" t="n">
        <v>44062</v>
      </c>
      <c r="C2892" s="1" t="n">
        <v>45212</v>
      </c>
      <c r="D2892" t="inlineStr">
        <is>
          <t>VÄSTERNORRLANDS LÄN</t>
        </is>
      </c>
      <c r="E2892" t="inlineStr">
        <is>
          <t>ÅNGE</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39007-2020</t>
        </is>
      </c>
      <c r="B2893" s="1" t="n">
        <v>44062</v>
      </c>
      <c r="C2893" s="1" t="n">
        <v>45212</v>
      </c>
      <c r="D2893" t="inlineStr">
        <is>
          <t>VÄSTERNORRLANDS LÄN</t>
        </is>
      </c>
      <c r="E2893" t="inlineStr">
        <is>
          <t>SOLLEFTEÅ</t>
        </is>
      </c>
      <c r="F2893" t="inlineStr">
        <is>
          <t>Kyrkan</t>
        </is>
      </c>
      <c r="G2893" t="n">
        <v>5</v>
      </c>
      <c r="H2893" t="n">
        <v>0</v>
      </c>
      <c r="I2893" t="n">
        <v>0</v>
      </c>
      <c r="J2893" t="n">
        <v>0</v>
      </c>
      <c r="K2893" t="n">
        <v>0</v>
      </c>
      <c r="L2893" t="n">
        <v>0</v>
      </c>
      <c r="M2893" t="n">
        <v>0</v>
      </c>
      <c r="N2893" t="n">
        <v>0</v>
      </c>
      <c r="O2893" t="n">
        <v>0</v>
      </c>
      <c r="P2893" t="n">
        <v>0</v>
      </c>
      <c r="Q2893" t="n">
        <v>0</v>
      </c>
      <c r="R2893" s="2" t="inlineStr"/>
    </row>
    <row r="2894" ht="15" customHeight="1">
      <c r="A2894" t="inlineStr">
        <is>
          <t>A 38858-2020</t>
        </is>
      </c>
      <c r="B2894" s="1" t="n">
        <v>44062</v>
      </c>
      <c r="C2894" s="1" t="n">
        <v>45212</v>
      </c>
      <c r="D2894" t="inlineStr">
        <is>
          <t>VÄSTERNORRLANDS LÄN</t>
        </is>
      </c>
      <c r="E2894" t="inlineStr">
        <is>
          <t>SUNDSVALL</t>
        </is>
      </c>
      <c r="G2894" t="n">
        <v>9.300000000000001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39077-2020</t>
        </is>
      </c>
      <c r="B2895" s="1" t="n">
        <v>44062</v>
      </c>
      <c r="C2895" s="1" t="n">
        <v>45212</v>
      </c>
      <c r="D2895" t="inlineStr">
        <is>
          <t>VÄSTERNORRLANDS LÄN</t>
        </is>
      </c>
      <c r="E2895" t="inlineStr">
        <is>
          <t>SOLLEFTEÅ</t>
        </is>
      </c>
      <c r="F2895" t="inlineStr">
        <is>
          <t>SCA</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39148-2020</t>
        </is>
      </c>
      <c r="B2896" s="1" t="n">
        <v>44063</v>
      </c>
      <c r="C2896" s="1" t="n">
        <v>45212</v>
      </c>
      <c r="D2896" t="inlineStr">
        <is>
          <t>VÄSTERNORRLANDS LÄN</t>
        </is>
      </c>
      <c r="E2896" t="inlineStr">
        <is>
          <t>SOLLEFTEÅ</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39590-2020</t>
        </is>
      </c>
      <c r="B2897" s="1" t="n">
        <v>44063</v>
      </c>
      <c r="C2897" s="1" t="n">
        <v>45212</v>
      </c>
      <c r="D2897" t="inlineStr">
        <is>
          <t>VÄSTERNORRLANDS LÄN</t>
        </is>
      </c>
      <c r="E2897" t="inlineStr">
        <is>
          <t>ÖRNSKÖLDSVIK</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39919-2020</t>
        </is>
      </c>
      <c r="B2898" s="1" t="n">
        <v>44063</v>
      </c>
      <c r="C2898" s="1" t="n">
        <v>45212</v>
      </c>
      <c r="D2898" t="inlineStr">
        <is>
          <t>VÄSTERNORRLANDS LÄN</t>
        </is>
      </c>
      <c r="E2898" t="inlineStr">
        <is>
          <t>ÅNGE</t>
        </is>
      </c>
      <c r="G2898" t="n">
        <v>4.9</v>
      </c>
      <c r="H2898" t="n">
        <v>0</v>
      </c>
      <c r="I2898" t="n">
        <v>0</v>
      </c>
      <c r="J2898" t="n">
        <v>0</v>
      </c>
      <c r="K2898" t="n">
        <v>0</v>
      </c>
      <c r="L2898" t="n">
        <v>0</v>
      </c>
      <c r="M2898" t="n">
        <v>0</v>
      </c>
      <c r="N2898" t="n">
        <v>0</v>
      </c>
      <c r="O2898" t="n">
        <v>0</v>
      </c>
      <c r="P2898" t="n">
        <v>0</v>
      </c>
      <c r="Q2898" t="n">
        <v>0</v>
      </c>
      <c r="R2898" s="2" t="inlineStr"/>
    </row>
    <row r="2899" ht="15" customHeight="1">
      <c r="A2899" t="inlineStr">
        <is>
          <t>A 39665-2020</t>
        </is>
      </c>
      <c r="B2899" s="1" t="n">
        <v>44064</v>
      </c>
      <c r="C2899" s="1" t="n">
        <v>45212</v>
      </c>
      <c r="D2899" t="inlineStr">
        <is>
          <t>VÄSTERNORRLANDS LÄN</t>
        </is>
      </c>
      <c r="E2899" t="inlineStr">
        <is>
          <t>HÄRNÖSAND</t>
        </is>
      </c>
      <c r="G2899" t="n">
        <v>4.7</v>
      </c>
      <c r="H2899" t="n">
        <v>0</v>
      </c>
      <c r="I2899" t="n">
        <v>0</v>
      </c>
      <c r="J2899" t="n">
        <v>0</v>
      </c>
      <c r="K2899" t="n">
        <v>0</v>
      </c>
      <c r="L2899" t="n">
        <v>0</v>
      </c>
      <c r="M2899" t="n">
        <v>0</v>
      </c>
      <c r="N2899" t="n">
        <v>0</v>
      </c>
      <c r="O2899" t="n">
        <v>0</v>
      </c>
      <c r="P2899" t="n">
        <v>0</v>
      </c>
      <c r="Q2899" t="n">
        <v>0</v>
      </c>
      <c r="R2899" s="2" t="inlineStr"/>
    </row>
    <row r="2900" ht="15" customHeight="1">
      <c r="A2900" t="inlineStr">
        <is>
          <t>A 40180-2020</t>
        </is>
      </c>
      <c r="B2900" s="1" t="n">
        <v>44064</v>
      </c>
      <c r="C2900" s="1" t="n">
        <v>45212</v>
      </c>
      <c r="D2900" t="inlineStr">
        <is>
          <t>VÄSTERNORRLANDS LÄN</t>
        </is>
      </c>
      <c r="E2900" t="inlineStr">
        <is>
          <t>SOLLEFTEÅ</t>
        </is>
      </c>
      <c r="G2900" t="n">
        <v>3.8</v>
      </c>
      <c r="H2900" t="n">
        <v>0</v>
      </c>
      <c r="I2900" t="n">
        <v>0</v>
      </c>
      <c r="J2900" t="n">
        <v>0</v>
      </c>
      <c r="K2900" t="n">
        <v>0</v>
      </c>
      <c r="L2900" t="n">
        <v>0</v>
      </c>
      <c r="M2900" t="n">
        <v>0</v>
      </c>
      <c r="N2900" t="n">
        <v>0</v>
      </c>
      <c r="O2900" t="n">
        <v>0</v>
      </c>
      <c r="P2900" t="n">
        <v>0</v>
      </c>
      <c r="Q2900" t="n">
        <v>0</v>
      </c>
      <c r="R2900" s="2" t="inlineStr"/>
    </row>
    <row r="2901" ht="15" customHeight="1">
      <c r="A2901" t="inlineStr">
        <is>
          <t>A 39479-2020</t>
        </is>
      </c>
      <c r="B2901" s="1" t="n">
        <v>44064</v>
      </c>
      <c r="C2901" s="1" t="n">
        <v>45212</v>
      </c>
      <c r="D2901" t="inlineStr">
        <is>
          <t>VÄSTERNORRLANDS LÄN</t>
        </is>
      </c>
      <c r="E2901" t="inlineStr">
        <is>
          <t>SOLLEFTEÅ</t>
        </is>
      </c>
      <c r="G2901" t="n">
        <v>17.8</v>
      </c>
      <c r="H2901" t="n">
        <v>0</v>
      </c>
      <c r="I2901" t="n">
        <v>0</v>
      </c>
      <c r="J2901" t="n">
        <v>0</v>
      </c>
      <c r="K2901" t="n">
        <v>0</v>
      </c>
      <c r="L2901" t="n">
        <v>0</v>
      </c>
      <c r="M2901" t="n">
        <v>0</v>
      </c>
      <c r="N2901" t="n">
        <v>0</v>
      </c>
      <c r="O2901" t="n">
        <v>0</v>
      </c>
      <c r="P2901" t="n">
        <v>0</v>
      </c>
      <c r="Q2901" t="n">
        <v>0</v>
      </c>
      <c r="R2901" s="2" t="inlineStr"/>
    </row>
    <row r="2902" ht="15" customHeight="1">
      <c r="A2902" t="inlineStr">
        <is>
          <t>A 39666-2020</t>
        </is>
      </c>
      <c r="B2902" s="1" t="n">
        <v>44064</v>
      </c>
      <c r="C2902" s="1" t="n">
        <v>45212</v>
      </c>
      <c r="D2902" t="inlineStr">
        <is>
          <t>VÄSTERNORRLANDS LÄN</t>
        </is>
      </c>
      <c r="E2902" t="inlineStr">
        <is>
          <t>HÄRNÖSAND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39478-2020</t>
        </is>
      </c>
      <c r="B2903" s="1" t="n">
        <v>44064</v>
      </c>
      <c r="C2903" s="1" t="n">
        <v>45212</v>
      </c>
      <c r="D2903" t="inlineStr">
        <is>
          <t>VÄSTERNORRLANDS LÄN</t>
        </is>
      </c>
      <c r="E2903" t="inlineStr">
        <is>
          <t>SOLLEFTEÅ</t>
        </is>
      </c>
      <c r="F2903" t="inlineStr">
        <is>
          <t>Holmen skog AB</t>
        </is>
      </c>
      <c r="G2903" t="n">
        <v>12.5</v>
      </c>
      <c r="H2903" t="n">
        <v>0</v>
      </c>
      <c r="I2903" t="n">
        <v>0</v>
      </c>
      <c r="J2903" t="n">
        <v>0</v>
      </c>
      <c r="K2903" t="n">
        <v>0</v>
      </c>
      <c r="L2903" t="n">
        <v>0</v>
      </c>
      <c r="M2903" t="n">
        <v>0</v>
      </c>
      <c r="N2903" t="n">
        <v>0</v>
      </c>
      <c r="O2903" t="n">
        <v>0</v>
      </c>
      <c r="P2903" t="n">
        <v>0</v>
      </c>
      <c r="Q2903" t="n">
        <v>0</v>
      </c>
      <c r="R2903" s="2" t="inlineStr"/>
    </row>
    <row r="2904" ht="15" customHeight="1">
      <c r="A2904" t="inlineStr">
        <is>
          <t>A 39561-2020</t>
        </is>
      </c>
      <c r="B2904" s="1" t="n">
        <v>44064</v>
      </c>
      <c r="C2904" s="1" t="n">
        <v>45212</v>
      </c>
      <c r="D2904" t="inlineStr">
        <is>
          <t>VÄSTERNORRLANDS LÄN</t>
        </is>
      </c>
      <c r="E2904" t="inlineStr">
        <is>
          <t>ÅNGE</t>
        </is>
      </c>
      <c r="F2904" t="inlineStr">
        <is>
          <t>Holmen skog AB</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39668-2020</t>
        </is>
      </c>
      <c r="B2905" s="1" t="n">
        <v>44064</v>
      </c>
      <c r="C2905" s="1" t="n">
        <v>45212</v>
      </c>
      <c r="D2905" t="inlineStr">
        <is>
          <t>VÄSTERNORRLANDS LÄN</t>
        </is>
      </c>
      <c r="E2905" t="inlineStr">
        <is>
          <t>HÄRNÖSAND</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39681-2020</t>
        </is>
      </c>
      <c r="B2906" s="1" t="n">
        <v>44065</v>
      </c>
      <c r="C2906" s="1" t="n">
        <v>45212</v>
      </c>
      <c r="D2906" t="inlineStr">
        <is>
          <t>VÄSTERNORRLANDS LÄN</t>
        </is>
      </c>
      <c r="E2906" t="inlineStr">
        <is>
          <t>SOLLEFTEÅ</t>
        </is>
      </c>
      <c r="F2906" t="inlineStr">
        <is>
          <t>SCA</t>
        </is>
      </c>
      <c r="G2906" t="n">
        <v>19.7</v>
      </c>
      <c r="H2906" t="n">
        <v>0</v>
      </c>
      <c r="I2906" t="n">
        <v>0</v>
      </c>
      <c r="J2906" t="n">
        <v>0</v>
      </c>
      <c r="K2906" t="n">
        <v>0</v>
      </c>
      <c r="L2906" t="n">
        <v>0</v>
      </c>
      <c r="M2906" t="n">
        <v>0</v>
      </c>
      <c r="N2906" t="n">
        <v>0</v>
      </c>
      <c r="O2906" t="n">
        <v>0</v>
      </c>
      <c r="P2906" t="n">
        <v>0</v>
      </c>
      <c r="Q2906" t="n">
        <v>0</v>
      </c>
      <c r="R2906" s="2" t="inlineStr"/>
    </row>
    <row r="2907" ht="15" customHeight="1">
      <c r="A2907" t="inlineStr">
        <is>
          <t>A 40682-2020</t>
        </is>
      </c>
      <c r="B2907" s="1" t="n">
        <v>44067</v>
      </c>
      <c r="C2907" s="1" t="n">
        <v>45212</v>
      </c>
      <c r="D2907" t="inlineStr">
        <is>
          <t>VÄSTERNORRLANDS LÄN</t>
        </is>
      </c>
      <c r="E2907" t="inlineStr">
        <is>
          <t>SOLLEFTEÅ</t>
        </is>
      </c>
      <c r="G2907" t="n">
        <v>3.5</v>
      </c>
      <c r="H2907" t="n">
        <v>0</v>
      </c>
      <c r="I2907" t="n">
        <v>0</v>
      </c>
      <c r="J2907" t="n">
        <v>0</v>
      </c>
      <c r="K2907" t="n">
        <v>0</v>
      </c>
      <c r="L2907" t="n">
        <v>0</v>
      </c>
      <c r="M2907" t="n">
        <v>0</v>
      </c>
      <c r="N2907" t="n">
        <v>0</v>
      </c>
      <c r="O2907" t="n">
        <v>0</v>
      </c>
      <c r="P2907" t="n">
        <v>0</v>
      </c>
      <c r="Q2907" t="n">
        <v>0</v>
      </c>
      <c r="R2907" s="2" t="inlineStr"/>
    </row>
    <row r="2908" ht="15" customHeight="1">
      <c r="A2908" t="inlineStr">
        <is>
          <t>A 40476-2020</t>
        </is>
      </c>
      <c r="B2908" s="1" t="n">
        <v>44067</v>
      </c>
      <c r="C2908" s="1" t="n">
        <v>45212</v>
      </c>
      <c r="D2908" t="inlineStr">
        <is>
          <t>VÄSTERNORRLANDS LÄN</t>
        </is>
      </c>
      <c r="E2908" t="inlineStr">
        <is>
          <t>SOLLEFTEÅ</t>
        </is>
      </c>
      <c r="G2908" t="n">
        <v>8</v>
      </c>
      <c r="H2908" t="n">
        <v>0</v>
      </c>
      <c r="I2908" t="n">
        <v>0</v>
      </c>
      <c r="J2908" t="n">
        <v>0</v>
      </c>
      <c r="K2908" t="n">
        <v>0</v>
      </c>
      <c r="L2908" t="n">
        <v>0</v>
      </c>
      <c r="M2908" t="n">
        <v>0</v>
      </c>
      <c r="N2908" t="n">
        <v>0</v>
      </c>
      <c r="O2908" t="n">
        <v>0</v>
      </c>
      <c r="P2908" t="n">
        <v>0</v>
      </c>
      <c r="Q2908" t="n">
        <v>0</v>
      </c>
      <c r="R2908" s="2" t="inlineStr"/>
    </row>
    <row r="2909" ht="15" customHeight="1">
      <c r="A2909" t="inlineStr">
        <is>
          <t>A 40697-2020</t>
        </is>
      </c>
      <c r="B2909" s="1" t="n">
        <v>44067</v>
      </c>
      <c r="C2909" s="1" t="n">
        <v>45212</v>
      </c>
      <c r="D2909" t="inlineStr">
        <is>
          <t>VÄSTERNORRLANDS LÄN</t>
        </is>
      </c>
      <c r="E2909" t="inlineStr">
        <is>
          <t>SOLLEFTEÅ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40410-2020</t>
        </is>
      </c>
      <c r="B2910" s="1" t="n">
        <v>44068</v>
      </c>
      <c r="C2910" s="1" t="n">
        <v>45212</v>
      </c>
      <c r="D2910" t="inlineStr">
        <is>
          <t>VÄSTERNORRLANDS LÄN</t>
        </is>
      </c>
      <c r="E2910" t="inlineStr">
        <is>
          <t>TIMRÅ</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40409-2020</t>
        </is>
      </c>
      <c r="B2911" s="1" t="n">
        <v>44068</v>
      </c>
      <c r="C2911" s="1" t="n">
        <v>45212</v>
      </c>
      <c r="D2911" t="inlineStr">
        <is>
          <t>VÄSTERNORRLANDS LÄN</t>
        </is>
      </c>
      <c r="E2911" t="inlineStr">
        <is>
          <t>HÄRNÖSAND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40962-2020</t>
        </is>
      </c>
      <c r="B2912" s="1" t="n">
        <v>44068</v>
      </c>
      <c r="C2912" s="1" t="n">
        <v>45212</v>
      </c>
      <c r="D2912" t="inlineStr">
        <is>
          <t>VÄSTERNORRLANDS LÄN</t>
        </is>
      </c>
      <c r="E2912" t="inlineStr">
        <is>
          <t>ÖRNSKÖLDSVIK</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40413-2020</t>
        </is>
      </c>
      <c r="B2913" s="1" t="n">
        <v>44068</v>
      </c>
      <c r="C2913" s="1" t="n">
        <v>45212</v>
      </c>
      <c r="D2913" t="inlineStr">
        <is>
          <t>VÄSTERNORRLANDS LÄN</t>
        </is>
      </c>
      <c r="E2913" t="inlineStr">
        <is>
          <t>TIMRÅ</t>
        </is>
      </c>
      <c r="G2913" t="n">
        <v>2.5</v>
      </c>
      <c r="H2913" t="n">
        <v>0</v>
      </c>
      <c r="I2913" t="n">
        <v>0</v>
      </c>
      <c r="J2913" t="n">
        <v>0</v>
      </c>
      <c r="K2913" t="n">
        <v>0</v>
      </c>
      <c r="L2913" t="n">
        <v>0</v>
      </c>
      <c r="M2913" t="n">
        <v>0</v>
      </c>
      <c r="N2913" t="n">
        <v>0</v>
      </c>
      <c r="O2913" t="n">
        <v>0</v>
      </c>
      <c r="P2913" t="n">
        <v>0</v>
      </c>
      <c r="Q2913" t="n">
        <v>0</v>
      </c>
      <c r="R2913" s="2" t="inlineStr"/>
    </row>
    <row r="2914" ht="15" customHeight="1">
      <c r="A2914" t="inlineStr">
        <is>
          <t>A 40681-2020</t>
        </is>
      </c>
      <c r="B2914" s="1" t="n">
        <v>44069</v>
      </c>
      <c r="C2914" s="1" t="n">
        <v>45212</v>
      </c>
      <c r="D2914" t="inlineStr">
        <is>
          <t>VÄSTERNORRLANDS LÄN</t>
        </is>
      </c>
      <c r="E2914" t="inlineStr">
        <is>
          <t>ÖRNSKÖLDSVIK</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40737-2020</t>
        </is>
      </c>
      <c r="B2915" s="1" t="n">
        <v>44069</v>
      </c>
      <c r="C2915" s="1" t="n">
        <v>45212</v>
      </c>
      <c r="D2915" t="inlineStr">
        <is>
          <t>VÄSTERNORRLANDS LÄN</t>
        </is>
      </c>
      <c r="E2915" t="inlineStr">
        <is>
          <t>TIMRÅ</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40749-2020</t>
        </is>
      </c>
      <c r="B2916" s="1" t="n">
        <v>44069</v>
      </c>
      <c r="C2916" s="1" t="n">
        <v>45212</v>
      </c>
      <c r="D2916" t="inlineStr">
        <is>
          <t>VÄSTERNORRLANDS LÄN</t>
        </is>
      </c>
      <c r="E2916" t="inlineStr">
        <is>
          <t>HÄRNÖSAND</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40554-2020</t>
        </is>
      </c>
      <c r="B2917" s="1" t="n">
        <v>44069</v>
      </c>
      <c r="C2917" s="1" t="n">
        <v>45212</v>
      </c>
      <c r="D2917" t="inlineStr">
        <is>
          <t>VÄSTERNORRLANDS LÄN</t>
        </is>
      </c>
      <c r="E2917" t="inlineStr">
        <is>
          <t>SUNDSVALL</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40746-2020</t>
        </is>
      </c>
      <c r="B2918" s="1" t="n">
        <v>44069</v>
      </c>
      <c r="C2918" s="1" t="n">
        <v>45212</v>
      </c>
      <c r="D2918" t="inlineStr">
        <is>
          <t>VÄSTERNORRLANDS LÄN</t>
        </is>
      </c>
      <c r="E2918" t="inlineStr">
        <is>
          <t>HÄRNÖSAND</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40735-2020</t>
        </is>
      </c>
      <c r="B2919" s="1" t="n">
        <v>44069</v>
      </c>
      <c r="C2919" s="1" t="n">
        <v>45212</v>
      </c>
      <c r="D2919" t="inlineStr">
        <is>
          <t>VÄSTERNORRLANDS LÄN</t>
        </is>
      </c>
      <c r="E2919" t="inlineStr">
        <is>
          <t>SOLLEFTEÅ</t>
        </is>
      </c>
      <c r="F2919" t="inlineStr">
        <is>
          <t>SCA</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40747-2020</t>
        </is>
      </c>
      <c r="B2920" s="1" t="n">
        <v>44069</v>
      </c>
      <c r="C2920" s="1" t="n">
        <v>45212</v>
      </c>
      <c r="D2920" t="inlineStr">
        <is>
          <t>VÄSTERNORRLANDS LÄN</t>
        </is>
      </c>
      <c r="E2920" t="inlineStr">
        <is>
          <t>SOLLEFTEÅ</t>
        </is>
      </c>
      <c r="F2920" t="inlineStr">
        <is>
          <t>SCA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41030-2020</t>
        </is>
      </c>
      <c r="B2921" s="1" t="n">
        <v>44070</v>
      </c>
      <c r="C2921" s="1" t="n">
        <v>45212</v>
      </c>
      <c r="D2921" t="inlineStr">
        <is>
          <t>VÄSTERNORRLANDS LÄN</t>
        </is>
      </c>
      <c r="E2921" t="inlineStr">
        <is>
          <t>SUNDSVALL</t>
        </is>
      </c>
      <c r="F2921" t="inlineStr">
        <is>
          <t>SCA</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41716-2020</t>
        </is>
      </c>
      <c r="B2922" s="1" t="n">
        <v>44070</v>
      </c>
      <c r="C2922" s="1" t="n">
        <v>45212</v>
      </c>
      <c r="D2922" t="inlineStr">
        <is>
          <t>VÄSTERNORRLANDS LÄN</t>
        </is>
      </c>
      <c r="E2922" t="inlineStr">
        <is>
          <t>ÖRNSKÖLDSVIK</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41725-2020</t>
        </is>
      </c>
      <c r="B2923" s="1" t="n">
        <v>44070</v>
      </c>
      <c r="C2923" s="1" t="n">
        <v>45212</v>
      </c>
      <c r="D2923" t="inlineStr">
        <is>
          <t>VÄSTERNORRLANDS LÄN</t>
        </is>
      </c>
      <c r="E2923" t="inlineStr">
        <is>
          <t>ÖRNSKÖLDSVIK</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41044-2020</t>
        </is>
      </c>
      <c r="B2924" s="1" t="n">
        <v>44071</v>
      </c>
      <c r="C2924" s="1" t="n">
        <v>45212</v>
      </c>
      <c r="D2924" t="inlineStr">
        <is>
          <t>VÄSTERNORRLANDS LÄN</t>
        </is>
      </c>
      <c r="E2924" t="inlineStr">
        <is>
          <t>ÖRNSKÖLDSVIK</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41066-2020</t>
        </is>
      </c>
      <c r="B2925" s="1" t="n">
        <v>44071</v>
      </c>
      <c r="C2925" s="1" t="n">
        <v>45212</v>
      </c>
      <c r="D2925" t="inlineStr">
        <is>
          <t>VÄSTERNORRLANDS LÄN</t>
        </is>
      </c>
      <c r="E2925" t="inlineStr">
        <is>
          <t>KRAMFORS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41366-2020</t>
        </is>
      </c>
      <c r="B2926" s="1" t="n">
        <v>44071</v>
      </c>
      <c r="C2926" s="1" t="n">
        <v>45212</v>
      </c>
      <c r="D2926" t="inlineStr">
        <is>
          <t>VÄSTERNORRLANDS LÄN</t>
        </is>
      </c>
      <c r="E2926" t="inlineStr">
        <is>
          <t>ÅNGE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41269-2020</t>
        </is>
      </c>
      <c r="B2927" s="1" t="n">
        <v>44071</v>
      </c>
      <c r="C2927" s="1" t="n">
        <v>45212</v>
      </c>
      <c r="D2927" t="inlineStr">
        <is>
          <t>VÄSTERNORRLANDS LÄN</t>
        </is>
      </c>
      <c r="E2927" t="inlineStr">
        <is>
          <t>ÖRNSKÖLDSVIK</t>
        </is>
      </c>
      <c r="F2927" t="inlineStr">
        <is>
          <t>Holmen skog AB</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41335-2020</t>
        </is>
      </c>
      <c r="B2928" s="1" t="n">
        <v>44071</v>
      </c>
      <c r="C2928" s="1" t="n">
        <v>45212</v>
      </c>
      <c r="D2928" t="inlineStr">
        <is>
          <t>VÄSTERNORRLANDS LÄN</t>
        </is>
      </c>
      <c r="E2928" t="inlineStr">
        <is>
          <t>SUNDSVALL</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41351-2020</t>
        </is>
      </c>
      <c r="B2929" s="1" t="n">
        <v>44071</v>
      </c>
      <c r="C2929" s="1" t="n">
        <v>45212</v>
      </c>
      <c r="D2929" t="inlineStr">
        <is>
          <t>VÄSTERNORRLANDS LÄN</t>
        </is>
      </c>
      <c r="E2929" t="inlineStr">
        <is>
          <t>SUNDSVALL</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41437-2020</t>
        </is>
      </c>
      <c r="B2930" s="1" t="n">
        <v>44073</v>
      </c>
      <c r="C2930" s="1" t="n">
        <v>45212</v>
      </c>
      <c r="D2930" t="inlineStr">
        <is>
          <t>VÄSTERNORRLANDS LÄN</t>
        </is>
      </c>
      <c r="E2930" t="inlineStr">
        <is>
          <t>ÖRNSKÖLDSVIK</t>
        </is>
      </c>
      <c r="F2930" t="inlineStr">
        <is>
          <t>Holmen skog AB</t>
        </is>
      </c>
      <c r="G2930" t="n">
        <v>5.1</v>
      </c>
      <c r="H2930" t="n">
        <v>0</v>
      </c>
      <c r="I2930" t="n">
        <v>0</v>
      </c>
      <c r="J2930" t="n">
        <v>0</v>
      </c>
      <c r="K2930" t="n">
        <v>0</v>
      </c>
      <c r="L2930" t="n">
        <v>0</v>
      </c>
      <c r="M2930" t="n">
        <v>0</v>
      </c>
      <c r="N2930" t="n">
        <v>0</v>
      </c>
      <c r="O2930" t="n">
        <v>0</v>
      </c>
      <c r="P2930" t="n">
        <v>0</v>
      </c>
      <c r="Q2930" t="n">
        <v>0</v>
      </c>
      <c r="R2930" s="2" t="inlineStr"/>
    </row>
    <row r="2931" ht="15" customHeight="1">
      <c r="A2931" t="inlineStr">
        <is>
          <t>A 42033-2020</t>
        </is>
      </c>
      <c r="B2931" s="1" t="n">
        <v>44074</v>
      </c>
      <c r="C2931" s="1" t="n">
        <v>45212</v>
      </c>
      <c r="D2931" t="inlineStr">
        <is>
          <t>VÄSTERNORRLANDS LÄN</t>
        </is>
      </c>
      <c r="E2931" t="inlineStr">
        <is>
          <t>ÖRNSKÖLDSVIK</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42099-2020</t>
        </is>
      </c>
      <c r="B2932" s="1" t="n">
        <v>44074</v>
      </c>
      <c r="C2932" s="1" t="n">
        <v>45212</v>
      </c>
      <c r="D2932" t="inlineStr">
        <is>
          <t>VÄSTERNORRLANDS LÄN</t>
        </is>
      </c>
      <c r="E2932" t="inlineStr">
        <is>
          <t>SUNDSVALL</t>
        </is>
      </c>
      <c r="G2932" t="n">
        <v>2.9</v>
      </c>
      <c r="H2932" t="n">
        <v>0</v>
      </c>
      <c r="I2932" t="n">
        <v>0</v>
      </c>
      <c r="J2932" t="n">
        <v>0</v>
      </c>
      <c r="K2932" t="n">
        <v>0</v>
      </c>
      <c r="L2932" t="n">
        <v>0</v>
      </c>
      <c r="M2932" t="n">
        <v>0</v>
      </c>
      <c r="N2932" t="n">
        <v>0</v>
      </c>
      <c r="O2932" t="n">
        <v>0</v>
      </c>
      <c r="P2932" t="n">
        <v>0</v>
      </c>
      <c r="Q2932" t="n">
        <v>0</v>
      </c>
      <c r="R2932" s="2" t="inlineStr"/>
    </row>
    <row r="2933" ht="15" customHeight="1">
      <c r="A2933" t="inlineStr">
        <is>
          <t>A 42443-2020</t>
        </is>
      </c>
      <c r="B2933" s="1" t="n">
        <v>44074</v>
      </c>
      <c r="C2933" s="1" t="n">
        <v>45212</v>
      </c>
      <c r="D2933" t="inlineStr">
        <is>
          <t>VÄSTERNORRLANDS LÄN</t>
        </is>
      </c>
      <c r="E2933" t="inlineStr">
        <is>
          <t>TIMRÅ</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42155-2020</t>
        </is>
      </c>
      <c r="B2934" s="1" t="n">
        <v>44074</v>
      </c>
      <c r="C2934" s="1" t="n">
        <v>45212</v>
      </c>
      <c r="D2934" t="inlineStr">
        <is>
          <t>VÄSTERNORRLANDS LÄN</t>
        </is>
      </c>
      <c r="E2934" t="inlineStr">
        <is>
          <t>SUNDSVALL</t>
        </is>
      </c>
      <c r="G2934" t="n">
        <v>4.4</v>
      </c>
      <c r="H2934" t="n">
        <v>0</v>
      </c>
      <c r="I2934" t="n">
        <v>0</v>
      </c>
      <c r="J2934" t="n">
        <v>0</v>
      </c>
      <c r="K2934" t="n">
        <v>0</v>
      </c>
      <c r="L2934" t="n">
        <v>0</v>
      </c>
      <c r="M2934" t="n">
        <v>0</v>
      </c>
      <c r="N2934" t="n">
        <v>0</v>
      </c>
      <c r="O2934" t="n">
        <v>0</v>
      </c>
      <c r="P2934" t="n">
        <v>0</v>
      </c>
      <c r="Q2934" t="n">
        <v>0</v>
      </c>
      <c r="R2934" s="2" t="inlineStr"/>
    </row>
    <row r="2935" ht="15" customHeight="1">
      <c r="A2935" t="inlineStr">
        <is>
          <t>A 42005-2020</t>
        </is>
      </c>
      <c r="B2935" s="1" t="n">
        <v>44075</v>
      </c>
      <c r="C2935" s="1" t="n">
        <v>45212</v>
      </c>
      <c r="D2935" t="inlineStr">
        <is>
          <t>VÄSTERNORRLANDS LÄN</t>
        </is>
      </c>
      <c r="E2935" t="inlineStr">
        <is>
          <t>ÖRNSKÖLDSVIK</t>
        </is>
      </c>
      <c r="F2935" t="inlineStr">
        <is>
          <t>Holmen skog AB</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42011-2020</t>
        </is>
      </c>
      <c r="B2936" s="1" t="n">
        <v>44075</v>
      </c>
      <c r="C2936" s="1" t="n">
        <v>45212</v>
      </c>
      <c r="D2936" t="inlineStr">
        <is>
          <t>VÄSTERNORRLANDS LÄN</t>
        </is>
      </c>
      <c r="E2936" t="inlineStr">
        <is>
          <t>ÖRNSKÖLDSVIK</t>
        </is>
      </c>
      <c r="F2936" t="inlineStr">
        <is>
          <t>Holmen skog AB</t>
        </is>
      </c>
      <c r="G2936" t="n">
        <v>8.699999999999999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42040-2020</t>
        </is>
      </c>
      <c r="B2937" s="1" t="n">
        <v>44075</v>
      </c>
      <c r="C2937" s="1" t="n">
        <v>45212</v>
      </c>
      <c r="D2937" t="inlineStr">
        <is>
          <t>VÄSTERNORRLANDS LÄN</t>
        </is>
      </c>
      <c r="E2937" t="inlineStr">
        <is>
          <t>HÄRNÖSAND</t>
        </is>
      </c>
      <c r="G2937" t="n">
        <v>0.3</v>
      </c>
      <c r="H2937" t="n">
        <v>0</v>
      </c>
      <c r="I2937" t="n">
        <v>0</v>
      </c>
      <c r="J2937" t="n">
        <v>0</v>
      </c>
      <c r="K2937" t="n">
        <v>0</v>
      </c>
      <c r="L2937" t="n">
        <v>0</v>
      </c>
      <c r="M2937" t="n">
        <v>0</v>
      </c>
      <c r="N2937" t="n">
        <v>0</v>
      </c>
      <c r="O2937" t="n">
        <v>0</v>
      </c>
      <c r="P2937" t="n">
        <v>0</v>
      </c>
      <c r="Q2937" t="n">
        <v>0</v>
      </c>
      <c r="R2937" s="2" t="inlineStr"/>
    </row>
    <row r="2938" ht="15" customHeight="1">
      <c r="A2938" t="inlineStr">
        <is>
          <t>A 42657-2020</t>
        </is>
      </c>
      <c r="B2938" s="1" t="n">
        <v>44075</v>
      </c>
      <c r="C2938" s="1" t="n">
        <v>45212</v>
      </c>
      <c r="D2938" t="inlineStr">
        <is>
          <t>VÄSTERNORRLANDS LÄN</t>
        </is>
      </c>
      <c r="E2938" t="inlineStr">
        <is>
          <t>HÄRNÖSAND</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42299-2020</t>
        </is>
      </c>
      <c r="B2939" s="1" t="n">
        <v>44076</v>
      </c>
      <c r="C2939" s="1" t="n">
        <v>45212</v>
      </c>
      <c r="D2939" t="inlineStr">
        <is>
          <t>VÄSTERNORRLANDS LÄN</t>
        </is>
      </c>
      <c r="E2939" t="inlineStr">
        <is>
          <t>ÅNGE</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42421-2020</t>
        </is>
      </c>
      <c r="B2940" s="1" t="n">
        <v>44076</v>
      </c>
      <c r="C2940" s="1" t="n">
        <v>45212</v>
      </c>
      <c r="D2940" t="inlineStr">
        <is>
          <t>VÄSTERNORRLANDS LÄN</t>
        </is>
      </c>
      <c r="E2940" t="inlineStr">
        <is>
          <t>ÖRNSKÖLDSVIK</t>
        </is>
      </c>
      <c r="F2940" t="inlineStr">
        <is>
          <t>Holmen skog AB</t>
        </is>
      </c>
      <c r="G2940" t="n">
        <v>10.4</v>
      </c>
      <c r="H2940" t="n">
        <v>0</v>
      </c>
      <c r="I2940" t="n">
        <v>0</v>
      </c>
      <c r="J2940" t="n">
        <v>0</v>
      </c>
      <c r="K2940" t="n">
        <v>0</v>
      </c>
      <c r="L2940" t="n">
        <v>0</v>
      </c>
      <c r="M2940" t="n">
        <v>0</v>
      </c>
      <c r="N2940" t="n">
        <v>0</v>
      </c>
      <c r="O2940" t="n">
        <v>0</v>
      </c>
      <c r="P2940" t="n">
        <v>0</v>
      </c>
      <c r="Q2940" t="n">
        <v>0</v>
      </c>
      <c r="R2940" s="2" t="inlineStr"/>
    </row>
    <row r="2941" ht="15" customHeight="1">
      <c r="A2941" t="inlineStr">
        <is>
          <t>A 43160-2020</t>
        </is>
      </c>
      <c r="B2941" s="1" t="n">
        <v>44076</v>
      </c>
      <c r="C2941" s="1" t="n">
        <v>45212</v>
      </c>
      <c r="D2941" t="inlineStr">
        <is>
          <t>VÄSTERNORRLANDS LÄN</t>
        </is>
      </c>
      <c r="E2941" t="inlineStr">
        <is>
          <t>SOLLEFTEÅ</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43241-2020</t>
        </is>
      </c>
      <c r="B2942" s="1" t="n">
        <v>44076</v>
      </c>
      <c r="C2942" s="1" t="n">
        <v>45212</v>
      </c>
      <c r="D2942" t="inlineStr">
        <is>
          <t>VÄSTERNORRLANDS LÄN</t>
        </is>
      </c>
      <c r="E2942" t="inlineStr">
        <is>
          <t>ÖRNSKÖLDSVIK</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42395-2020</t>
        </is>
      </c>
      <c r="B2943" s="1" t="n">
        <v>44076</v>
      </c>
      <c r="C2943" s="1" t="n">
        <v>45212</v>
      </c>
      <c r="D2943" t="inlineStr">
        <is>
          <t>VÄSTERNORRLANDS LÄN</t>
        </is>
      </c>
      <c r="E2943" t="inlineStr">
        <is>
          <t>ÖRNSKÖLDSVIK</t>
        </is>
      </c>
      <c r="F2943" t="inlineStr">
        <is>
          <t>Holmen skog AB</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42458-2020</t>
        </is>
      </c>
      <c r="B2944" s="1" t="n">
        <v>44076</v>
      </c>
      <c r="C2944" s="1" t="n">
        <v>45212</v>
      </c>
      <c r="D2944" t="inlineStr">
        <is>
          <t>VÄSTERNORRLANDS LÄN</t>
        </is>
      </c>
      <c r="E2944" t="inlineStr">
        <is>
          <t>ÖRNSKÖLDSVIK</t>
        </is>
      </c>
      <c r="G2944" t="n">
        <v>10.5</v>
      </c>
      <c r="H2944" t="n">
        <v>0</v>
      </c>
      <c r="I2944" t="n">
        <v>0</v>
      </c>
      <c r="J2944" t="n">
        <v>0</v>
      </c>
      <c r="K2944" t="n">
        <v>0</v>
      </c>
      <c r="L2944" t="n">
        <v>0</v>
      </c>
      <c r="M2944" t="n">
        <v>0</v>
      </c>
      <c r="N2944" t="n">
        <v>0</v>
      </c>
      <c r="O2944" t="n">
        <v>0</v>
      </c>
      <c r="P2944" t="n">
        <v>0</v>
      </c>
      <c r="Q2944" t="n">
        <v>0</v>
      </c>
      <c r="R2944" s="2" t="inlineStr"/>
    </row>
    <row r="2945" ht="15" customHeight="1">
      <c r="A2945" t="inlineStr">
        <is>
          <t>A 42289-2020</t>
        </is>
      </c>
      <c r="B2945" s="1" t="n">
        <v>44076</v>
      </c>
      <c r="C2945" s="1" t="n">
        <v>45212</v>
      </c>
      <c r="D2945" t="inlineStr">
        <is>
          <t>VÄSTERNORRLANDS LÄN</t>
        </is>
      </c>
      <c r="E2945" t="inlineStr">
        <is>
          <t>ÅNGE</t>
        </is>
      </c>
      <c r="G2945" t="n">
        <v>16.7</v>
      </c>
      <c r="H2945" t="n">
        <v>0</v>
      </c>
      <c r="I2945" t="n">
        <v>0</v>
      </c>
      <c r="J2945" t="n">
        <v>0</v>
      </c>
      <c r="K2945" t="n">
        <v>0</v>
      </c>
      <c r="L2945" t="n">
        <v>0</v>
      </c>
      <c r="M2945" t="n">
        <v>0</v>
      </c>
      <c r="N2945" t="n">
        <v>0</v>
      </c>
      <c r="O2945" t="n">
        <v>0</v>
      </c>
      <c r="P2945" t="n">
        <v>0</v>
      </c>
      <c r="Q2945" t="n">
        <v>0</v>
      </c>
      <c r="R2945" s="2" t="inlineStr"/>
    </row>
    <row r="2946" ht="15" customHeight="1">
      <c r="A2946" t="inlineStr">
        <is>
          <t>A 42769-2020</t>
        </is>
      </c>
      <c r="B2946" s="1" t="n">
        <v>44076</v>
      </c>
      <c r="C2946" s="1" t="n">
        <v>45212</v>
      </c>
      <c r="D2946" t="inlineStr">
        <is>
          <t>VÄSTERNORRLANDS LÄN</t>
        </is>
      </c>
      <c r="E2946" t="inlineStr">
        <is>
          <t>ÅNGE</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43300-2020</t>
        </is>
      </c>
      <c r="B2947" s="1" t="n">
        <v>44076</v>
      </c>
      <c r="C2947" s="1" t="n">
        <v>45212</v>
      </c>
      <c r="D2947" t="inlineStr">
        <is>
          <t>VÄSTERNORRLANDS LÄN</t>
        </is>
      </c>
      <c r="E2947" t="inlineStr">
        <is>
          <t>SOLLEFTEÅ</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43372-2020</t>
        </is>
      </c>
      <c r="B2948" s="1" t="n">
        <v>44077</v>
      </c>
      <c r="C2948" s="1" t="n">
        <v>45212</v>
      </c>
      <c r="D2948" t="inlineStr">
        <is>
          <t>VÄSTERNORRLANDS LÄN</t>
        </is>
      </c>
      <c r="E2948" t="inlineStr">
        <is>
          <t>ÖRNSKÖLDSVIK</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42692-2020</t>
        </is>
      </c>
      <c r="B2949" s="1" t="n">
        <v>44077</v>
      </c>
      <c r="C2949" s="1" t="n">
        <v>45212</v>
      </c>
      <c r="D2949" t="inlineStr">
        <is>
          <t>VÄSTERNORRLANDS LÄN</t>
        </is>
      </c>
      <c r="E2949" t="inlineStr">
        <is>
          <t>ÖRNSKÖLDSVIK</t>
        </is>
      </c>
      <c r="F2949" t="inlineStr">
        <is>
          <t>Holmen skog AB</t>
        </is>
      </c>
      <c r="G2949" t="n">
        <v>9.199999999999999</v>
      </c>
      <c r="H2949" t="n">
        <v>0</v>
      </c>
      <c r="I2949" t="n">
        <v>0</v>
      </c>
      <c r="J2949" t="n">
        <v>0</v>
      </c>
      <c r="K2949" t="n">
        <v>0</v>
      </c>
      <c r="L2949" t="n">
        <v>0</v>
      </c>
      <c r="M2949" t="n">
        <v>0</v>
      </c>
      <c r="N2949" t="n">
        <v>0</v>
      </c>
      <c r="O2949" t="n">
        <v>0</v>
      </c>
      <c r="P2949" t="n">
        <v>0</v>
      </c>
      <c r="Q2949" t="n">
        <v>0</v>
      </c>
      <c r="R2949" s="2" t="inlineStr"/>
    </row>
    <row r="2950" ht="15" customHeight="1">
      <c r="A2950" t="inlineStr">
        <is>
          <t>A 42751-2020</t>
        </is>
      </c>
      <c r="B2950" s="1" t="n">
        <v>44077</v>
      </c>
      <c r="C2950" s="1" t="n">
        <v>45212</v>
      </c>
      <c r="D2950" t="inlineStr">
        <is>
          <t>VÄSTERNORRLANDS LÄN</t>
        </is>
      </c>
      <c r="E2950" t="inlineStr">
        <is>
          <t>ÅNGE</t>
        </is>
      </c>
      <c r="F2950" t="inlineStr">
        <is>
          <t>SCA</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43093-2020</t>
        </is>
      </c>
      <c r="B2951" s="1" t="n">
        <v>44078</v>
      </c>
      <c r="C2951" s="1" t="n">
        <v>45212</v>
      </c>
      <c r="D2951" t="inlineStr">
        <is>
          <t>VÄSTERNORRLANDS LÄN</t>
        </is>
      </c>
      <c r="E2951" t="inlineStr">
        <is>
          <t>ÅNGE</t>
        </is>
      </c>
      <c r="F2951" t="inlineStr">
        <is>
          <t>SCA</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43107-2020</t>
        </is>
      </c>
      <c r="B2952" s="1" t="n">
        <v>44078</v>
      </c>
      <c r="C2952" s="1" t="n">
        <v>45212</v>
      </c>
      <c r="D2952" t="inlineStr">
        <is>
          <t>VÄSTERNORRLANDS LÄN</t>
        </is>
      </c>
      <c r="E2952" t="inlineStr">
        <is>
          <t>SOLLEFTEÅ</t>
        </is>
      </c>
      <c r="F2952" t="inlineStr">
        <is>
          <t>SCA</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42783-2020</t>
        </is>
      </c>
      <c r="B2953" s="1" t="n">
        <v>44078</v>
      </c>
      <c r="C2953" s="1" t="n">
        <v>45212</v>
      </c>
      <c r="D2953" t="inlineStr">
        <is>
          <t>VÄSTERNORRLANDS LÄN</t>
        </is>
      </c>
      <c r="E2953" t="inlineStr">
        <is>
          <t>ÖRNSKÖLDSVIK</t>
        </is>
      </c>
      <c r="F2953" t="inlineStr">
        <is>
          <t>Holmen skog AB</t>
        </is>
      </c>
      <c r="G2953" t="n">
        <v>4.8</v>
      </c>
      <c r="H2953" t="n">
        <v>0</v>
      </c>
      <c r="I2953" t="n">
        <v>0</v>
      </c>
      <c r="J2953" t="n">
        <v>0</v>
      </c>
      <c r="K2953" t="n">
        <v>0</v>
      </c>
      <c r="L2953" t="n">
        <v>0</v>
      </c>
      <c r="M2953" t="n">
        <v>0</v>
      </c>
      <c r="N2953" t="n">
        <v>0</v>
      </c>
      <c r="O2953" t="n">
        <v>0</v>
      </c>
      <c r="P2953" t="n">
        <v>0</v>
      </c>
      <c r="Q2953" t="n">
        <v>0</v>
      </c>
      <c r="R2953" s="2" t="inlineStr"/>
    </row>
    <row r="2954" ht="15" customHeight="1">
      <c r="A2954" t="inlineStr">
        <is>
          <t>A 43035-2020</t>
        </is>
      </c>
      <c r="B2954" s="1" t="n">
        <v>44078</v>
      </c>
      <c r="C2954" s="1" t="n">
        <v>45212</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43722-2020</t>
        </is>
      </c>
      <c r="B2955" s="1" t="n">
        <v>44078</v>
      </c>
      <c r="C2955" s="1" t="n">
        <v>45212</v>
      </c>
      <c r="D2955" t="inlineStr">
        <is>
          <t>VÄSTERNORRLANDS LÄN</t>
        </is>
      </c>
      <c r="E2955" t="inlineStr">
        <is>
          <t>ÖRNSKÖLDSVIK</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43438-2020</t>
        </is>
      </c>
      <c r="B2956" s="1" t="n">
        <v>44081</v>
      </c>
      <c r="C2956" s="1" t="n">
        <v>45212</v>
      </c>
      <c r="D2956" t="inlineStr">
        <is>
          <t>VÄSTERNORRLANDS LÄN</t>
        </is>
      </c>
      <c r="E2956" t="inlineStr">
        <is>
          <t>SOLLEFTEÅ</t>
        </is>
      </c>
      <c r="F2956" t="inlineStr">
        <is>
          <t>SCA</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43159-2020</t>
        </is>
      </c>
      <c r="B2957" s="1" t="n">
        <v>44081</v>
      </c>
      <c r="C2957" s="1" t="n">
        <v>45212</v>
      </c>
      <c r="D2957" t="inlineStr">
        <is>
          <t>VÄSTERNORRLANDS LÄN</t>
        </is>
      </c>
      <c r="E2957" t="inlineStr">
        <is>
          <t>ÖRNSKÖLDSVIK</t>
        </is>
      </c>
      <c r="G2957" t="n">
        <v>3.3</v>
      </c>
      <c r="H2957" t="n">
        <v>0</v>
      </c>
      <c r="I2957" t="n">
        <v>0</v>
      </c>
      <c r="J2957" t="n">
        <v>0</v>
      </c>
      <c r="K2957" t="n">
        <v>0</v>
      </c>
      <c r="L2957" t="n">
        <v>0</v>
      </c>
      <c r="M2957" t="n">
        <v>0</v>
      </c>
      <c r="N2957" t="n">
        <v>0</v>
      </c>
      <c r="O2957" t="n">
        <v>0</v>
      </c>
      <c r="P2957" t="n">
        <v>0</v>
      </c>
      <c r="Q2957" t="n">
        <v>0</v>
      </c>
      <c r="R2957" s="2" t="inlineStr"/>
    </row>
    <row r="2958" ht="15" customHeight="1">
      <c r="A2958" t="inlineStr">
        <is>
          <t>A 43299-2020</t>
        </is>
      </c>
      <c r="B2958" s="1" t="n">
        <v>44081</v>
      </c>
      <c r="C2958" s="1" t="n">
        <v>45212</v>
      </c>
      <c r="D2958" t="inlineStr">
        <is>
          <t>VÄSTERNORRLANDS LÄN</t>
        </is>
      </c>
      <c r="E2958" t="inlineStr">
        <is>
          <t>SUNDSVALL</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43820-2020</t>
        </is>
      </c>
      <c r="B2959" s="1" t="n">
        <v>44082</v>
      </c>
      <c r="C2959" s="1" t="n">
        <v>45212</v>
      </c>
      <c r="D2959" t="inlineStr">
        <is>
          <t>VÄSTERNORRLANDS LÄN</t>
        </is>
      </c>
      <c r="E2959" t="inlineStr">
        <is>
          <t>SOLLEFTEÅ</t>
        </is>
      </c>
      <c r="F2959" t="inlineStr">
        <is>
          <t>SCA</t>
        </is>
      </c>
      <c r="G2959" t="n">
        <v>8.1</v>
      </c>
      <c r="H2959" t="n">
        <v>0</v>
      </c>
      <c r="I2959" t="n">
        <v>0</v>
      </c>
      <c r="J2959" t="n">
        <v>0</v>
      </c>
      <c r="K2959" t="n">
        <v>0</v>
      </c>
      <c r="L2959" t="n">
        <v>0</v>
      </c>
      <c r="M2959" t="n">
        <v>0</v>
      </c>
      <c r="N2959" t="n">
        <v>0</v>
      </c>
      <c r="O2959" t="n">
        <v>0</v>
      </c>
      <c r="P2959" t="n">
        <v>0</v>
      </c>
      <c r="Q2959" t="n">
        <v>0</v>
      </c>
      <c r="R2959" s="2" t="inlineStr"/>
    </row>
    <row r="2960" ht="15" customHeight="1">
      <c r="A2960" t="inlineStr">
        <is>
          <t>A 44611-2020</t>
        </is>
      </c>
      <c r="B2960" s="1" t="n">
        <v>44082</v>
      </c>
      <c r="C2960" s="1" t="n">
        <v>45212</v>
      </c>
      <c r="D2960" t="inlineStr">
        <is>
          <t>VÄSTERNORRLANDS LÄN</t>
        </is>
      </c>
      <c r="E2960" t="inlineStr">
        <is>
          <t>ÖRNSKÖLDSVIK</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43944-2020</t>
        </is>
      </c>
      <c r="B2961" s="1" t="n">
        <v>44083</v>
      </c>
      <c r="C2961" s="1" t="n">
        <v>45212</v>
      </c>
      <c r="D2961" t="inlineStr">
        <is>
          <t>VÄSTERNORRLANDS LÄN</t>
        </is>
      </c>
      <c r="E2961" t="inlineStr">
        <is>
          <t>ÖRNSKÖLDSVIK</t>
        </is>
      </c>
      <c r="F2961" t="inlineStr">
        <is>
          <t>Holmen skog AB</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43874-2020</t>
        </is>
      </c>
      <c r="B2962" s="1" t="n">
        <v>44083</v>
      </c>
      <c r="C2962" s="1" t="n">
        <v>45212</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44210-2020</t>
        </is>
      </c>
      <c r="B2963" s="1" t="n">
        <v>44083</v>
      </c>
      <c r="C2963" s="1" t="n">
        <v>45212</v>
      </c>
      <c r="D2963" t="inlineStr">
        <is>
          <t>VÄSTERNORRLANDS LÄN</t>
        </is>
      </c>
      <c r="E2963" t="inlineStr">
        <is>
          <t>SUNDSVALL</t>
        </is>
      </c>
      <c r="F2963" t="inlineStr">
        <is>
          <t>SCA</t>
        </is>
      </c>
      <c r="G2963" t="n">
        <v>3.7</v>
      </c>
      <c r="H2963" t="n">
        <v>0</v>
      </c>
      <c r="I2963" t="n">
        <v>0</v>
      </c>
      <c r="J2963" t="n">
        <v>0</v>
      </c>
      <c r="K2963" t="n">
        <v>0</v>
      </c>
      <c r="L2963" t="n">
        <v>0</v>
      </c>
      <c r="M2963" t="n">
        <v>0</v>
      </c>
      <c r="N2963" t="n">
        <v>0</v>
      </c>
      <c r="O2963" t="n">
        <v>0</v>
      </c>
      <c r="P2963" t="n">
        <v>0</v>
      </c>
      <c r="Q2963" t="n">
        <v>0</v>
      </c>
      <c r="R2963" s="2" t="inlineStr"/>
    </row>
    <row r="2964" ht="15" customHeight="1">
      <c r="A2964" t="inlineStr">
        <is>
          <t>A 43970-2020</t>
        </is>
      </c>
      <c r="B2964" s="1" t="n">
        <v>44083</v>
      </c>
      <c r="C2964" s="1" t="n">
        <v>45212</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44328-2020</t>
        </is>
      </c>
      <c r="B2965" s="1" t="n">
        <v>44084</v>
      </c>
      <c r="C2965" s="1" t="n">
        <v>45212</v>
      </c>
      <c r="D2965" t="inlineStr">
        <is>
          <t>VÄSTERNORRLANDS LÄN</t>
        </is>
      </c>
      <c r="E2965" t="inlineStr">
        <is>
          <t>ÖRNSKÖLDSVIK</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44503-2020</t>
        </is>
      </c>
      <c r="B2966" s="1" t="n">
        <v>44084</v>
      </c>
      <c r="C2966" s="1" t="n">
        <v>45212</v>
      </c>
      <c r="D2966" t="inlineStr">
        <is>
          <t>VÄSTERNORRLANDS LÄN</t>
        </is>
      </c>
      <c r="E2966" t="inlineStr">
        <is>
          <t>TIMRÅ</t>
        </is>
      </c>
      <c r="F2966" t="inlineStr">
        <is>
          <t>SCA</t>
        </is>
      </c>
      <c r="G2966" t="n">
        <v>7.4</v>
      </c>
      <c r="H2966" t="n">
        <v>0</v>
      </c>
      <c r="I2966" t="n">
        <v>0</v>
      </c>
      <c r="J2966" t="n">
        <v>0</v>
      </c>
      <c r="K2966" t="n">
        <v>0</v>
      </c>
      <c r="L2966" t="n">
        <v>0</v>
      </c>
      <c r="M2966" t="n">
        <v>0</v>
      </c>
      <c r="N2966" t="n">
        <v>0</v>
      </c>
      <c r="O2966" t="n">
        <v>0</v>
      </c>
      <c r="P2966" t="n">
        <v>0</v>
      </c>
      <c r="Q2966" t="n">
        <v>0</v>
      </c>
      <c r="R2966" s="2" t="inlineStr"/>
    </row>
    <row r="2967" ht="15" customHeight="1">
      <c r="A2967" t="inlineStr">
        <is>
          <t>A 44271-2020</t>
        </is>
      </c>
      <c r="B2967" s="1" t="n">
        <v>44084</v>
      </c>
      <c r="C2967" s="1" t="n">
        <v>45212</v>
      </c>
      <c r="D2967" t="inlineStr">
        <is>
          <t>VÄSTERNORRLANDS LÄN</t>
        </is>
      </c>
      <c r="E2967" t="inlineStr">
        <is>
          <t>ÖRNSKÖLDSVIK</t>
        </is>
      </c>
      <c r="F2967" t="inlineStr">
        <is>
          <t>Holmen skog AB</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45139-2020</t>
        </is>
      </c>
      <c r="B2968" s="1" t="n">
        <v>44084</v>
      </c>
      <c r="C2968" s="1" t="n">
        <v>45212</v>
      </c>
      <c r="D2968" t="inlineStr">
        <is>
          <t>VÄSTERNORRLANDS LÄN</t>
        </is>
      </c>
      <c r="E2968" t="inlineStr">
        <is>
          <t>ÖRNSKÖLDSVIK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45164-2020</t>
        </is>
      </c>
      <c r="B2969" s="1" t="n">
        <v>44084</v>
      </c>
      <c r="C2969" s="1" t="n">
        <v>45212</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45147-2020</t>
        </is>
      </c>
      <c r="B2970" s="1" t="n">
        <v>44084</v>
      </c>
      <c r="C2970" s="1" t="n">
        <v>45212</v>
      </c>
      <c r="D2970" t="inlineStr">
        <is>
          <t>VÄSTERNORRLANDS LÄN</t>
        </is>
      </c>
      <c r="E2970" t="inlineStr">
        <is>
          <t>SOLLEFTEÅ</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45053-2020</t>
        </is>
      </c>
      <c r="B2971" s="1" t="n">
        <v>44084</v>
      </c>
      <c r="C2971" s="1" t="n">
        <v>45212</v>
      </c>
      <c r="D2971" t="inlineStr">
        <is>
          <t>VÄSTERNORRLANDS LÄN</t>
        </is>
      </c>
      <c r="E2971" t="inlineStr">
        <is>
          <t>SUNDSVALL</t>
        </is>
      </c>
      <c r="G2971" t="n">
        <v>16.6</v>
      </c>
      <c r="H2971" t="n">
        <v>0</v>
      </c>
      <c r="I2971" t="n">
        <v>0</v>
      </c>
      <c r="J2971" t="n">
        <v>0</v>
      </c>
      <c r="K2971" t="n">
        <v>0</v>
      </c>
      <c r="L2971" t="n">
        <v>0</v>
      </c>
      <c r="M2971" t="n">
        <v>0</v>
      </c>
      <c r="N2971" t="n">
        <v>0</v>
      </c>
      <c r="O2971" t="n">
        <v>0</v>
      </c>
      <c r="P2971" t="n">
        <v>0</v>
      </c>
      <c r="Q2971" t="n">
        <v>0</v>
      </c>
      <c r="R2971" s="2" t="inlineStr"/>
    </row>
    <row r="2972" ht="15" customHeight="1">
      <c r="A2972" t="inlineStr">
        <is>
          <t>A 44693-2020</t>
        </is>
      </c>
      <c r="B2972" s="1" t="n">
        <v>44085</v>
      </c>
      <c r="C2972" s="1" t="n">
        <v>45212</v>
      </c>
      <c r="D2972" t="inlineStr">
        <is>
          <t>VÄSTERNORRLANDS LÄN</t>
        </is>
      </c>
      <c r="E2972" t="inlineStr">
        <is>
          <t>ÖRNSKÖLDSVIK</t>
        </is>
      </c>
      <c r="F2972" t="inlineStr">
        <is>
          <t>Holmen skog AB</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45337-2020</t>
        </is>
      </c>
      <c r="B2973" s="1" t="n">
        <v>44085</v>
      </c>
      <c r="C2973" s="1" t="n">
        <v>45212</v>
      </c>
      <c r="D2973" t="inlineStr">
        <is>
          <t>VÄSTERNORRLANDS LÄN</t>
        </is>
      </c>
      <c r="E2973" t="inlineStr">
        <is>
          <t>SUNDSVALL</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44681-2020</t>
        </is>
      </c>
      <c r="B2974" s="1" t="n">
        <v>44085</v>
      </c>
      <c r="C2974" s="1" t="n">
        <v>45212</v>
      </c>
      <c r="D2974" t="inlineStr">
        <is>
          <t>VÄSTERNORRLANDS LÄN</t>
        </is>
      </c>
      <c r="E2974" t="inlineStr">
        <is>
          <t>SOLLEFTEÅ</t>
        </is>
      </c>
      <c r="G2974" t="n">
        <v>7.8</v>
      </c>
      <c r="H2974" t="n">
        <v>0</v>
      </c>
      <c r="I2974" t="n">
        <v>0</v>
      </c>
      <c r="J2974" t="n">
        <v>0</v>
      </c>
      <c r="K2974" t="n">
        <v>0</v>
      </c>
      <c r="L2974" t="n">
        <v>0</v>
      </c>
      <c r="M2974" t="n">
        <v>0</v>
      </c>
      <c r="N2974" t="n">
        <v>0</v>
      </c>
      <c r="O2974" t="n">
        <v>0</v>
      </c>
      <c r="P2974" t="n">
        <v>0</v>
      </c>
      <c r="Q2974" t="n">
        <v>0</v>
      </c>
      <c r="R2974" s="2" t="inlineStr"/>
    </row>
    <row r="2975" ht="15" customHeight="1">
      <c r="A2975" t="inlineStr">
        <is>
          <t>A 44599-2020</t>
        </is>
      </c>
      <c r="B2975" s="1" t="n">
        <v>44085</v>
      </c>
      <c r="C2975" s="1" t="n">
        <v>45212</v>
      </c>
      <c r="D2975" t="inlineStr">
        <is>
          <t>VÄSTERNORRLANDS LÄN</t>
        </is>
      </c>
      <c r="E2975" t="inlineStr">
        <is>
          <t>SUNDSVALL</t>
        </is>
      </c>
      <c r="G2975" t="n">
        <v>0.2</v>
      </c>
      <c r="H2975" t="n">
        <v>0</v>
      </c>
      <c r="I2975" t="n">
        <v>0</v>
      </c>
      <c r="J2975" t="n">
        <v>0</v>
      </c>
      <c r="K2975" t="n">
        <v>0</v>
      </c>
      <c r="L2975" t="n">
        <v>0</v>
      </c>
      <c r="M2975" t="n">
        <v>0</v>
      </c>
      <c r="N2975" t="n">
        <v>0</v>
      </c>
      <c r="O2975" t="n">
        <v>0</v>
      </c>
      <c r="P2975" t="n">
        <v>0</v>
      </c>
      <c r="Q2975" t="n">
        <v>0</v>
      </c>
      <c r="R2975" s="2" t="inlineStr"/>
    </row>
    <row r="2976" ht="15" customHeight="1">
      <c r="A2976" t="inlineStr">
        <is>
          <t>A 45025-2020</t>
        </is>
      </c>
      <c r="B2976" s="1" t="n">
        <v>44088</v>
      </c>
      <c r="C2976" s="1" t="n">
        <v>45212</v>
      </c>
      <c r="D2976" t="inlineStr">
        <is>
          <t>VÄSTERNORRLANDS LÄN</t>
        </is>
      </c>
      <c r="E2976" t="inlineStr">
        <is>
          <t>KRAMFORS</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45251-2020</t>
        </is>
      </c>
      <c r="B2977" s="1" t="n">
        <v>44088</v>
      </c>
      <c r="C2977" s="1" t="n">
        <v>45212</v>
      </c>
      <c r="D2977" t="inlineStr">
        <is>
          <t>VÄSTERNORRLANDS LÄN</t>
        </is>
      </c>
      <c r="E2977" t="inlineStr">
        <is>
          <t>SOLLEFTEÅ</t>
        </is>
      </c>
      <c r="F2977" t="inlineStr">
        <is>
          <t>SCA</t>
        </is>
      </c>
      <c r="G2977" t="n">
        <v>5.6</v>
      </c>
      <c r="H2977" t="n">
        <v>0</v>
      </c>
      <c r="I2977" t="n">
        <v>0</v>
      </c>
      <c r="J2977" t="n">
        <v>0</v>
      </c>
      <c r="K2977" t="n">
        <v>0</v>
      </c>
      <c r="L2977" t="n">
        <v>0</v>
      </c>
      <c r="M2977" t="n">
        <v>0</v>
      </c>
      <c r="N2977" t="n">
        <v>0</v>
      </c>
      <c r="O2977" t="n">
        <v>0</v>
      </c>
      <c r="P2977" t="n">
        <v>0</v>
      </c>
      <c r="Q2977" t="n">
        <v>0</v>
      </c>
      <c r="R2977" s="2" t="inlineStr"/>
    </row>
    <row r="2978" ht="15" customHeight="1">
      <c r="A2978" t="inlineStr">
        <is>
          <t>A 46102-2020</t>
        </is>
      </c>
      <c r="B2978" s="1" t="n">
        <v>44088</v>
      </c>
      <c r="C2978" s="1" t="n">
        <v>45212</v>
      </c>
      <c r="D2978" t="inlineStr">
        <is>
          <t>VÄSTERNORRLANDS LÄN</t>
        </is>
      </c>
      <c r="E2978" t="inlineStr">
        <is>
          <t>ÖRNSKÖLDSVIK</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45099-2020</t>
        </is>
      </c>
      <c r="B2979" s="1" t="n">
        <v>44088</v>
      </c>
      <c r="C2979" s="1" t="n">
        <v>45212</v>
      </c>
      <c r="D2979" t="inlineStr">
        <is>
          <t>VÄSTERNORRLANDS LÄN</t>
        </is>
      </c>
      <c r="E2979" t="inlineStr">
        <is>
          <t>SUNDSVALL</t>
        </is>
      </c>
      <c r="F2979" t="inlineStr">
        <is>
          <t>Holmen skog AB</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45233-2020</t>
        </is>
      </c>
      <c r="B2980" s="1" t="n">
        <v>44088</v>
      </c>
      <c r="C2980" s="1" t="n">
        <v>45212</v>
      </c>
      <c r="D2980" t="inlineStr">
        <is>
          <t>VÄSTERNORRLANDS LÄN</t>
        </is>
      </c>
      <c r="E2980" t="inlineStr">
        <is>
          <t>SUNDSVALL</t>
        </is>
      </c>
      <c r="F2980" t="inlineStr">
        <is>
          <t>Naturvårdsverket</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45005-2020</t>
        </is>
      </c>
      <c r="B2981" s="1" t="n">
        <v>44088</v>
      </c>
      <c r="C2981" s="1" t="n">
        <v>45212</v>
      </c>
      <c r="D2981" t="inlineStr">
        <is>
          <t>VÄSTERNORRLANDS LÄN</t>
        </is>
      </c>
      <c r="E2981" t="inlineStr">
        <is>
          <t>SUNDSVALL</t>
        </is>
      </c>
      <c r="F2981" t="inlineStr">
        <is>
          <t>Holmen skog AB</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45250-2020</t>
        </is>
      </c>
      <c r="B2982" s="1" t="n">
        <v>44088</v>
      </c>
      <c r="C2982" s="1" t="n">
        <v>45212</v>
      </c>
      <c r="D2982" t="inlineStr">
        <is>
          <t>VÄSTERNORRLANDS LÄN</t>
        </is>
      </c>
      <c r="E2982" t="inlineStr">
        <is>
          <t>SOLLEFTEÅ</t>
        </is>
      </c>
      <c r="F2982" t="inlineStr">
        <is>
          <t>SCA</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45542-2020</t>
        </is>
      </c>
      <c r="B2983" s="1" t="n">
        <v>44089</v>
      </c>
      <c r="C2983" s="1" t="n">
        <v>45212</v>
      </c>
      <c r="D2983" t="inlineStr">
        <is>
          <t>VÄSTERNORRLANDS LÄN</t>
        </is>
      </c>
      <c r="E2983" t="inlineStr">
        <is>
          <t>SOLLEFTEÅ</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46672-2020</t>
        </is>
      </c>
      <c r="B2984" s="1" t="n">
        <v>44089</v>
      </c>
      <c r="C2984" s="1" t="n">
        <v>45212</v>
      </c>
      <c r="D2984" t="inlineStr">
        <is>
          <t>VÄSTERNORRLANDS LÄN</t>
        </is>
      </c>
      <c r="E2984" t="inlineStr">
        <is>
          <t>KRAMFORS</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45311-2020</t>
        </is>
      </c>
      <c r="B2985" s="1" t="n">
        <v>44089</v>
      </c>
      <c r="C2985" s="1" t="n">
        <v>45212</v>
      </c>
      <c r="D2985" t="inlineStr">
        <is>
          <t>VÄSTERNORRLANDS LÄN</t>
        </is>
      </c>
      <c r="E2985" t="inlineStr">
        <is>
          <t>ÖRNSKÖLDSVIK</t>
        </is>
      </c>
      <c r="F2985" t="inlineStr">
        <is>
          <t>Holmen skog AB</t>
        </is>
      </c>
      <c r="G2985" t="n">
        <v>3.6</v>
      </c>
      <c r="H2985" t="n">
        <v>0</v>
      </c>
      <c r="I2985" t="n">
        <v>0</v>
      </c>
      <c r="J2985" t="n">
        <v>0</v>
      </c>
      <c r="K2985" t="n">
        <v>0</v>
      </c>
      <c r="L2985" t="n">
        <v>0</v>
      </c>
      <c r="M2985" t="n">
        <v>0</v>
      </c>
      <c r="N2985" t="n">
        <v>0</v>
      </c>
      <c r="O2985" t="n">
        <v>0</v>
      </c>
      <c r="P2985" t="n">
        <v>0</v>
      </c>
      <c r="Q2985" t="n">
        <v>0</v>
      </c>
      <c r="R2985" s="2" t="inlineStr"/>
    </row>
    <row r="2986" ht="15" customHeight="1">
      <c r="A2986" t="inlineStr">
        <is>
          <t>A 45545-2020</t>
        </is>
      </c>
      <c r="B2986" s="1" t="n">
        <v>44089</v>
      </c>
      <c r="C2986" s="1" t="n">
        <v>45212</v>
      </c>
      <c r="D2986" t="inlineStr">
        <is>
          <t>VÄSTERNORRLANDS LÄN</t>
        </is>
      </c>
      <c r="E2986" t="inlineStr">
        <is>
          <t>KRAMFORS</t>
        </is>
      </c>
      <c r="G2986" t="n">
        <v>5.9</v>
      </c>
      <c r="H2986" t="n">
        <v>0</v>
      </c>
      <c r="I2986" t="n">
        <v>0</v>
      </c>
      <c r="J2986" t="n">
        <v>0</v>
      </c>
      <c r="K2986" t="n">
        <v>0</v>
      </c>
      <c r="L2986" t="n">
        <v>0</v>
      </c>
      <c r="M2986" t="n">
        <v>0</v>
      </c>
      <c r="N2986" t="n">
        <v>0</v>
      </c>
      <c r="O2986" t="n">
        <v>0</v>
      </c>
      <c r="P2986" t="n">
        <v>0</v>
      </c>
      <c r="Q2986" t="n">
        <v>0</v>
      </c>
      <c r="R2986" s="2" t="inlineStr"/>
    </row>
    <row r="2987" ht="15" customHeight="1">
      <c r="A2987" t="inlineStr">
        <is>
          <t>A 45551-2020</t>
        </is>
      </c>
      <c r="B2987" s="1" t="n">
        <v>44089</v>
      </c>
      <c r="C2987" s="1" t="n">
        <v>45212</v>
      </c>
      <c r="D2987" t="inlineStr">
        <is>
          <t>VÄSTERNORRLANDS LÄN</t>
        </is>
      </c>
      <c r="E2987" t="inlineStr">
        <is>
          <t>SOLLEFTEÅ</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45596-2020</t>
        </is>
      </c>
      <c r="B2988" s="1" t="n">
        <v>44090</v>
      </c>
      <c r="C2988" s="1" t="n">
        <v>45212</v>
      </c>
      <c r="D2988" t="inlineStr">
        <is>
          <t>VÄSTERNORRLANDS LÄN</t>
        </is>
      </c>
      <c r="E2988" t="inlineStr">
        <is>
          <t>SUNDSVALL</t>
        </is>
      </c>
      <c r="F2988" t="inlineStr">
        <is>
          <t>Holmen skog AB</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45619-2020</t>
        </is>
      </c>
      <c r="B2989" s="1" t="n">
        <v>44090</v>
      </c>
      <c r="C2989" s="1" t="n">
        <v>45212</v>
      </c>
      <c r="D2989" t="inlineStr">
        <is>
          <t>VÄSTERNORRLANDS LÄN</t>
        </is>
      </c>
      <c r="E2989" t="inlineStr">
        <is>
          <t>ÖRNSKÖLDSVIK</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45649-2020</t>
        </is>
      </c>
      <c r="B2990" s="1" t="n">
        <v>44090</v>
      </c>
      <c r="C2990" s="1" t="n">
        <v>45212</v>
      </c>
      <c r="D2990" t="inlineStr">
        <is>
          <t>VÄSTERNORRLANDS LÄN</t>
        </is>
      </c>
      <c r="E2990" t="inlineStr">
        <is>
          <t>KRAMFORS</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45829-2020</t>
        </is>
      </c>
      <c r="B2991" s="1" t="n">
        <v>44090</v>
      </c>
      <c r="C2991" s="1" t="n">
        <v>45212</v>
      </c>
      <c r="D2991" t="inlineStr">
        <is>
          <t>VÄSTERNORRLANDS LÄN</t>
        </is>
      </c>
      <c r="E2991" t="inlineStr">
        <is>
          <t>SUNDSVALL</t>
        </is>
      </c>
      <c r="F2991" t="inlineStr">
        <is>
          <t>Naturvårdsverket</t>
        </is>
      </c>
      <c r="G2991" t="n">
        <v>5.3</v>
      </c>
      <c r="H2991" t="n">
        <v>0</v>
      </c>
      <c r="I2991" t="n">
        <v>0</v>
      </c>
      <c r="J2991" t="n">
        <v>0</v>
      </c>
      <c r="K2991" t="n">
        <v>0</v>
      </c>
      <c r="L2991" t="n">
        <v>0</v>
      </c>
      <c r="M2991" t="n">
        <v>0</v>
      </c>
      <c r="N2991" t="n">
        <v>0</v>
      </c>
      <c r="O2991" t="n">
        <v>0</v>
      </c>
      <c r="P2991" t="n">
        <v>0</v>
      </c>
      <c r="Q2991" t="n">
        <v>0</v>
      </c>
      <c r="R2991" s="2" t="inlineStr"/>
    </row>
    <row r="2992" ht="15" customHeight="1">
      <c r="A2992" t="inlineStr">
        <is>
          <t>A 45836-2020</t>
        </is>
      </c>
      <c r="B2992" s="1" t="n">
        <v>44090</v>
      </c>
      <c r="C2992" s="1" t="n">
        <v>45212</v>
      </c>
      <c r="D2992" t="inlineStr">
        <is>
          <t>VÄSTERNORRLANDS LÄN</t>
        </is>
      </c>
      <c r="E2992" t="inlineStr">
        <is>
          <t>HÄRNÖSAND</t>
        </is>
      </c>
      <c r="F2992" t="inlineStr">
        <is>
          <t>SCA</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46792-2020</t>
        </is>
      </c>
      <c r="B2993" s="1" t="n">
        <v>44090</v>
      </c>
      <c r="C2993" s="1" t="n">
        <v>45212</v>
      </c>
      <c r="D2993" t="inlineStr">
        <is>
          <t>VÄSTERNORRLANDS LÄN</t>
        </is>
      </c>
      <c r="E2993" t="inlineStr">
        <is>
          <t>ÖRNSKÖLDSVIK</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45808-2020</t>
        </is>
      </c>
      <c r="B2994" s="1" t="n">
        <v>44090</v>
      </c>
      <c r="C2994" s="1" t="n">
        <v>45212</v>
      </c>
      <c r="D2994" t="inlineStr">
        <is>
          <t>VÄSTERNORRLANDS LÄN</t>
        </is>
      </c>
      <c r="E2994" t="inlineStr">
        <is>
          <t>ÅNGE</t>
        </is>
      </c>
      <c r="G2994" t="n">
        <v>0.3</v>
      </c>
      <c r="H2994" t="n">
        <v>0</v>
      </c>
      <c r="I2994" t="n">
        <v>0</v>
      </c>
      <c r="J2994" t="n">
        <v>0</v>
      </c>
      <c r="K2994" t="n">
        <v>0</v>
      </c>
      <c r="L2994" t="n">
        <v>0</v>
      </c>
      <c r="M2994" t="n">
        <v>0</v>
      </c>
      <c r="N2994" t="n">
        <v>0</v>
      </c>
      <c r="O2994" t="n">
        <v>0</v>
      </c>
      <c r="P2994" t="n">
        <v>0</v>
      </c>
      <c r="Q2994" t="n">
        <v>0</v>
      </c>
      <c r="R2994" s="2" t="inlineStr"/>
    </row>
    <row r="2995" ht="15" customHeight="1">
      <c r="A2995" t="inlineStr">
        <is>
          <t>A 45852-2020</t>
        </is>
      </c>
      <c r="B2995" s="1" t="n">
        <v>44090</v>
      </c>
      <c r="C2995" s="1" t="n">
        <v>45212</v>
      </c>
      <c r="D2995" t="inlineStr">
        <is>
          <t>VÄSTERNORRLANDS LÄN</t>
        </is>
      </c>
      <c r="E2995" t="inlineStr">
        <is>
          <t>SUNDSVALL</t>
        </is>
      </c>
      <c r="G2995" t="n">
        <v>2.1</v>
      </c>
      <c r="H2995" t="n">
        <v>0</v>
      </c>
      <c r="I2995" t="n">
        <v>0</v>
      </c>
      <c r="J2995" t="n">
        <v>0</v>
      </c>
      <c r="K2995" t="n">
        <v>0</v>
      </c>
      <c r="L2995" t="n">
        <v>0</v>
      </c>
      <c r="M2995" t="n">
        <v>0</v>
      </c>
      <c r="N2995" t="n">
        <v>0</v>
      </c>
      <c r="O2995" t="n">
        <v>0</v>
      </c>
      <c r="P2995" t="n">
        <v>0</v>
      </c>
      <c r="Q2995" t="n">
        <v>0</v>
      </c>
      <c r="R2995" s="2" t="inlineStr"/>
    </row>
    <row r="2996" ht="15" customHeight="1">
      <c r="A2996" t="inlineStr">
        <is>
          <t>A 46788-2020</t>
        </is>
      </c>
      <c r="B2996" s="1" t="n">
        <v>44090</v>
      </c>
      <c r="C2996" s="1" t="n">
        <v>45212</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46922-2020</t>
        </is>
      </c>
      <c r="B2997" s="1" t="n">
        <v>44090</v>
      </c>
      <c r="C2997" s="1" t="n">
        <v>45212</v>
      </c>
      <c r="D2997" t="inlineStr">
        <is>
          <t>VÄSTERNORRLANDS LÄN</t>
        </is>
      </c>
      <c r="E2997" t="inlineStr">
        <is>
          <t>ÖRNSKÖLDSVIK</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45640-2020</t>
        </is>
      </c>
      <c r="B2998" s="1" t="n">
        <v>44090</v>
      </c>
      <c r="C2998" s="1" t="n">
        <v>45212</v>
      </c>
      <c r="D2998" t="inlineStr">
        <is>
          <t>VÄSTERNORRLANDS LÄN</t>
        </is>
      </c>
      <c r="E2998" t="inlineStr">
        <is>
          <t>ÖRNSKÖLDSVIK</t>
        </is>
      </c>
      <c r="F2998" t="inlineStr">
        <is>
          <t>Holmen skog AB</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46114-2020</t>
        </is>
      </c>
      <c r="B2999" s="1" t="n">
        <v>44091</v>
      </c>
      <c r="C2999" s="1" t="n">
        <v>45212</v>
      </c>
      <c r="D2999" t="inlineStr">
        <is>
          <t>VÄSTERNORRLANDS LÄN</t>
        </is>
      </c>
      <c r="E2999" t="inlineStr">
        <is>
          <t>ÖRNSKÖLDSVIK</t>
        </is>
      </c>
      <c r="F2999" t="inlineStr">
        <is>
          <t>Holmen skog AB</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47041-2020</t>
        </is>
      </c>
      <c r="B3000" s="1" t="n">
        <v>44091</v>
      </c>
      <c r="C3000" s="1" t="n">
        <v>45212</v>
      </c>
      <c r="D3000" t="inlineStr">
        <is>
          <t>VÄSTERNORRLANDS LÄN</t>
        </is>
      </c>
      <c r="E3000" t="inlineStr">
        <is>
          <t>ÅNGE</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46048-2020</t>
        </is>
      </c>
      <c r="B3001" s="1" t="n">
        <v>44091</v>
      </c>
      <c r="C3001" s="1" t="n">
        <v>45212</v>
      </c>
      <c r="D3001" t="inlineStr">
        <is>
          <t>VÄSTERNORRLANDS LÄN</t>
        </is>
      </c>
      <c r="E3001" t="inlineStr">
        <is>
          <t>KRAMFORS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47173-2020</t>
        </is>
      </c>
      <c r="B3002" s="1" t="n">
        <v>44091</v>
      </c>
      <c r="C3002" s="1" t="n">
        <v>45212</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46321-2020</t>
        </is>
      </c>
      <c r="B3003" s="1" t="n">
        <v>44092</v>
      </c>
      <c r="C3003" s="1" t="n">
        <v>45212</v>
      </c>
      <c r="D3003" t="inlineStr">
        <is>
          <t>VÄSTERNORRLANDS LÄN</t>
        </is>
      </c>
      <c r="E3003" t="inlineStr">
        <is>
          <t>ÖRNSKÖLDSVIK</t>
        </is>
      </c>
      <c r="F3003" t="inlineStr">
        <is>
          <t>Holmen skog AB</t>
        </is>
      </c>
      <c r="G3003" t="n">
        <v>6.5</v>
      </c>
      <c r="H3003" t="n">
        <v>0</v>
      </c>
      <c r="I3003" t="n">
        <v>0</v>
      </c>
      <c r="J3003" t="n">
        <v>0</v>
      </c>
      <c r="K3003" t="n">
        <v>0</v>
      </c>
      <c r="L3003" t="n">
        <v>0</v>
      </c>
      <c r="M3003" t="n">
        <v>0</v>
      </c>
      <c r="N3003" t="n">
        <v>0</v>
      </c>
      <c r="O3003" t="n">
        <v>0</v>
      </c>
      <c r="P3003" t="n">
        <v>0</v>
      </c>
      <c r="Q3003" t="n">
        <v>0</v>
      </c>
      <c r="R3003" s="2" t="inlineStr"/>
    </row>
    <row r="3004" ht="15" customHeight="1">
      <c r="A3004" t="inlineStr">
        <is>
          <t>A 46518-2020</t>
        </is>
      </c>
      <c r="B3004" s="1" t="n">
        <v>44095</v>
      </c>
      <c r="C3004" s="1" t="n">
        <v>45212</v>
      </c>
      <c r="D3004" t="inlineStr">
        <is>
          <t>VÄSTERNORRLANDS LÄN</t>
        </is>
      </c>
      <c r="E3004" t="inlineStr">
        <is>
          <t>ÅNGE</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47351-2020</t>
        </is>
      </c>
      <c r="B3005" s="1" t="n">
        <v>44095</v>
      </c>
      <c r="C3005" s="1" t="n">
        <v>45212</v>
      </c>
      <c r="D3005" t="inlineStr">
        <is>
          <t>VÄSTERNORRLANDS LÄN</t>
        </is>
      </c>
      <c r="E3005" t="inlineStr">
        <is>
          <t>KRAMFORS</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46715-2020</t>
        </is>
      </c>
      <c r="B3006" s="1" t="n">
        <v>44095</v>
      </c>
      <c r="C3006" s="1" t="n">
        <v>45212</v>
      </c>
      <c r="D3006" t="inlineStr">
        <is>
          <t>VÄSTERNORRLANDS LÄN</t>
        </is>
      </c>
      <c r="E3006" t="inlineStr">
        <is>
          <t>SOLLEFTEÅ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47585-2020</t>
        </is>
      </c>
      <c r="B3007" s="1" t="n">
        <v>44095</v>
      </c>
      <c r="C3007" s="1" t="n">
        <v>45212</v>
      </c>
      <c r="D3007" t="inlineStr">
        <is>
          <t>VÄSTERNORRLANDS LÄN</t>
        </is>
      </c>
      <c r="E3007" t="inlineStr">
        <is>
          <t>ÖRNSKÖLDSVIK</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46507-2020</t>
        </is>
      </c>
      <c r="B3008" s="1" t="n">
        <v>44095</v>
      </c>
      <c r="C3008" s="1" t="n">
        <v>45212</v>
      </c>
      <c r="D3008" t="inlineStr">
        <is>
          <t>VÄSTERNORRLANDS LÄN</t>
        </is>
      </c>
      <c r="E3008" t="inlineStr">
        <is>
          <t>ÖRNSKÖLDSVIK</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47411-2020</t>
        </is>
      </c>
      <c r="B3009" s="1" t="n">
        <v>44095</v>
      </c>
      <c r="C3009" s="1" t="n">
        <v>45212</v>
      </c>
      <c r="D3009" t="inlineStr">
        <is>
          <t>VÄSTERNORRLANDS LÄN</t>
        </is>
      </c>
      <c r="E3009" t="inlineStr">
        <is>
          <t>ÅNGE</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47874-2020</t>
        </is>
      </c>
      <c r="B3010" s="1" t="n">
        <v>44096</v>
      </c>
      <c r="C3010" s="1" t="n">
        <v>45212</v>
      </c>
      <c r="D3010" t="inlineStr">
        <is>
          <t>VÄSTERNORRLANDS LÄN</t>
        </is>
      </c>
      <c r="E3010" t="inlineStr">
        <is>
          <t>KRAMFORS</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47875-2020</t>
        </is>
      </c>
      <c r="B3011" s="1" t="n">
        <v>44096</v>
      </c>
      <c r="C3011" s="1" t="n">
        <v>45212</v>
      </c>
      <c r="D3011" t="inlineStr">
        <is>
          <t>VÄSTERNORRLANDS LÄN</t>
        </is>
      </c>
      <c r="E3011" t="inlineStr">
        <is>
          <t>KRAMFORS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47127-2020</t>
        </is>
      </c>
      <c r="B3012" s="1" t="n">
        <v>44096</v>
      </c>
      <c r="C3012" s="1" t="n">
        <v>45212</v>
      </c>
      <c r="D3012" t="inlineStr">
        <is>
          <t>VÄSTERNORRLANDS LÄN</t>
        </is>
      </c>
      <c r="E3012" t="inlineStr">
        <is>
          <t>ÅNGE</t>
        </is>
      </c>
      <c r="F3012" t="inlineStr">
        <is>
          <t>SCA</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47765-2020</t>
        </is>
      </c>
      <c r="B3013" s="1" t="n">
        <v>44096</v>
      </c>
      <c r="C3013" s="1" t="n">
        <v>45212</v>
      </c>
      <c r="D3013" t="inlineStr">
        <is>
          <t>VÄSTERNORRLANDS LÄN</t>
        </is>
      </c>
      <c r="E3013" t="inlineStr">
        <is>
          <t>HÄRNÖSAND</t>
        </is>
      </c>
      <c r="G3013" t="n">
        <v>6.7</v>
      </c>
      <c r="H3013" t="n">
        <v>0</v>
      </c>
      <c r="I3013" t="n">
        <v>0</v>
      </c>
      <c r="J3013" t="n">
        <v>0</v>
      </c>
      <c r="K3013" t="n">
        <v>0</v>
      </c>
      <c r="L3013" t="n">
        <v>0</v>
      </c>
      <c r="M3013" t="n">
        <v>0</v>
      </c>
      <c r="N3013" t="n">
        <v>0</v>
      </c>
      <c r="O3013" t="n">
        <v>0</v>
      </c>
      <c r="P3013" t="n">
        <v>0</v>
      </c>
      <c r="Q3013" t="n">
        <v>0</v>
      </c>
      <c r="R3013" s="2" t="inlineStr"/>
    </row>
    <row r="3014" ht="15" customHeight="1">
      <c r="A3014" t="inlineStr">
        <is>
          <t>A 48371-2020</t>
        </is>
      </c>
      <c r="B3014" s="1" t="n">
        <v>44097</v>
      </c>
      <c r="C3014" s="1" t="n">
        <v>45212</v>
      </c>
      <c r="D3014" t="inlineStr">
        <is>
          <t>VÄSTERNORRLANDS LÄN</t>
        </is>
      </c>
      <c r="E3014" t="inlineStr">
        <is>
          <t>ÖRNSKÖLDSVIK</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47463-2020</t>
        </is>
      </c>
      <c r="B3015" s="1" t="n">
        <v>44097</v>
      </c>
      <c r="C3015" s="1" t="n">
        <v>45212</v>
      </c>
      <c r="D3015" t="inlineStr">
        <is>
          <t>VÄSTERNORRLANDS LÄN</t>
        </is>
      </c>
      <c r="E3015" t="inlineStr">
        <is>
          <t>HÄRNÖSAND</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48238-2020</t>
        </is>
      </c>
      <c r="B3016" s="1" t="n">
        <v>44097</v>
      </c>
      <c r="C3016" s="1" t="n">
        <v>45212</v>
      </c>
      <c r="D3016" t="inlineStr">
        <is>
          <t>VÄSTERNORRLANDS LÄN</t>
        </is>
      </c>
      <c r="E3016" t="inlineStr">
        <is>
          <t>ÅNGE</t>
        </is>
      </c>
      <c r="G3016" t="n">
        <v>5.1</v>
      </c>
      <c r="H3016" t="n">
        <v>0</v>
      </c>
      <c r="I3016" t="n">
        <v>0</v>
      </c>
      <c r="J3016" t="n">
        <v>0</v>
      </c>
      <c r="K3016" t="n">
        <v>0</v>
      </c>
      <c r="L3016" t="n">
        <v>0</v>
      </c>
      <c r="M3016" t="n">
        <v>0</v>
      </c>
      <c r="N3016" t="n">
        <v>0</v>
      </c>
      <c r="O3016" t="n">
        <v>0</v>
      </c>
      <c r="P3016" t="n">
        <v>0</v>
      </c>
      <c r="Q3016" t="n">
        <v>0</v>
      </c>
      <c r="R3016" s="2" t="inlineStr"/>
    </row>
    <row r="3017" ht="15" customHeight="1">
      <c r="A3017" t="inlineStr">
        <is>
          <t>A 48389-2020</t>
        </is>
      </c>
      <c r="B3017" s="1" t="n">
        <v>44097</v>
      </c>
      <c r="C3017" s="1" t="n">
        <v>45212</v>
      </c>
      <c r="D3017" t="inlineStr">
        <is>
          <t>VÄSTERNORRLANDS LÄN</t>
        </is>
      </c>
      <c r="E3017" t="inlineStr">
        <is>
          <t>ÖRNSKÖLDSVIK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47607-2020</t>
        </is>
      </c>
      <c r="B3018" s="1" t="n">
        <v>44098</v>
      </c>
      <c r="C3018" s="1" t="n">
        <v>45212</v>
      </c>
      <c r="D3018" t="inlineStr">
        <is>
          <t>VÄSTERNORRLANDS LÄN</t>
        </is>
      </c>
      <c r="E3018" t="inlineStr">
        <is>
          <t>ÖRNSKÖLDSVIK</t>
        </is>
      </c>
      <c r="F3018" t="inlineStr">
        <is>
          <t>Holmen skog AB</t>
        </is>
      </c>
      <c r="G3018" t="n">
        <v>5.2</v>
      </c>
      <c r="H3018" t="n">
        <v>0</v>
      </c>
      <c r="I3018" t="n">
        <v>0</v>
      </c>
      <c r="J3018" t="n">
        <v>0</v>
      </c>
      <c r="K3018" t="n">
        <v>0</v>
      </c>
      <c r="L3018" t="n">
        <v>0</v>
      </c>
      <c r="M3018" t="n">
        <v>0</v>
      </c>
      <c r="N3018" t="n">
        <v>0</v>
      </c>
      <c r="O3018" t="n">
        <v>0</v>
      </c>
      <c r="P3018" t="n">
        <v>0</v>
      </c>
      <c r="Q3018" t="n">
        <v>0</v>
      </c>
      <c r="R3018" s="2" t="inlineStr"/>
    </row>
    <row r="3019" ht="15" customHeight="1">
      <c r="A3019" t="inlineStr">
        <is>
          <t>A 47705-2020</t>
        </is>
      </c>
      <c r="B3019" s="1" t="n">
        <v>44098</v>
      </c>
      <c r="C3019" s="1" t="n">
        <v>45212</v>
      </c>
      <c r="D3019" t="inlineStr">
        <is>
          <t>VÄSTERNORRLANDS LÄN</t>
        </is>
      </c>
      <c r="E3019" t="inlineStr">
        <is>
          <t>ÖRNSKÖLDSVIK</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47827-2020</t>
        </is>
      </c>
      <c r="B3020" s="1" t="n">
        <v>44098</v>
      </c>
      <c r="C3020" s="1" t="n">
        <v>45212</v>
      </c>
      <c r="D3020" t="inlineStr">
        <is>
          <t>VÄSTERNORRLANDS LÄN</t>
        </is>
      </c>
      <c r="E3020" t="inlineStr">
        <is>
          <t>SOLLEFTEÅ</t>
        </is>
      </c>
      <c r="F3020" t="inlineStr">
        <is>
          <t>SCA</t>
        </is>
      </c>
      <c r="G3020" t="n">
        <v>4.8</v>
      </c>
      <c r="H3020" t="n">
        <v>0</v>
      </c>
      <c r="I3020" t="n">
        <v>0</v>
      </c>
      <c r="J3020" t="n">
        <v>0</v>
      </c>
      <c r="K3020" t="n">
        <v>0</v>
      </c>
      <c r="L3020" t="n">
        <v>0</v>
      </c>
      <c r="M3020" t="n">
        <v>0</v>
      </c>
      <c r="N3020" t="n">
        <v>0</v>
      </c>
      <c r="O3020" t="n">
        <v>0</v>
      </c>
      <c r="P3020" t="n">
        <v>0</v>
      </c>
      <c r="Q3020" t="n">
        <v>0</v>
      </c>
      <c r="R3020" s="2" t="inlineStr"/>
    </row>
    <row r="3021" ht="15" customHeight="1">
      <c r="A3021" t="inlineStr">
        <is>
          <t>A 48240-2020</t>
        </is>
      </c>
      <c r="B3021" s="1" t="n">
        <v>44102</v>
      </c>
      <c r="C3021" s="1" t="n">
        <v>45212</v>
      </c>
      <c r="D3021" t="inlineStr">
        <is>
          <t>VÄSTERNORRLANDS LÄN</t>
        </is>
      </c>
      <c r="E3021" t="inlineStr">
        <is>
          <t>SOLLEFTEÅ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48477-2020</t>
        </is>
      </c>
      <c r="B3022" s="1" t="n">
        <v>44102</v>
      </c>
      <c r="C3022" s="1" t="n">
        <v>45212</v>
      </c>
      <c r="D3022" t="inlineStr">
        <is>
          <t>VÄSTERNORRLANDS LÄN</t>
        </is>
      </c>
      <c r="E3022" t="inlineStr">
        <is>
          <t>SOLLEFTEÅ</t>
        </is>
      </c>
      <c r="F3022" t="inlineStr">
        <is>
          <t>SCA</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48470-2020</t>
        </is>
      </c>
      <c r="B3023" s="1" t="n">
        <v>44102</v>
      </c>
      <c r="C3023" s="1" t="n">
        <v>45212</v>
      </c>
      <c r="D3023" t="inlineStr">
        <is>
          <t>VÄSTERNORRLANDS LÄN</t>
        </is>
      </c>
      <c r="E3023" t="inlineStr">
        <is>
          <t>SOLLEFTEÅ</t>
        </is>
      </c>
      <c r="F3023" t="inlineStr">
        <is>
          <t>SCA</t>
        </is>
      </c>
      <c r="G3023" t="n">
        <v>3.5</v>
      </c>
      <c r="H3023" t="n">
        <v>0</v>
      </c>
      <c r="I3023" t="n">
        <v>0</v>
      </c>
      <c r="J3023" t="n">
        <v>0</v>
      </c>
      <c r="K3023" t="n">
        <v>0</v>
      </c>
      <c r="L3023" t="n">
        <v>0</v>
      </c>
      <c r="M3023" t="n">
        <v>0</v>
      </c>
      <c r="N3023" t="n">
        <v>0</v>
      </c>
      <c r="O3023" t="n">
        <v>0</v>
      </c>
      <c r="P3023" t="n">
        <v>0</v>
      </c>
      <c r="Q3023" t="n">
        <v>0</v>
      </c>
      <c r="R3023" s="2" t="inlineStr"/>
    </row>
    <row r="3024" ht="15" customHeight="1">
      <c r="A3024" t="inlineStr">
        <is>
          <t>A 48468-2020</t>
        </is>
      </c>
      <c r="B3024" s="1" t="n">
        <v>44102</v>
      </c>
      <c r="C3024" s="1" t="n">
        <v>45212</v>
      </c>
      <c r="D3024" t="inlineStr">
        <is>
          <t>VÄSTERNORRLANDS LÄN</t>
        </is>
      </c>
      <c r="E3024" t="inlineStr">
        <is>
          <t>SOLLEFTEÅ</t>
        </is>
      </c>
      <c r="F3024" t="inlineStr">
        <is>
          <t>SCA</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48802-2020</t>
        </is>
      </c>
      <c r="B3025" s="1" t="n">
        <v>44103</v>
      </c>
      <c r="C3025" s="1" t="n">
        <v>45212</v>
      </c>
      <c r="D3025" t="inlineStr">
        <is>
          <t>VÄSTERNORRLANDS LÄN</t>
        </is>
      </c>
      <c r="E3025" t="inlineStr">
        <is>
          <t>SOLLEFTEÅ</t>
        </is>
      </c>
      <c r="F3025" t="inlineStr">
        <is>
          <t>SCA</t>
        </is>
      </c>
      <c r="G3025" t="n">
        <v>10.9</v>
      </c>
      <c r="H3025" t="n">
        <v>0</v>
      </c>
      <c r="I3025" t="n">
        <v>0</v>
      </c>
      <c r="J3025" t="n">
        <v>0</v>
      </c>
      <c r="K3025" t="n">
        <v>0</v>
      </c>
      <c r="L3025" t="n">
        <v>0</v>
      </c>
      <c r="M3025" t="n">
        <v>0</v>
      </c>
      <c r="N3025" t="n">
        <v>0</v>
      </c>
      <c r="O3025" t="n">
        <v>0</v>
      </c>
      <c r="P3025" t="n">
        <v>0</v>
      </c>
      <c r="Q3025" t="n">
        <v>0</v>
      </c>
      <c r="R3025" s="2" t="inlineStr"/>
    </row>
    <row r="3026" ht="15" customHeight="1">
      <c r="A3026" t="inlineStr">
        <is>
          <t>A 48574-2020</t>
        </is>
      </c>
      <c r="B3026" s="1" t="n">
        <v>44103</v>
      </c>
      <c r="C3026" s="1" t="n">
        <v>45212</v>
      </c>
      <c r="D3026" t="inlineStr">
        <is>
          <t>VÄSTERNORRLANDS LÄN</t>
        </is>
      </c>
      <c r="E3026" t="inlineStr">
        <is>
          <t>TIMRÅ</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48810-2020</t>
        </is>
      </c>
      <c r="B3027" s="1" t="n">
        <v>44103</v>
      </c>
      <c r="C3027" s="1" t="n">
        <v>45212</v>
      </c>
      <c r="D3027" t="inlineStr">
        <is>
          <t>VÄSTERNORRLANDS LÄN</t>
        </is>
      </c>
      <c r="E3027" t="inlineStr">
        <is>
          <t>ÅNGE</t>
        </is>
      </c>
      <c r="F3027" t="inlineStr">
        <is>
          <t>SCA</t>
        </is>
      </c>
      <c r="G3027" t="n">
        <v>1.8</v>
      </c>
      <c r="H3027" t="n">
        <v>0</v>
      </c>
      <c r="I3027" t="n">
        <v>0</v>
      </c>
      <c r="J3027" t="n">
        <v>0</v>
      </c>
      <c r="K3027" t="n">
        <v>0</v>
      </c>
      <c r="L3027" t="n">
        <v>0</v>
      </c>
      <c r="M3027" t="n">
        <v>0</v>
      </c>
      <c r="N3027" t="n">
        <v>0</v>
      </c>
      <c r="O3027" t="n">
        <v>0</v>
      </c>
      <c r="P3027" t="n">
        <v>0</v>
      </c>
      <c r="Q3027" t="n">
        <v>0</v>
      </c>
      <c r="R3027" s="2" t="inlineStr"/>
      <c r="U3027">
        <f>HYPERLINK("https://klasma.github.io/Logging_2260/knärot/A 48810-2020 knärot.png", "A 48810-2020")</f>
        <v/>
      </c>
      <c r="V3027">
        <f>HYPERLINK("https://klasma.github.io/Logging_2260/klagomål/A 48810-2020 klagomål.docx", "A 48810-2020")</f>
        <v/>
      </c>
      <c r="W3027">
        <f>HYPERLINK("https://klasma.github.io/Logging_2260/klagomålsmail/A 48810-2020 klagomålsmail.docx", "A 48810-2020")</f>
        <v/>
      </c>
      <c r="X3027">
        <f>HYPERLINK("https://klasma.github.io/Logging_2260/tillsyn/A 48810-2020 tillsyn.docx", "A 48810-2020")</f>
        <v/>
      </c>
      <c r="Y3027">
        <f>HYPERLINK("https://klasma.github.io/Logging_2260/tillsynsmail/A 48810-2020 tillsynsmail.docx", "A 48810-2020")</f>
        <v/>
      </c>
    </row>
    <row r="3028" ht="15" customHeight="1">
      <c r="A3028" t="inlineStr">
        <is>
          <t>A 49629-2020</t>
        </is>
      </c>
      <c r="B3028" s="1" t="n">
        <v>44103</v>
      </c>
      <c r="C3028" s="1" t="n">
        <v>45212</v>
      </c>
      <c r="D3028" t="inlineStr">
        <is>
          <t>VÄSTERNORRLANDS LÄN</t>
        </is>
      </c>
      <c r="E3028" t="inlineStr">
        <is>
          <t>SOLLEFTEÅ</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49068-2020</t>
        </is>
      </c>
      <c r="B3029" s="1" t="n">
        <v>44104</v>
      </c>
      <c r="C3029" s="1" t="n">
        <v>45212</v>
      </c>
      <c r="D3029" t="inlineStr">
        <is>
          <t>VÄSTERNORRLANDS LÄN</t>
        </is>
      </c>
      <c r="E3029" t="inlineStr">
        <is>
          <t>ÖRNSKÖLDSVIK</t>
        </is>
      </c>
      <c r="F3029" t="inlineStr">
        <is>
          <t>Holmen skog AB</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49050-2020</t>
        </is>
      </c>
      <c r="B3030" s="1" t="n">
        <v>44104</v>
      </c>
      <c r="C3030" s="1" t="n">
        <v>45212</v>
      </c>
      <c r="D3030" t="inlineStr">
        <is>
          <t>VÄSTERNORRLANDS LÄN</t>
        </is>
      </c>
      <c r="E3030" t="inlineStr">
        <is>
          <t>ÖRNSKÖLDSVIK</t>
        </is>
      </c>
      <c r="F3030" t="inlineStr">
        <is>
          <t>Holmen skog AB</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50162-2020</t>
        </is>
      </c>
      <c r="B3031" s="1" t="n">
        <v>44104</v>
      </c>
      <c r="C3031" s="1" t="n">
        <v>45212</v>
      </c>
      <c r="D3031" t="inlineStr">
        <is>
          <t>VÄSTERNORRLANDS LÄN</t>
        </is>
      </c>
      <c r="E3031" t="inlineStr">
        <is>
          <t>TIMRÅ</t>
        </is>
      </c>
      <c r="G3031" t="n">
        <v>6</v>
      </c>
      <c r="H3031" t="n">
        <v>0</v>
      </c>
      <c r="I3031" t="n">
        <v>0</v>
      </c>
      <c r="J3031" t="n">
        <v>0</v>
      </c>
      <c r="K3031" t="n">
        <v>0</v>
      </c>
      <c r="L3031" t="n">
        <v>0</v>
      </c>
      <c r="M3031" t="n">
        <v>0</v>
      </c>
      <c r="N3031" t="n">
        <v>0</v>
      </c>
      <c r="O3031" t="n">
        <v>0</v>
      </c>
      <c r="P3031" t="n">
        <v>0</v>
      </c>
      <c r="Q3031" t="n">
        <v>0</v>
      </c>
      <c r="R3031" s="2" t="inlineStr"/>
    </row>
    <row r="3032" ht="15" customHeight="1">
      <c r="A3032" t="inlineStr">
        <is>
          <t>A 49497-2020</t>
        </is>
      </c>
      <c r="B3032" s="1" t="n">
        <v>44105</v>
      </c>
      <c r="C3032" s="1" t="n">
        <v>45212</v>
      </c>
      <c r="D3032" t="inlineStr">
        <is>
          <t>VÄSTERNORRLANDS LÄN</t>
        </is>
      </c>
      <c r="E3032" t="inlineStr">
        <is>
          <t>SUNDSVALL</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49507-2020</t>
        </is>
      </c>
      <c r="B3033" s="1" t="n">
        <v>44105</v>
      </c>
      <c r="C3033" s="1" t="n">
        <v>45212</v>
      </c>
      <c r="D3033" t="inlineStr">
        <is>
          <t>VÄSTERNORRLANDS LÄN</t>
        </is>
      </c>
      <c r="E3033" t="inlineStr">
        <is>
          <t>SOLLEFTEÅ</t>
        </is>
      </c>
      <c r="F3033" t="inlineStr">
        <is>
          <t>SCA</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49489-2020</t>
        </is>
      </c>
      <c r="B3034" s="1" t="n">
        <v>44105</v>
      </c>
      <c r="C3034" s="1" t="n">
        <v>45212</v>
      </c>
      <c r="D3034" t="inlineStr">
        <is>
          <t>VÄSTERNORRLANDS LÄN</t>
        </is>
      </c>
      <c r="E3034" t="inlineStr">
        <is>
          <t>SUNDSVALL</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49503-2020</t>
        </is>
      </c>
      <c r="B3035" s="1" t="n">
        <v>44105</v>
      </c>
      <c r="C3035" s="1" t="n">
        <v>45212</v>
      </c>
      <c r="D3035" t="inlineStr">
        <is>
          <t>VÄSTERNORRLANDS LÄN</t>
        </is>
      </c>
      <c r="E3035" t="inlineStr">
        <is>
          <t>SUNDSVALL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49499-2020</t>
        </is>
      </c>
      <c r="B3036" s="1" t="n">
        <v>44105</v>
      </c>
      <c r="C3036" s="1" t="n">
        <v>45212</v>
      </c>
      <c r="D3036" t="inlineStr">
        <is>
          <t>VÄSTERNORRLANDS LÄN</t>
        </is>
      </c>
      <c r="E3036" t="inlineStr">
        <is>
          <t>SUNDSVALL</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49508-2020</t>
        </is>
      </c>
      <c r="B3037" s="1" t="n">
        <v>44105</v>
      </c>
      <c r="C3037" s="1" t="n">
        <v>45212</v>
      </c>
      <c r="D3037" t="inlineStr">
        <is>
          <t>VÄSTERNORRLANDS LÄN</t>
        </is>
      </c>
      <c r="E3037" t="inlineStr">
        <is>
          <t>SOLLEFTEÅ</t>
        </is>
      </c>
      <c r="F3037" t="inlineStr">
        <is>
          <t>SCA</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49496-2020</t>
        </is>
      </c>
      <c r="B3038" s="1" t="n">
        <v>44105</v>
      </c>
      <c r="C3038" s="1" t="n">
        <v>45212</v>
      </c>
      <c r="D3038" t="inlineStr">
        <is>
          <t>VÄSTERNORRLANDS LÄN</t>
        </is>
      </c>
      <c r="E3038" t="inlineStr">
        <is>
          <t>SUNDSVALL</t>
        </is>
      </c>
      <c r="G3038" t="n">
        <v>9.1</v>
      </c>
      <c r="H3038" t="n">
        <v>0</v>
      </c>
      <c r="I3038" t="n">
        <v>0</v>
      </c>
      <c r="J3038" t="n">
        <v>0</v>
      </c>
      <c r="K3038" t="n">
        <v>0</v>
      </c>
      <c r="L3038" t="n">
        <v>0</v>
      </c>
      <c r="M3038" t="n">
        <v>0</v>
      </c>
      <c r="N3038" t="n">
        <v>0</v>
      </c>
      <c r="O3038" t="n">
        <v>0</v>
      </c>
      <c r="P3038" t="n">
        <v>0</v>
      </c>
      <c r="Q3038" t="n">
        <v>0</v>
      </c>
      <c r="R3038" s="2" t="inlineStr"/>
    </row>
    <row r="3039" ht="15" customHeight="1">
      <c r="A3039" t="inlineStr">
        <is>
          <t>A 49504-2020</t>
        </is>
      </c>
      <c r="B3039" s="1" t="n">
        <v>44105</v>
      </c>
      <c r="C3039" s="1" t="n">
        <v>45212</v>
      </c>
      <c r="D3039" t="inlineStr">
        <is>
          <t>VÄSTERNORRLANDS LÄN</t>
        </is>
      </c>
      <c r="E3039" t="inlineStr">
        <is>
          <t>SUNDSVALL</t>
        </is>
      </c>
      <c r="G3039" t="n">
        <v>4.9</v>
      </c>
      <c r="H3039" t="n">
        <v>0</v>
      </c>
      <c r="I3039" t="n">
        <v>0</v>
      </c>
      <c r="J3039" t="n">
        <v>0</v>
      </c>
      <c r="K3039" t="n">
        <v>0</v>
      </c>
      <c r="L3039" t="n">
        <v>0</v>
      </c>
      <c r="M3039" t="n">
        <v>0</v>
      </c>
      <c r="N3039" t="n">
        <v>0</v>
      </c>
      <c r="O3039" t="n">
        <v>0</v>
      </c>
      <c r="P3039" t="n">
        <v>0</v>
      </c>
      <c r="Q3039" t="n">
        <v>0</v>
      </c>
      <c r="R3039" s="2" t="inlineStr"/>
    </row>
    <row r="3040" ht="15" customHeight="1">
      <c r="A3040" t="inlineStr">
        <is>
          <t>A 49838-2020</t>
        </is>
      </c>
      <c r="B3040" s="1" t="n">
        <v>44106</v>
      </c>
      <c r="C3040" s="1" t="n">
        <v>45212</v>
      </c>
      <c r="D3040" t="inlineStr">
        <is>
          <t>VÄSTERNORRLANDS LÄN</t>
        </is>
      </c>
      <c r="E3040" t="inlineStr">
        <is>
          <t>ÅNGE</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49837-2020</t>
        </is>
      </c>
      <c r="B3041" s="1" t="n">
        <v>44106</v>
      </c>
      <c r="C3041" s="1" t="n">
        <v>45212</v>
      </c>
      <c r="D3041" t="inlineStr">
        <is>
          <t>VÄSTERNORRLANDS LÄN</t>
        </is>
      </c>
      <c r="E3041" t="inlineStr">
        <is>
          <t>SOLLEFTEÅ</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49842-2020</t>
        </is>
      </c>
      <c r="B3042" s="1" t="n">
        <v>44106</v>
      </c>
      <c r="C3042" s="1" t="n">
        <v>45212</v>
      </c>
      <c r="D3042" t="inlineStr">
        <is>
          <t>VÄSTERNORRLANDS LÄN</t>
        </is>
      </c>
      <c r="E3042" t="inlineStr">
        <is>
          <t>ÖRNSKÖLDSVIK</t>
        </is>
      </c>
      <c r="F3042" t="inlineStr">
        <is>
          <t>SCA</t>
        </is>
      </c>
      <c r="G3042" t="n">
        <v>13.7</v>
      </c>
      <c r="H3042" t="n">
        <v>0</v>
      </c>
      <c r="I3042" t="n">
        <v>0</v>
      </c>
      <c r="J3042" t="n">
        <v>0</v>
      </c>
      <c r="K3042" t="n">
        <v>0</v>
      </c>
      <c r="L3042" t="n">
        <v>0</v>
      </c>
      <c r="M3042" t="n">
        <v>0</v>
      </c>
      <c r="N3042" t="n">
        <v>0</v>
      </c>
      <c r="O3042" t="n">
        <v>0</v>
      </c>
      <c r="P3042" t="n">
        <v>0</v>
      </c>
      <c r="Q3042" t="n">
        <v>0</v>
      </c>
      <c r="R3042" s="2" t="inlineStr"/>
    </row>
    <row r="3043" ht="15" customHeight="1">
      <c r="A3043" t="inlineStr">
        <is>
          <t>A 49656-2020</t>
        </is>
      </c>
      <c r="B3043" s="1" t="n">
        <v>44106</v>
      </c>
      <c r="C3043" s="1" t="n">
        <v>45212</v>
      </c>
      <c r="D3043" t="inlineStr">
        <is>
          <t>VÄSTERNORRLANDS LÄN</t>
        </is>
      </c>
      <c r="E3043" t="inlineStr">
        <is>
          <t>ÅNGE</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50265-2020</t>
        </is>
      </c>
      <c r="B3044" s="1" t="n">
        <v>44109</v>
      </c>
      <c r="C3044" s="1" t="n">
        <v>45212</v>
      </c>
      <c r="D3044" t="inlineStr">
        <is>
          <t>VÄSTERNORRLANDS LÄN</t>
        </is>
      </c>
      <c r="E3044" t="inlineStr">
        <is>
          <t>ÅNGE</t>
        </is>
      </c>
      <c r="G3044" t="n">
        <v>1.5</v>
      </c>
      <c r="H3044" t="n">
        <v>0</v>
      </c>
      <c r="I3044" t="n">
        <v>0</v>
      </c>
      <c r="J3044" t="n">
        <v>0</v>
      </c>
      <c r="K3044" t="n">
        <v>0</v>
      </c>
      <c r="L3044" t="n">
        <v>0</v>
      </c>
      <c r="M3044" t="n">
        <v>0</v>
      </c>
      <c r="N3044" t="n">
        <v>0</v>
      </c>
      <c r="O3044" t="n">
        <v>0</v>
      </c>
      <c r="P3044" t="n">
        <v>0</v>
      </c>
      <c r="Q3044" t="n">
        <v>0</v>
      </c>
      <c r="R3044" s="2" t="inlineStr"/>
    </row>
    <row r="3045" ht="15" customHeight="1">
      <c r="A3045" t="inlineStr">
        <is>
          <t>A 50281-2020</t>
        </is>
      </c>
      <c r="B3045" s="1" t="n">
        <v>44109</v>
      </c>
      <c r="C3045" s="1" t="n">
        <v>45212</v>
      </c>
      <c r="D3045" t="inlineStr">
        <is>
          <t>VÄSTERNORRLANDS LÄN</t>
        </is>
      </c>
      <c r="E3045" t="inlineStr">
        <is>
          <t>KRAMFORS</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51926-2020</t>
        </is>
      </c>
      <c r="B3046" s="1" t="n">
        <v>44109</v>
      </c>
      <c r="C3046" s="1" t="n">
        <v>45212</v>
      </c>
      <c r="D3046" t="inlineStr">
        <is>
          <t>VÄSTERNORRLANDS LÄN</t>
        </is>
      </c>
      <c r="E3046" t="inlineStr">
        <is>
          <t>KRAMFORS</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50259-2020</t>
        </is>
      </c>
      <c r="B3047" s="1" t="n">
        <v>44109</v>
      </c>
      <c r="C3047" s="1" t="n">
        <v>45212</v>
      </c>
      <c r="D3047" t="inlineStr">
        <is>
          <t>VÄSTERNORRLANDS LÄN</t>
        </is>
      </c>
      <c r="E3047" t="inlineStr">
        <is>
          <t>ÅNGE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50151-2020</t>
        </is>
      </c>
      <c r="B3048" s="1" t="n">
        <v>44109</v>
      </c>
      <c r="C3048" s="1" t="n">
        <v>45212</v>
      </c>
      <c r="D3048" t="inlineStr">
        <is>
          <t>VÄSTERNORRLANDS LÄN</t>
        </is>
      </c>
      <c r="E3048" t="inlineStr">
        <is>
          <t>SUNDSVALL</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50169-2020</t>
        </is>
      </c>
      <c r="B3049" s="1" t="n">
        <v>44109</v>
      </c>
      <c r="C3049" s="1" t="n">
        <v>45212</v>
      </c>
      <c r="D3049" t="inlineStr">
        <is>
          <t>VÄSTERNORRLANDS LÄN</t>
        </is>
      </c>
      <c r="E3049" t="inlineStr">
        <is>
          <t>SUNDSVALL</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50225-2020</t>
        </is>
      </c>
      <c r="B3050" s="1" t="n">
        <v>44109</v>
      </c>
      <c r="C3050" s="1" t="n">
        <v>45212</v>
      </c>
      <c r="D3050" t="inlineStr">
        <is>
          <t>VÄSTERNORRLANDS LÄN</t>
        </is>
      </c>
      <c r="E3050" t="inlineStr">
        <is>
          <t>SOLLEFTEÅ</t>
        </is>
      </c>
      <c r="F3050" t="inlineStr">
        <is>
          <t>Holmen skog AB</t>
        </is>
      </c>
      <c r="G3050" t="n">
        <v>3.3</v>
      </c>
      <c r="H3050" t="n">
        <v>0</v>
      </c>
      <c r="I3050" t="n">
        <v>0</v>
      </c>
      <c r="J3050" t="n">
        <v>0</v>
      </c>
      <c r="K3050" t="n">
        <v>0</v>
      </c>
      <c r="L3050" t="n">
        <v>0</v>
      </c>
      <c r="M3050" t="n">
        <v>0</v>
      </c>
      <c r="N3050" t="n">
        <v>0</v>
      </c>
      <c r="O3050" t="n">
        <v>0</v>
      </c>
      <c r="P3050" t="n">
        <v>0</v>
      </c>
      <c r="Q3050" t="n">
        <v>0</v>
      </c>
      <c r="R3050" s="2" t="inlineStr"/>
    </row>
    <row r="3051" ht="15" customHeight="1">
      <c r="A3051" t="inlineStr">
        <is>
          <t>A 50248-2020</t>
        </is>
      </c>
      <c r="B3051" s="1" t="n">
        <v>44109</v>
      </c>
      <c r="C3051" s="1" t="n">
        <v>45212</v>
      </c>
      <c r="D3051" t="inlineStr">
        <is>
          <t>VÄSTERNORRLANDS LÄN</t>
        </is>
      </c>
      <c r="E3051" t="inlineStr">
        <is>
          <t>KRAMFORS</t>
        </is>
      </c>
      <c r="F3051" t="inlineStr">
        <is>
          <t>Kommuner</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50260-2020</t>
        </is>
      </c>
      <c r="B3052" s="1" t="n">
        <v>44109</v>
      </c>
      <c r="C3052" s="1" t="n">
        <v>45212</v>
      </c>
      <c r="D3052" t="inlineStr">
        <is>
          <t>VÄSTERNORRLANDS LÄN</t>
        </is>
      </c>
      <c r="E3052" t="inlineStr">
        <is>
          <t>ÅNGE</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50280-2020</t>
        </is>
      </c>
      <c r="B3053" s="1" t="n">
        <v>44109</v>
      </c>
      <c r="C3053" s="1" t="n">
        <v>45212</v>
      </c>
      <c r="D3053" t="inlineStr">
        <is>
          <t>VÄSTERNORRLANDS LÄN</t>
        </is>
      </c>
      <c r="E3053" t="inlineStr">
        <is>
          <t>KRAMFORS</t>
        </is>
      </c>
      <c r="G3053" t="n">
        <v>5.6</v>
      </c>
      <c r="H3053" t="n">
        <v>0</v>
      </c>
      <c r="I3053" t="n">
        <v>0</v>
      </c>
      <c r="J3053" t="n">
        <v>0</v>
      </c>
      <c r="K3053" t="n">
        <v>0</v>
      </c>
      <c r="L3053" t="n">
        <v>0</v>
      </c>
      <c r="M3053" t="n">
        <v>0</v>
      </c>
      <c r="N3053" t="n">
        <v>0</v>
      </c>
      <c r="O3053" t="n">
        <v>0</v>
      </c>
      <c r="P3053" t="n">
        <v>0</v>
      </c>
      <c r="Q3053" t="n">
        <v>0</v>
      </c>
      <c r="R3053" s="2" t="inlineStr"/>
    </row>
    <row r="3054" ht="15" customHeight="1">
      <c r="A3054" t="inlineStr">
        <is>
          <t>A 50258-2020</t>
        </is>
      </c>
      <c r="B3054" s="1" t="n">
        <v>44109</v>
      </c>
      <c r="C3054" s="1" t="n">
        <v>45212</v>
      </c>
      <c r="D3054" t="inlineStr">
        <is>
          <t>VÄSTERNORRLANDS LÄN</t>
        </is>
      </c>
      <c r="E3054" t="inlineStr">
        <is>
          <t>ÅNGE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50268-2020</t>
        </is>
      </c>
      <c r="B3055" s="1" t="n">
        <v>44109</v>
      </c>
      <c r="C3055" s="1" t="n">
        <v>45212</v>
      </c>
      <c r="D3055" t="inlineStr">
        <is>
          <t>VÄSTERNORRLANDS LÄN</t>
        </is>
      </c>
      <c r="E3055" t="inlineStr">
        <is>
          <t>ÅNGE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51947-2020</t>
        </is>
      </c>
      <c r="B3056" s="1" t="n">
        <v>44109</v>
      </c>
      <c r="C3056" s="1" t="n">
        <v>45212</v>
      </c>
      <c r="D3056" t="inlineStr">
        <is>
          <t>VÄSTERNORRLANDS LÄN</t>
        </is>
      </c>
      <c r="E3056" t="inlineStr">
        <is>
          <t>KRAMFORS</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50638-2020</t>
        </is>
      </c>
      <c r="B3057" s="1" t="n">
        <v>44110</v>
      </c>
      <c r="C3057" s="1" t="n">
        <v>45212</v>
      </c>
      <c r="D3057" t="inlineStr">
        <is>
          <t>VÄSTERNORRLANDS LÄN</t>
        </is>
      </c>
      <c r="E3057" t="inlineStr">
        <is>
          <t>SOLLEFTEÅ</t>
        </is>
      </c>
      <c r="F3057" t="inlineStr">
        <is>
          <t>Kyrkan</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50650-2020</t>
        </is>
      </c>
      <c r="B3058" s="1" t="n">
        <v>44110</v>
      </c>
      <c r="C3058" s="1" t="n">
        <v>45212</v>
      </c>
      <c r="D3058" t="inlineStr">
        <is>
          <t>VÄSTERNORRLANDS LÄN</t>
        </is>
      </c>
      <c r="E3058" t="inlineStr">
        <is>
          <t>ÖRNSKÖLDSVIK</t>
        </is>
      </c>
      <c r="F3058" t="inlineStr">
        <is>
          <t>SCA</t>
        </is>
      </c>
      <c r="G3058" t="n">
        <v>4.3</v>
      </c>
      <c r="H3058" t="n">
        <v>0</v>
      </c>
      <c r="I3058" t="n">
        <v>0</v>
      </c>
      <c r="J3058" t="n">
        <v>0</v>
      </c>
      <c r="K3058" t="n">
        <v>0</v>
      </c>
      <c r="L3058" t="n">
        <v>0</v>
      </c>
      <c r="M3058" t="n">
        <v>0</v>
      </c>
      <c r="N3058" t="n">
        <v>0</v>
      </c>
      <c r="O3058" t="n">
        <v>0</v>
      </c>
      <c r="P3058" t="n">
        <v>0</v>
      </c>
      <c r="Q3058" t="n">
        <v>0</v>
      </c>
      <c r="R3058" s="2" t="inlineStr"/>
    </row>
    <row r="3059" ht="15" customHeight="1">
      <c r="A3059" t="inlineStr">
        <is>
          <t>A 50485-2020</t>
        </is>
      </c>
      <c r="B3059" s="1" t="n">
        <v>44110</v>
      </c>
      <c r="C3059" s="1" t="n">
        <v>45212</v>
      </c>
      <c r="D3059" t="inlineStr">
        <is>
          <t>VÄSTERNORRLANDS LÄN</t>
        </is>
      </c>
      <c r="E3059" t="inlineStr">
        <is>
          <t>SUNDSVALL</t>
        </is>
      </c>
      <c r="F3059" t="inlineStr">
        <is>
          <t>Kommuner</t>
        </is>
      </c>
      <c r="G3059" t="n">
        <v>9</v>
      </c>
      <c r="H3059" t="n">
        <v>0</v>
      </c>
      <c r="I3059" t="n">
        <v>0</v>
      </c>
      <c r="J3059" t="n">
        <v>0</v>
      </c>
      <c r="K3059" t="n">
        <v>0</v>
      </c>
      <c r="L3059" t="n">
        <v>0</v>
      </c>
      <c r="M3059" t="n">
        <v>0</v>
      </c>
      <c r="N3059" t="n">
        <v>0</v>
      </c>
      <c r="O3059" t="n">
        <v>0</v>
      </c>
      <c r="P3059" t="n">
        <v>0</v>
      </c>
      <c r="Q3059" t="n">
        <v>0</v>
      </c>
      <c r="R3059" s="2" t="inlineStr"/>
    </row>
    <row r="3060" ht="15" customHeight="1">
      <c r="A3060" t="inlineStr">
        <is>
          <t>A 50500-2020</t>
        </is>
      </c>
      <c r="B3060" s="1" t="n">
        <v>44110</v>
      </c>
      <c r="C3060" s="1" t="n">
        <v>45212</v>
      </c>
      <c r="D3060" t="inlineStr">
        <is>
          <t>VÄSTERNORRLANDS LÄN</t>
        </is>
      </c>
      <c r="E3060" t="inlineStr">
        <is>
          <t>SUNDSVALL</t>
        </is>
      </c>
      <c r="F3060" t="inlineStr">
        <is>
          <t>Kommuner</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51018-2020</t>
        </is>
      </c>
      <c r="B3061" s="1" t="n">
        <v>44111</v>
      </c>
      <c r="C3061" s="1" t="n">
        <v>45212</v>
      </c>
      <c r="D3061" t="inlineStr">
        <is>
          <t>VÄSTERNORRLANDS LÄN</t>
        </is>
      </c>
      <c r="E3061" t="inlineStr">
        <is>
          <t>SOLLEFTEÅ</t>
        </is>
      </c>
      <c r="F3061" t="inlineStr">
        <is>
          <t>SCA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52232-2020</t>
        </is>
      </c>
      <c r="B3062" s="1" t="n">
        <v>44111</v>
      </c>
      <c r="C3062" s="1" t="n">
        <v>45212</v>
      </c>
      <c r="D3062" t="inlineStr">
        <is>
          <t>VÄSTERNORRLANDS LÄN</t>
        </is>
      </c>
      <c r="E3062" t="inlineStr">
        <is>
          <t>ÅNGE</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51011-2020</t>
        </is>
      </c>
      <c r="B3063" s="1" t="n">
        <v>44111</v>
      </c>
      <c r="C3063" s="1" t="n">
        <v>45212</v>
      </c>
      <c r="D3063" t="inlineStr">
        <is>
          <t>VÄSTERNORRLANDS LÄN</t>
        </is>
      </c>
      <c r="E3063" t="inlineStr">
        <is>
          <t>SOLLEFTEÅ</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51096-2020</t>
        </is>
      </c>
      <c r="B3064" s="1" t="n">
        <v>44112</v>
      </c>
      <c r="C3064" s="1" t="n">
        <v>45212</v>
      </c>
      <c r="D3064" t="inlineStr">
        <is>
          <t>VÄSTERNORRLANDS LÄN</t>
        </is>
      </c>
      <c r="E3064" t="inlineStr">
        <is>
          <t>ÖRNSKÖLDSVIK</t>
        </is>
      </c>
      <c r="F3064" t="inlineStr">
        <is>
          <t>Holmen skog AB</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51330-2020</t>
        </is>
      </c>
      <c r="B3065" s="1" t="n">
        <v>44112</v>
      </c>
      <c r="C3065" s="1" t="n">
        <v>45212</v>
      </c>
      <c r="D3065" t="inlineStr">
        <is>
          <t>VÄSTERNORRLANDS LÄN</t>
        </is>
      </c>
      <c r="E3065" t="inlineStr">
        <is>
          <t>TIMRÅ</t>
        </is>
      </c>
      <c r="G3065" t="n">
        <v>9.699999999999999</v>
      </c>
      <c r="H3065" t="n">
        <v>0</v>
      </c>
      <c r="I3065" t="n">
        <v>0</v>
      </c>
      <c r="J3065" t="n">
        <v>0</v>
      </c>
      <c r="K3065" t="n">
        <v>0</v>
      </c>
      <c r="L3065" t="n">
        <v>0</v>
      </c>
      <c r="M3065" t="n">
        <v>0</v>
      </c>
      <c r="N3065" t="n">
        <v>0</v>
      </c>
      <c r="O3065" t="n">
        <v>0</v>
      </c>
      <c r="P3065" t="n">
        <v>0</v>
      </c>
      <c r="Q3065" t="n">
        <v>0</v>
      </c>
      <c r="R3065" s="2" t="inlineStr"/>
    </row>
    <row r="3066" ht="15" customHeight="1">
      <c r="A3066" t="inlineStr">
        <is>
          <t>A 51368-2020</t>
        </is>
      </c>
      <c r="B3066" s="1" t="n">
        <v>44112</v>
      </c>
      <c r="C3066" s="1" t="n">
        <v>45212</v>
      </c>
      <c r="D3066" t="inlineStr">
        <is>
          <t>VÄSTERNORRLANDS LÄN</t>
        </is>
      </c>
      <c r="E3066" t="inlineStr">
        <is>
          <t>SUNDSVALL</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51293-2020</t>
        </is>
      </c>
      <c r="B3067" s="1" t="n">
        <v>44112</v>
      </c>
      <c r="C3067" s="1" t="n">
        <v>45212</v>
      </c>
      <c r="D3067" t="inlineStr">
        <is>
          <t>VÄSTERNORRLANDS LÄN</t>
        </is>
      </c>
      <c r="E3067" t="inlineStr">
        <is>
          <t>ÖRNSKÖLDSVIK</t>
        </is>
      </c>
      <c r="F3067" t="inlineStr">
        <is>
          <t>Holmen skog AB</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51323-2020</t>
        </is>
      </c>
      <c r="B3068" s="1" t="n">
        <v>44112</v>
      </c>
      <c r="C3068" s="1" t="n">
        <v>45212</v>
      </c>
      <c r="D3068" t="inlineStr">
        <is>
          <t>VÄSTERNORRLANDS LÄN</t>
        </is>
      </c>
      <c r="E3068" t="inlineStr">
        <is>
          <t>ÖRNSKÖLDSVIK</t>
        </is>
      </c>
      <c r="F3068" t="inlineStr">
        <is>
          <t>Kyrkan</t>
        </is>
      </c>
      <c r="G3068" t="n">
        <v>17.3</v>
      </c>
      <c r="H3068" t="n">
        <v>0</v>
      </c>
      <c r="I3068" t="n">
        <v>0</v>
      </c>
      <c r="J3068" t="n">
        <v>0</v>
      </c>
      <c r="K3068" t="n">
        <v>0</v>
      </c>
      <c r="L3068" t="n">
        <v>0</v>
      </c>
      <c r="M3068" t="n">
        <v>0</v>
      </c>
      <c r="N3068" t="n">
        <v>0</v>
      </c>
      <c r="O3068" t="n">
        <v>0</v>
      </c>
      <c r="P3068" t="n">
        <v>0</v>
      </c>
      <c r="Q3068" t="n">
        <v>0</v>
      </c>
      <c r="R3068" s="2" t="inlineStr"/>
    </row>
    <row r="3069" ht="15" customHeight="1">
      <c r="A3069" t="inlineStr">
        <is>
          <t>A 51712-2020</t>
        </is>
      </c>
      <c r="B3069" s="1" t="n">
        <v>44113</v>
      </c>
      <c r="C3069" s="1" t="n">
        <v>45212</v>
      </c>
      <c r="D3069" t="inlineStr">
        <is>
          <t>VÄSTERNORRLANDS LÄN</t>
        </is>
      </c>
      <c r="E3069" t="inlineStr">
        <is>
          <t>SUNDSVALL</t>
        </is>
      </c>
      <c r="F3069" t="inlineStr">
        <is>
          <t>SCA</t>
        </is>
      </c>
      <c r="G3069" t="n">
        <v>21.1</v>
      </c>
      <c r="H3069" t="n">
        <v>0</v>
      </c>
      <c r="I3069" t="n">
        <v>0</v>
      </c>
      <c r="J3069" t="n">
        <v>0</v>
      </c>
      <c r="K3069" t="n">
        <v>0</v>
      </c>
      <c r="L3069" t="n">
        <v>0</v>
      </c>
      <c r="M3069" t="n">
        <v>0</v>
      </c>
      <c r="N3069" t="n">
        <v>0</v>
      </c>
      <c r="O3069" t="n">
        <v>0</v>
      </c>
      <c r="P3069" t="n">
        <v>0</v>
      </c>
      <c r="Q3069" t="n">
        <v>0</v>
      </c>
      <c r="R3069" s="2" t="inlineStr"/>
    </row>
    <row r="3070" ht="15" customHeight="1">
      <c r="A3070" t="inlineStr">
        <is>
          <t>A 51610-2020</t>
        </is>
      </c>
      <c r="B3070" s="1" t="n">
        <v>44113</v>
      </c>
      <c r="C3070" s="1" t="n">
        <v>45212</v>
      </c>
      <c r="D3070" t="inlineStr">
        <is>
          <t>VÄSTERNORRLANDS LÄN</t>
        </is>
      </c>
      <c r="E3070" t="inlineStr">
        <is>
          <t>ÅNGE</t>
        </is>
      </c>
      <c r="F3070" t="inlineStr">
        <is>
          <t>Sveaskog</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52412-2020</t>
        </is>
      </c>
      <c r="B3071" s="1" t="n">
        <v>44113</v>
      </c>
      <c r="C3071" s="1" t="n">
        <v>45212</v>
      </c>
      <c r="D3071" t="inlineStr">
        <is>
          <t>VÄSTERNORRLANDS LÄN</t>
        </is>
      </c>
      <c r="E3071" t="inlineStr">
        <is>
          <t>ÖRNSKÖLDSVIK</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51534-2020</t>
        </is>
      </c>
      <c r="B3072" s="1" t="n">
        <v>44113</v>
      </c>
      <c r="C3072" s="1" t="n">
        <v>45212</v>
      </c>
      <c r="D3072" t="inlineStr">
        <is>
          <t>VÄSTERNORRLANDS LÄN</t>
        </is>
      </c>
      <c r="E3072" t="inlineStr">
        <is>
          <t>SOLLEFTEÅ</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51657-2020</t>
        </is>
      </c>
      <c r="B3073" s="1" t="n">
        <v>44113</v>
      </c>
      <c r="C3073" s="1" t="n">
        <v>45212</v>
      </c>
      <c r="D3073" t="inlineStr">
        <is>
          <t>VÄSTERNORRLANDS LÄN</t>
        </is>
      </c>
      <c r="E3073" t="inlineStr">
        <is>
          <t>ÖRNSKÖLDSVIK</t>
        </is>
      </c>
      <c r="F3073" t="inlineStr">
        <is>
          <t>Holmen skog AB</t>
        </is>
      </c>
      <c r="G3073" t="n">
        <v>5.4</v>
      </c>
      <c r="H3073" t="n">
        <v>0</v>
      </c>
      <c r="I3073" t="n">
        <v>0</v>
      </c>
      <c r="J3073" t="n">
        <v>0</v>
      </c>
      <c r="K3073" t="n">
        <v>0</v>
      </c>
      <c r="L3073" t="n">
        <v>0</v>
      </c>
      <c r="M3073" t="n">
        <v>0</v>
      </c>
      <c r="N3073" t="n">
        <v>0</v>
      </c>
      <c r="O3073" t="n">
        <v>0</v>
      </c>
      <c r="P3073" t="n">
        <v>0</v>
      </c>
      <c r="Q3073" t="n">
        <v>0</v>
      </c>
      <c r="R3073" s="2" t="inlineStr"/>
    </row>
    <row r="3074" ht="15" customHeight="1">
      <c r="A3074" t="inlineStr">
        <is>
          <t>A 52485-2020</t>
        </is>
      </c>
      <c r="B3074" s="1" t="n">
        <v>44113</v>
      </c>
      <c r="C3074" s="1" t="n">
        <v>45212</v>
      </c>
      <c r="D3074" t="inlineStr">
        <is>
          <t>VÄSTERNORRLANDS LÄN</t>
        </is>
      </c>
      <c r="E3074" t="inlineStr">
        <is>
          <t>SUNDSVALL</t>
        </is>
      </c>
      <c r="G3074" t="n">
        <v>14.4</v>
      </c>
      <c r="H3074" t="n">
        <v>0</v>
      </c>
      <c r="I3074" t="n">
        <v>0</v>
      </c>
      <c r="J3074" t="n">
        <v>0</v>
      </c>
      <c r="K3074" t="n">
        <v>0</v>
      </c>
      <c r="L3074" t="n">
        <v>0</v>
      </c>
      <c r="M3074" t="n">
        <v>0</v>
      </c>
      <c r="N3074" t="n">
        <v>0</v>
      </c>
      <c r="O3074" t="n">
        <v>0</v>
      </c>
      <c r="P3074" t="n">
        <v>0</v>
      </c>
      <c r="Q3074" t="n">
        <v>0</v>
      </c>
      <c r="R3074" s="2" t="inlineStr"/>
    </row>
    <row r="3075" ht="15" customHeight="1">
      <c r="A3075" t="inlineStr">
        <is>
          <t>A 52504-2020</t>
        </is>
      </c>
      <c r="B3075" s="1" t="n">
        <v>44113</v>
      </c>
      <c r="C3075" s="1" t="n">
        <v>45212</v>
      </c>
      <c r="D3075" t="inlineStr">
        <is>
          <t>VÄSTERNORRLANDS LÄN</t>
        </is>
      </c>
      <c r="E3075" t="inlineStr">
        <is>
          <t>ÅNGE</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51755-2020</t>
        </is>
      </c>
      <c r="B3076" s="1" t="n">
        <v>44114</v>
      </c>
      <c r="C3076" s="1" t="n">
        <v>45212</v>
      </c>
      <c r="D3076" t="inlineStr">
        <is>
          <t>VÄSTERNORRLANDS LÄN</t>
        </is>
      </c>
      <c r="E3076" t="inlineStr">
        <is>
          <t>ÅNGE</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51754-2020</t>
        </is>
      </c>
      <c r="B3077" s="1" t="n">
        <v>44114</v>
      </c>
      <c r="C3077" s="1" t="n">
        <v>45212</v>
      </c>
      <c r="D3077" t="inlineStr">
        <is>
          <t>VÄSTERNORRLANDS LÄN</t>
        </is>
      </c>
      <c r="E3077" t="inlineStr">
        <is>
          <t>SUNDSVALL</t>
        </is>
      </c>
      <c r="G3077" t="n">
        <v>6.8</v>
      </c>
      <c r="H3077" t="n">
        <v>0</v>
      </c>
      <c r="I3077" t="n">
        <v>0</v>
      </c>
      <c r="J3077" t="n">
        <v>0</v>
      </c>
      <c r="K3077" t="n">
        <v>0</v>
      </c>
      <c r="L3077" t="n">
        <v>0</v>
      </c>
      <c r="M3077" t="n">
        <v>0</v>
      </c>
      <c r="N3077" t="n">
        <v>0</v>
      </c>
      <c r="O3077" t="n">
        <v>0</v>
      </c>
      <c r="P3077" t="n">
        <v>0</v>
      </c>
      <c r="Q3077" t="n">
        <v>0</v>
      </c>
      <c r="R3077" s="2" t="inlineStr"/>
    </row>
    <row r="3078" ht="15" customHeight="1">
      <c r="A3078" t="inlineStr">
        <is>
          <t>A 52546-2020</t>
        </is>
      </c>
      <c r="B3078" s="1" t="n">
        <v>44116</v>
      </c>
      <c r="C3078" s="1" t="n">
        <v>45212</v>
      </c>
      <c r="D3078" t="inlineStr">
        <is>
          <t>VÄSTERNORRLANDS LÄN</t>
        </is>
      </c>
      <c r="E3078" t="inlineStr">
        <is>
          <t>HÄRNÖSAND</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52036-2020</t>
        </is>
      </c>
      <c r="B3079" s="1" t="n">
        <v>44116</v>
      </c>
      <c r="C3079" s="1" t="n">
        <v>45212</v>
      </c>
      <c r="D3079" t="inlineStr">
        <is>
          <t>VÄSTERNORRLANDS LÄN</t>
        </is>
      </c>
      <c r="E3079" t="inlineStr">
        <is>
          <t>SUNDSVALL</t>
        </is>
      </c>
      <c r="F3079" t="inlineStr">
        <is>
          <t>SCA</t>
        </is>
      </c>
      <c r="G3079" t="n">
        <v>8.699999999999999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52536-2020</t>
        </is>
      </c>
      <c r="B3080" s="1" t="n">
        <v>44116</v>
      </c>
      <c r="C3080" s="1" t="n">
        <v>45212</v>
      </c>
      <c r="D3080" t="inlineStr">
        <is>
          <t>VÄSTERNORRLANDS LÄN</t>
        </is>
      </c>
      <c r="E3080" t="inlineStr">
        <is>
          <t>HÄRNÖSAND</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52541-2020</t>
        </is>
      </c>
      <c r="B3081" s="1" t="n">
        <v>44116</v>
      </c>
      <c r="C3081" s="1" t="n">
        <v>45212</v>
      </c>
      <c r="D3081" t="inlineStr">
        <is>
          <t>VÄSTERNORRLANDS LÄN</t>
        </is>
      </c>
      <c r="E3081" t="inlineStr">
        <is>
          <t>HÄRNÖSAND</t>
        </is>
      </c>
      <c r="G3081" t="n">
        <v>4.8</v>
      </c>
      <c r="H3081" t="n">
        <v>0</v>
      </c>
      <c r="I3081" t="n">
        <v>0</v>
      </c>
      <c r="J3081" t="n">
        <v>0</v>
      </c>
      <c r="K3081" t="n">
        <v>0</v>
      </c>
      <c r="L3081" t="n">
        <v>0</v>
      </c>
      <c r="M3081" t="n">
        <v>0</v>
      </c>
      <c r="N3081" t="n">
        <v>0</v>
      </c>
      <c r="O3081" t="n">
        <v>0</v>
      </c>
      <c r="P3081" t="n">
        <v>0</v>
      </c>
      <c r="Q3081" t="n">
        <v>0</v>
      </c>
      <c r="R3081" s="2" t="inlineStr"/>
    </row>
    <row r="3082" ht="15" customHeight="1">
      <c r="A3082" t="inlineStr">
        <is>
          <t>A 52107-2020</t>
        </is>
      </c>
      <c r="B3082" s="1" t="n">
        <v>44117</v>
      </c>
      <c r="C3082" s="1" t="n">
        <v>45212</v>
      </c>
      <c r="D3082" t="inlineStr">
        <is>
          <t>VÄSTERNORRLANDS LÄN</t>
        </is>
      </c>
      <c r="E3082" t="inlineStr">
        <is>
          <t>ÖRNSKÖLDSVIK</t>
        </is>
      </c>
      <c r="F3082" t="inlineStr">
        <is>
          <t>Holmen skog AB</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52199-2020</t>
        </is>
      </c>
      <c r="B3083" s="1" t="n">
        <v>44117</v>
      </c>
      <c r="C3083" s="1" t="n">
        <v>45212</v>
      </c>
      <c r="D3083" t="inlineStr">
        <is>
          <t>VÄSTERNORRLANDS LÄN</t>
        </is>
      </c>
      <c r="E3083" t="inlineStr">
        <is>
          <t>SOLLEFTEÅ</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52633-2020</t>
        </is>
      </c>
      <c r="B3084" s="1" t="n">
        <v>44118</v>
      </c>
      <c r="C3084" s="1" t="n">
        <v>45212</v>
      </c>
      <c r="D3084" t="inlineStr">
        <is>
          <t>VÄSTERNORRLANDS LÄN</t>
        </is>
      </c>
      <c r="E3084" t="inlineStr">
        <is>
          <t>ÅNGE</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52637-2020</t>
        </is>
      </c>
      <c r="B3085" s="1" t="n">
        <v>44118</v>
      </c>
      <c r="C3085" s="1" t="n">
        <v>45212</v>
      </c>
      <c r="D3085" t="inlineStr">
        <is>
          <t>VÄSTERNORRLANDS LÄN</t>
        </is>
      </c>
      <c r="E3085" t="inlineStr">
        <is>
          <t>ÅNGE</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52629-2020</t>
        </is>
      </c>
      <c r="B3086" s="1" t="n">
        <v>44118</v>
      </c>
      <c r="C3086" s="1" t="n">
        <v>45212</v>
      </c>
      <c r="D3086" t="inlineStr">
        <is>
          <t>VÄSTERNORRLANDS LÄN</t>
        </is>
      </c>
      <c r="E3086" t="inlineStr">
        <is>
          <t>ÅNGE</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52406-2020</t>
        </is>
      </c>
      <c r="B3087" s="1" t="n">
        <v>44118</v>
      </c>
      <c r="C3087" s="1" t="n">
        <v>45212</v>
      </c>
      <c r="D3087" t="inlineStr">
        <is>
          <t>VÄSTERNORRLANDS LÄN</t>
        </is>
      </c>
      <c r="E3087" t="inlineStr">
        <is>
          <t>SOLLEFTEÅ</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52490-2020</t>
        </is>
      </c>
      <c r="B3088" s="1" t="n">
        <v>44118</v>
      </c>
      <c r="C3088" s="1" t="n">
        <v>45212</v>
      </c>
      <c r="D3088" t="inlineStr">
        <is>
          <t>VÄSTERNORRLANDS LÄN</t>
        </is>
      </c>
      <c r="E3088" t="inlineStr">
        <is>
          <t>ÖRNSKÖLDSVIK</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52627-2020</t>
        </is>
      </c>
      <c r="B3089" s="1" t="n">
        <v>44118</v>
      </c>
      <c r="C3089" s="1" t="n">
        <v>45212</v>
      </c>
      <c r="D3089" t="inlineStr">
        <is>
          <t>VÄSTERNORRLANDS LÄN</t>
        </is>
      </c>
      <c r="E3089" t="inlineStr">
        <is>
          <t>ÅNGE</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52951-2020</t>
        </is>
      </c>
      <c r="B3090" s="1" t="n">
        <v>44119</v>
      </c>
      <c r="C3090" s="1" t="n">
        <v>45212</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52829-2020</t>
        </is>
      </c>
      <c r="B3091" s="1" t="n">
        <v>44119</v>
      </c>
      <c r="C3091" s="1" t="n">
        <v>45212</v>
      </c>
      <c r="D3091" t="inlineStr">
        <is>
          <t>VÄSTERNORRLANDS LÄN</t>
        </is>
      </c>
      <c r="E3091" t="inlineStr">
        <is>
          <t>ÖRNSKÖLDSVIK</t>
        </is>
      </c>
      <c r="F3091" t="inlineStr">
        <is>
          <t>Holmen skog AB</t>
        </is>
      </c>
      <c r="G3091" t="n">
        <v>0.3</v>
      </c>
      <c r="H3091" t="n">
        <v>0</v>
      </c>
      <c r="I3091" t="n">
        <v>0</v>
      </c>
      <c r="J3091" t="n">
        <v>0</v>
      </c>
      <c r="K3091" t="n">
        <v>0</v>
      </c>
      <c r="L3091" t="n">
        <v>0</v>
      </c>
      <c r="M3091" t="n">
        <v>0</v>
      </c>
      <c r="N3091" t="n">
        <v>0</v>
      </c>
      <c r="O3091" t="n">
        <v>0</v>
      </c>
      <c r="P3091" t="n">
        <v>0</v>
      </c>
      <c r="Q3091" t="n">
        <v>0</v>
      </c>
      <c r="R3091" s="2" t="inlineStr"/>
    </row>
    <row r="3092" ht="15" customHeight="1">
      <c r="A3092" t="inlineStr">
        <is>
          <t>A 52862-2020</t>
        </is>
      </c>
      <c r="B3092" s="1" t="n">
        <v>44119</v>
      </c>
      <c r="C3092" s="1" t="n">
        <v>45212</v>
      </c>
      <c r="D3092" t="inlineStr">
        <is>
          <t>VÄSTERNORRLANDS LÄN</t>
        </is>
      </c>
      <c r="E3092" t="inlineStr">
        <is>
          <t>ÖRNSKÖLDSVIK</t>
        </is>
      </c>
      <c r="F3092" t="inlineStr">
        <is>
          <t>Holmen skog AB</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52959-2020</t>
        </is>
      </c>
      <c r="B3093" s="1" t="n">
        <v>44119</v>
      </c>
      <c r="C3093" s="1" t="n">
        <v>45212</v>
      </c>
      <c r="D3093" t="inlineStr">
        <is>
          <t>VÄSTERNORRLANDS LÄN</t>
        </is>
      </c>
      <c r="E3093" t="inlineStr">
        <is>
          <t>KRAMFORS</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52983-2020</t>
        </is>
      </c>
      <c r="B3094" s="1" t="n">
        <v>44119</v>
      </c>
      <c r="C3094" s="1" t="n">
        <v>45212</v>
      </c>
      <c r="D3094" t="inlineStr">
        <is>
          <t>VÄSTERNORRLANDS LÄN</t>
        </is>
      </c>
      <c r="E3094" t="inlineStr">
        <is>
          <t>SOLLEFTEÅ</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52992-2020</t>
        </is>
      </c>
      <c r="B3095" s="1" t="n">
        <v>44120</v>
      </c>
      <c r="C3095" s="1" t="n">
        <v>45212</v>
      </c>
      <c r="D3095" t="inlineStr">
        <is>
          <t>VÄSTERNORRLANDS LÄN</t>
        </is>
      </c>
      <c r="E3095" t="inlineStr">
        <is>
          <t>ÖRNSKÖLDSVIK</t>
        </is>
      </c>
      <c r="F3095" t="inlineStr">
        <is>
          <t>Holmen skog AB</t>
        </is>
      </c>
      <c r="G3095" t="n">
        <v>11.9</v>
      </c>
      <c r="H3095" t="n">
        <v>0</v>
      </c>
      <c r="I3095" t="n">
        <v>0</v>
      </c>
      <c r="J3095" t="n">
        <v>0</v>
      </c>
      <c r="K3095" t="n">
        <v>0</v>
      </c>
      <c r="L3095" t="n">
        <v>0</v>
      </c>
      <c r="M3095" t="n">
        <v>0</v>
      </c>
      <c r="N3095" t="n">
        <v>0</v>
      </c>
      <c r="O3095" t="n">
        <v>0</v>
      </c>
      <c r="P3095" t="n">
        <v>0</v>
      </c>
      <c r="Q3095" t="n">
        <v>0</v>
      </c>
      <c r="R3095" s="2" t="inlineStr"/>
    </row>
    <row r="3096" ht="15" customHeight="1">
      <c r="A3096" t="inlineStr">
        <is>
          <t>A 53170-2020</t>
        </is>
      </c>
      <c r="B3096" s="1" t="n">
        <v>44120</v>
      </c>
      <c r="C3096" s="1" t="n">
        <v>45212</v>
      </c>
      <c r="D3096" t="inlineStr">
        <is>
          <t>VÄSTERNORRLANDS LÄN</t>
        </is>
      </c>
      <c r="E3096" t="inlineStr">
        <is>
          <t>ÅNGE</t>
        </is>
      </c>
      <c r="F3096" t="inlineStr">
        <is>
          <t>SCA</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53174-2020</t>
        </is>
      </c>
      <c r="B3097" s="1" t="n">
        <v>44120</v>
      </c>
      <c r="C3097" s="1" t="n">
        <v>45212</v>
      </c>
      <c r="D3097" t="inlineStr">
        <is>
          <t>VÄSTERNORRLANDS LÄN</t>
        </is>
      </c>
      <c r="E3097" t="inlineStr">
        <is>
          <t>ÅNGE</t>
        </is>
      </c>
      <c r="F3097" t="inlineStr">
        <is>
          <t>SCA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52936-2020</t>
        </is>
      </c>
      <c r="B3098" s="1" t="n">
        <v>44120</v>
      </c>
      <c r="C3098" s="1" t="n">
        <v>45212</v>
      </c>
      <c r="D3098" t="inlineStr">
        <is>
          <t>VÄSTERNORRLANDS LÄN</t>
        </is>
      </c>
      <c r="E3098" t="inlineStr">
        <is>
          <t>SOLLEFTEÅ</t>
        </is>
      </c>
      <c r="F3098" t="inlineStr">
        <is>
          <t>Holmen skog AB</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53171-2020</t>
        </is>
      </c>
      <c r="B3099" s="1" t="n">
        <v>44120</v>
      </c>
      <c r="C3099" s="1" t="n">
        <v>45212</v>
      </c>
      <c r="D3099" t="inlineStr">
        <is>
          <t>VÄSTERNORRLANDS LÄN</t>
        </is>
      </c>
      <c r="E3099" t="inlineStr">
        <is>
          <t>ÅNGE</t>
        </is>
      </c>
      <c r="F3099" t="inlineStr">
        <is>
          <t>SCA</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53175-2020</t>
        </is>
      </c>
      <c r="B3100" s="1" t="n">
        <v>44120</v>
      </c>
      <c r="C3100" s="1" t="n">
        <v>45212</v>
      </c>
      <c r="D3100" t="inlineStr">
        <is>
          <t>VÄSTERNORRLANDS LÄN</t>
        </is>
      </c>
      <c r="E3100" t="inlineStr">
        <is>
          <t>ÅNGE</t>
        </is>
      </c>
      <c r="F3100" t="inlineStr">
        <is>
          <t>SCA</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53045-2020</t>
        </is>
      </c>
      <c r="B3101" s="1" t="n">
        <v>44120</v>
      </c>
      <c r="C3101" s="1" t="n">
        <v>45212</v>
      </c>
      <c r="D3101" t="inlineStr">
        <is>
          <t>VÄSTERNORRLANDS LÄN</t>
        </is>
      </c>
      <c r="E3101" t="inlineStr">
        <is>
          <t>ÖRNSKÖLDSVIK</t>
        </is>
      </c>
      <c r="F3101" t="inlineStr">
        <is>
          <t>Holmen skog AB</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53142-2020</t>
        </is>
      </c>
      <c r="B3102" s="1" t="n">
        <v>44120</v>
      </c>
      <c r="C3102" s="1" t="n">
        <v>45212</v>
      </c>
      <c r="D3102" t="inlineStr">
        <is>
          <t>VÄSTERNORRLANDS LÄN</t>
        </is>
      </c>
      <c r="E3102" t="inlineStr">
        <is>
          <t>SUNDSVALL</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53173-2020</t>
        </is>
      </c>
      <c r="B3103" s="1" t="n">
        <v>44120</v>
      </c>
      <c r="C3103" s="1" t="n">
        <v>45212</v>
      </c>
      <c r="D3103" t="inlineStr">
        <is>
          <t>VÄSTERNORRLANDS LÄN</t>
        </is>
      </c>
      <c r="E3103" t="inlineStr">
        <is>
          <t>ÅNGE</t>
        </is>
      </c>
      <c r="F3103" t="inlineStr">
        <is>
          <t>SCA</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52942-2020</t>
        </is>
      </c>
      <c r="B3104" s="1" t="n">
        <v>44120</v>
      </c>
      <c r="C3104" s="1" t="n">
        <v>45212</v>
      </c>
      <c r="D3104" t="inlineStr">
        <is>
          <t>VÄSTERNORRLANDS LÄN</t>
        </is>
      </c>
      <c r="E3104" t="inlineStr">
        <is>
          <t>ÖRNSKÖLDSVIK</t>
        </is>
      </c>
      <c r="F3104" t="inlineStr">
        <is>
          <t>Holmen skog AB</t>
        </is>
      </c>
      <c r="G3104" t="n">
        <v>3.7</v>
      </c>
      <c r="H3104" t="n">
        <v>0</v>
      </c>
      <c r="I3104" t="n">
        <v>0</v>
      </c>
      <c r="J3104" t="n">
        <v>0</v>
      </c>
      <c r="K3104" t="n">
        <v>0</v>
      </c>
      <c r="L3104" t="n">
        <v>0</v>
      </c>
      <c r="M3104" t="n">
        <v>0</v>
      </c>
      <c r="N3104" t="n">
        <v>0</v>
      </c>
      <c r="O3104" t="n">
        <v>0</v>
      </c>
      <c r="P3104" t="n">
        <v>0</v>
      </c>
      <c r="Q3104" t="n">
        <v>0</v>
      </c>
      <c r="R3104" s="2" t="inlineStr"/>
    </row>
    <row r="3105" ht="15" customHeight="1">
      <c r="A3105" t="inlineStr">
        <is>
          <t>A 53254-2020</t>
        </is>
      </c>
      <c r="B3105" s="1" t="n">
        <v>44123</v>
      </c>
      <c r="C3105" s="1" t="n">
        <v>45212</v>
      </c>
      <c r="D3105" t="inlineStr">
        <is>
          <t>VÄSTERNORRLANDS LÄN</t>
        </is>
      </c>
      <c r="E3105" t="inlineStr">
        <is>
          <t>TIMRÅ</t>
        </is>
      </c>
      <c r="G3105" t="n">
        <v>6.1</v>
      </c>
      <c r="H3105" t="n">
        <v>0</v>
      </c>
      <c r="I3105" t="n">
        <v>0</v>
      </c>
      <c r="J3105" t="n">
        <v>0</v>
      </c>
      <c r="K3105" t="n">
        <v>0</v>
      </c>
      <c r="L3105" t="n">
        <v>0</v>
      </c>
      <c r="M3105" t="n">
        <v>0</v>
      </c>
      <c r="N3105" t="n">
        <v>0</v>
      </c>
      <c r="O3105" t="n">
        <v>0</v>
      </c>
      <c r="P3105" t="n">
        <v>0</v>
      </c>
      <c r="Q3105" t="n">
        <v>0</v>
      </c>
      <c r="R3105" s="2" t="inlineStr"/>
    </row>
    <row r="3106" ht="15" customHeight="1">
      <c r="A3106" t="inlineStr">
        <is>
          <t>A 53503-2020</t>
        </is>
      </c>
      <c r="B3106" s="1" t="n">
        <v>44123</v>
      </c>
      <c r="C3106" s="1" t="n">
        <v>45212</v>
      </c>
      <c r="D3106" t="inlineStr">
        <is>
          <t>VÄSTERNORRLANDS LÄN</t>
        </is>
      </c>
      <c r="E3106" t="inlineStr">
        <is>
          <t>SUNDSVALL</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53250-2020</t>
        </is>
      </c>
      <c r="B3107" s="1" t="n">
        <v>44123</v>
      </c>
      <c r="C3107" s="1" t="n">
        <v>45212</v>
      </c>
      <c r="D3107" t="inlineStr">
        <is>
          <t>VÄSTERNORRLANDS LÄN</t>
        </is>
      </c>
      <c r="E3107" t="inlineStr">
        <is>
          <t>ÖRNSKÖLDSVIK</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53307-2020</t>
        </is>
      </c>
      <c r="B3108" s="1" t="n">
        <v>44123</v>
      </c>
      <c r="C3108" s="1" t="n">
        <v>45212</v>
      </c>
      <c r="D3108" t="inlineStr">
        <is>
          <t>VÄSTERNORRLANDS LÄN</t>
        </is>
      </c>
      <c r="E3108" t="inlineStr">
        <is>
          <t>ÖRNSKÖLDSVIK</t>
        </is>
      </c>
      <c r="F3108" t="inlineStr">
        <is>
          <t>Holmen skog AB</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53505-2020</t>
        </is>
      </c>
      <c r="B3109" s="1" t="n">
        <v>44123</v>
      </c>
      <c r="C3109" s="1" t="n">
        <v>45212</v>
      </c>
      <c r="D3109" t="inlineStr">
        <is>
          <t>VÄSTERNORRLANDS LÄN</t>
        </is>
      </c>
      <c r="E3109" t="inlineStr">
        <is>
          <t>HÄRNÖSAND</t>
        </is>
      </c>
      <c r="F3109" t="inlineStr">
        <is>
          <t>SCA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54055-2020</t>
        </is>
      </c>
      <c r="B3110" s="1" t="n">
        <v>44123</v>
      </c>
      <c r="C3110" s="1" t="n">
        <v>45212</v>
      </c>
      <c r="D3110" t="inlineStr">
        <is>
          <t>VÄSTERNORRLANDS LÄN</t>
        </is>
      </c>
      <c r="E3110" t="inlineStr">
        <is>
          <t>HÄRNÖSAND</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54976-2020</t>
        </is>
      </c>
      <c r="B3111" s="1" t="n">
        <v>44123</v>
      </c>
      <c r="C3111" s="1" t="n">
        <v>45212</v>
      </c>
      <c r="D3111" t="inlineStr">
        <is>
          <t>VÄSTERNORRLANDS LÄN</t>
        </is>
      </c>
      <c r="E3111" t="inlineStr">
        <is>
          <t>ÖRNSKÖLDSVIK</t>
        </is>
      </c>
      <c r="F3111" t="inlineStr">
        <is>
          <t>Holmen skog AB</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53660-2020</t>
        </is>
      </c>
      <c r="B3112" s="1" t="n">
        <v>44124</v>
      </c>
      <c r="C3112" s="1" t="n">
        <v>45212</v>
      </c>
      <c r="D3112" t="inlineStr">
        <is>
          <t>VÄSTERNORRLANDS LÄN</t>
        </is>
      </c>
      <c r="E3112" t="inlineStr">
        <is>
          <t>ÅNGE</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53828-2020</t>
        </is>
      </c>
      <c r="B3113" s="1" t="n">
        <v>44124</v>
      </c>
      <c r="C3113" s="1" t="n">
        <v>45212</v>
      </c>
      <c r="D3113" t="inlineStr">
        <is>
          <t>VÄSTERNORRLANDS LÄN</t>
        </is>
      </c>
      <c r="E3113" t="inlineStr">
        <is>
          <t>SOLLEFTEÅ</t>
        </is>
      </c>
      <c r="F3113" t="inlineStr">
        <is>
          <t>SCA</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53893-2020</t>
        </is>
      </c>
      <c r="B3114" s="1" t="n">
        <v>44125</v>
      </c>
      <c r="C3114" s="1" t="n">
        <v>45212</v>
      </c>
      <c r="D3114" t="inlineStr">
        <is>
          <t>VÄSTERNORRLANDS LÄN</t>
        </is>
      </c>
      <c r="E3114" t="inlineStr">
        <is>
          <t>ÖRNSKÖLDSVIK</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54189-2020</t>
        </is>
      </c>
      <c r="B3115" s="1" t="n">
        <v>44125</v>
      </c>
      <c r="C3115" s="1" t="n">
        <v>45212</v>
      </c>
      <c r="D3115" t="inlineStr">
        <is>
          <t>VÄSTERNORRLANDS LÄN</t>
        </is>
      </c>
      <c r="E3115" t="inlineStr">
        <is>
          <t>KRAMFORS</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54403-2020</t>
        </is>
      </c>
      <c r="B3116" s="1" t="n">
        <v>44125</v>
      </c>
      <c r="C3116" s="1" t="n">
        <v>45212</v>
      </c>
      <c r="D3116" t="inlineStr">
        <is>
          <t>VÄSTERNORRLANDS LÄN</t>
        </is>
      </c>
      <c r="E3116" t="inlineStr">
        <is>
          <t>ÖRNSKÖLDSVIK</t>
        </is>
      </c>
      <c r="G3116" t="n">
        <v>17.2</v>
      </c>
      <c r="H3116" t="n">
        <v>0</v>
      </c>
      <c r="I3116" t="n">
        <v>0</v>
      </c>
      <c r="J3116" t="n">
        <v>0</v>
      </c>
      <c r="K3116" t="n">
        <v>0</v>
      </c>
      <c r="L3116" t="n">
        <v>0</v>
      </c>
      <c r="M3116" t="n">
        <v>0</v>
      </c>
      <c r="N3116" t="n">
        <v>0</v>
      </c>
      <c r="O3116" t="n">
        <v>0</v>
      </c>
      <c r="P3116" t="n">
        <v>0</v>
      </c>
      <c r="Q3116" t="n">
        <v>0</v>
      </c>
      <c r="R3116" s="2" t="inlineStr"/>
    </row>
    <row r="3117" ht="15" customHeight="1">
      <c r="A3117" t="inlineStr">
        <is>
          <t>A 54463-2020</t>
        </is>
      </c>
      <c r="B3117" s="1" t="n">
        <v>44125</v>
      </c>
      <c r="C3117" s="1" t="n">
        <v>45212</v>
      </c>
      <c r="D3117" t="inlineStr">
        <is>
          <t>VÄSTERNORRLANDS LÄN</t>
        </is>
      </c>
      <c r="E3117" t="inlineStr">
        <is>
          <t>SOLLEFTEÅ</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54188-2020</t>
        </is>
      </c>
      <c r="B3118" s="1" t="n">
        <v>44125</v>
      </c>
      <c r="C3118" s="1" t="n">
        <v>45212</v>
      </c>
      <c r="D3118" t="inlineStr">
        <is>
          <t>VÄSTERNORRLANDS LÄN</t>
        </is>
      </c>
      <c r="E3118" t="inlineStr">
        <is>
          <t>KRAMFORS</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54202-2020</t>
        </is>
      </c>
      <c r="B3119" s="1" t="n">
        <v>44125</v>
      </c>
      <c r="C3119" s="1" t="n">
        <v>45212</v>
      </c>
      <c r="D3119" t="inlineStr">
        <is>
          <t>VÄSTERNORRLANDS LÄN</t>
        </is>
      </c>
      <c r="E3119" t="inlineStr">
        <is>
          <t>ÖRNSKÖLDSVIK</t>
        </is>
      </c>
      <c r="F3119" t="inlineStr">
        <is>
          <t>SCA</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53986-2020</t>
        </is>
      </c>
      <c r="B3120" s="1" t="n">
        <v>44125</v>
      </c>
      <c r="C3120" s="1" t="n">
        <v>45212</v>
      </c>
      <c r="D3120" t="inlineStr">
        <is>
          <t>VÄSTERNORRLANDS LÄN</t>
        </is>
      </c>
      <c r="E3120" t="inlineStr">
        <is>
          <t>ÖRNSKÖLDSVIK</t>
        </is>
      </c>
      <c r="F3120" t="inlineStr">
        <is>
          <t>Holmen skog AB</t>
        </is>
      </c>
      <c r="G3120" t="n">
        <v>10.3</v>
      </c>
      <c r="H3120" t="n">
        <v>0</v>
      </c>
      <c r="I3120" t="n">
        <v>0</v>
      </c>
      <c r="J3120" t="n">
        <v>0</v>
      </c>
      <c r="K3120" t="n">
        <v>0</v>
      </c>
      <c r="L3120" t="n">
        <v>0</v>
      </c>
      <c r="M3120" t="n">
        <v>0</v>
      </c>
      <c r="N3120" t="n">
        <v>0</v>
      </c>
      <c r="O3120" t="n">
        <v>0</v>
      </c>
      <c r="P3120" t="n">
        <v>0</v>
      </c>
      <c r="Q3120" t="n">
        <v>0</v>
      </c>
      <c r="R3120" s="2" t="inlineStr"/>
    </row>
    <row r="3121" ht="15" customHeight="1">
      <c r="A3121" t="inlineStr">
        <is>
          <t>A 54471-2020</t>
        </is>
      </c>
      <c r="B3121" s="1" t="n">
        <v>44126</v>
      </c>
      <c r="C3121" s="1" t="n">
        <v>45212</v>
      </c>
      <c r="D3121" t="inlineStr">
        <is>
          <t>VÄSTERNORRLANDS LÄN</t>
        </is>
      </c>
      <c r="E3121" t="inlineStr">
        <is>
          <t>ÅNGE</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54564-2020</t>
        </is>
      </c>
      <c r="B3122" s="1" t="n">
        <v>44126</v>
      </c>
      <c r="C3122" s="1" t="n">
        <v>45212</v>
      </c>
      <c r="D3122" t="inlineStr">
        <is>
          <t>VÄSTERNORRLANDS LÄN</t>
        </is>
      </c>
      <c r="E3122" t="inlineStr">
        <is>
          <t>HÄRNÖSAND</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54568-2020</t>
        </is>
      </c>
      <c r="B3123" s="1" t="n">
        <v>44126</v>
      </c>
      <c r="C3123" s="1" t="n">
        <v>45212</v>
      </c>
      <c r="D3123" t="inlineStr">
        <is>
          <t>VÄSTERNORRLANDS LÄN</t>
        </is>
      </c>
      <c r="E3123" t="inlineStr">
        <is>
          <t>SOLLEFTEÅ</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54572-2020</t>
        </is>
      </c>
      <c r="B3124" s="1" t="n">
        <v>44126</v>
      </c>
      <c r="C3124" s="1" t="n">
        <v>45212</v>
      </c>
      <c r="D3124" t="inlineStr">
        <is>
          <t>VÄSTERNORRLANDS LÄN</t>
        </is>
      </c>
      <c r="E3124" t="inlineStr">
        <is>
          <t>SOLLEFTEÅ</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54576-2020</t>
        </is>
      </c>
      <c r="B3125" s="1" t="n">
        <v>44126</v>
      </c>
      <c r="C3125" s="1" t="n">
        <v>45212</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54858-2020</t>
        </is>
      </c>
      <c r="B3126" s="1" t="n">
        <v>44126</v>
      </c>
      <c r="C3126" s="1" t="n">
        <v>45212</v>
      </c>
      <c r="D3126" t="inlineStr">
        <is>
          <t>VÄSTERNORRLANDS LÄN</t>
        </is>
      </c>
      <c r="E3126" t="inlineStr">
        <is>
          <t>HÄRNÖSAND</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54315-2020</t>
        </is>
      </c>
      <c r="B3127" s="1" t="n">
        <v>44126</v>
      </c>
      <c r="C3127" s="1" t="n">
        <v>45212</v>
      </c>
      <c r="D3127" t="inlineStr">
        <is>
          <t>VÄSTERNORRLANDS LÄN</t>
        </is>
      </c>
      <c r="E3127" t="inlineStr">
        <is>
          <t>ÖRNSKÖLDSVIK</t>
        </is>
      </c>
      <c r="F3127" t="inlineStr">
        <is>
          <t>Holmen skog AB</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54565-2020</t>
        </is>
      </c>
      <c r="B3128" s="1" t="n">
        <v>44126</v>
      </c>
      <c r="C3128" s="1" t="n">
        <v>45212</v>
      </c>
      <c r="D3128" t="inlineStr">
        <is>
          <t>VÄSTERNORRLANDS LÄN</t>
        </is>
      </c>
      <c r="E3128" t="inlineStr">
        <is>
          <t>HÄRNÖSAND</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54569-2020</t>
        </is>
      </c>
      <c r="B3129" s="1" t="n">
        <v>44126</v>
      </c>
      <c r="C3129" s="1" t="n">
        <v>45212</v>
      </c>
      <c r="D3129" t="inlineStr">
        <is>
          <t>VÄSTERNORRLANDS LÄN</t>
        </is>
      </c>
      <c r="E3129" t="inlineStr">
        <is>
          <t>SOLLEFTEÅ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54573-2020</t>
        </is>
      </c>
      <c r="B3130" s="1" t="n">
        <v>44126</v>
      </c>
      <c r="C3130" s="1" t="n">
        <v>45212</v>
      </c>
      <c r="D3130" t="inlineStr">
        <is>
          <t>VÄSTERNORRLANDS LÄN</t>
        </is>
      </c>
      <c r="E3130" t="inlineStr">
        <is>
          <t>SOLLEFTEÅ</t>
        </is>
      </c>
      <c r="G3130" t="n">
        <v>0.2</v>
      </c>
      <c r="H3130" t="n">
        <v>0</v>
      </c>
      <c r="I3130" t="n">
        <v>0</v>
      </c>
      <c r="J3130" t="n">
        <v>0</v>
      </c>
      <c r="K3130" t="n">
        <v>0</v>
      </c>
      <c r="L3130" t="n">
        <v>0</v>
      </c>
      <c r="M3130" t="n">
        <v>0</v>
      </c>
      <c r="N3130" t="n">
        <v>0</v>
      </c>
      <c r="O3130" t="n">
        <v>0</v>
      </c>
      <c r="P3130" t="n">
        <v>0</v>
      </c>
      <c r="Q3130" t="n">
        <v>0</v>
      </c>
      <c r="R3130" s="2" t="inlineStr"/>
    </row>
    <row r="3131" ht="15" customHeight="1">
      <c r="A3131" t="inlineStr">
        <is>
          <t>A 54513-2020</t>
        </is>
      </c>
      <c r="B3131" s="1" t="n">
        <v>44126</v>
      </c>
      <c r="C3131" s="1" t="n">
        <v>45212</v>
      </c>
      <c r="D3131" t="inlineStr">
        <is>
          <t>VÄSTERNORRLANDS LÄN</t>
        </is>
      </c>
      <c r="E3131" t="inlineStr">
        <is>
          <t>ÖRNSKÖLDSVIK</t>
        </is>
      </c>
      <c r="G3131" t="n">
        <v>4.8</v>
      </c>
      <c r="H3131" t="n">
        <v>0</v>
      </c>
      <c r="I3131" t="n">
        <v>0</v>
      </c>
      <c r="J3131" t="n">
        <v>0</v>
      </c>
      <c r="K3131" t="n">
        <v>0</v>
      </c>
      <c r="L3131" t="n">
        <v>0</v>
      </c>
      <c r="M3131" t="n">
        <v>0</v>
      </c>
      <c r="N3131" t="n">
        <v>0</v>
      </c>
      <c r="O3131" t="n">
        <v>0</v>
      </c>
      <c r="P3131" t="n">
        <v>0</v>
      </c>
      <c r="Q3131" t="n">
        <v>0</v>
      </c>
      <c r="R3131" s="2" t="inlineStr"/>
    </row>
    <row r="3132" ht="15" customHeight="1">
      <c r="A3132" t="inlineStr">
        <is>
          <t>A 54563-2020</t>
        </is>
      </c>
      <c r="B3132" s="1" t="n">
        <v>44126</v>
      </c>
      <c r="C3132" s="1" t="n">
        <v>45212</v>
      </c>
      <c r="D3132" t="inlineStr">
        <is>
          <t>VÄSTERNORRLANDS LÄN</t>
        </is>
      </c>
      <c r="E3132" t="inlineStr">
        <is>
          <t>HÄRNÖSAND</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54567-2020</t>
        </is>
      </c>
      <c r="B3133" s="1" t="n">
        <v>44126</v>
      </c>
      <c r="C3133" s="1" t="n">
        <v>45212</v>
      </c>
      <c r="D3133" t="inlineStr">
        <is>
          <t>VÄSTERNORRLANDS LÄN</t>
        </is>
      </c>
      <c r="E3133" t="inlineStr">
        <is>
          <t>SOLLEFTEÅ</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54571-2020</t>
        </is>
      </c>
      <c r="B3134" s="1" t="n">
        <v>44126</v>
      </c>
      <c r="C3134" s="1" t="n">
        <v>45212</v>
      </c>
      <c r="D3134" t="inlineStr">
        <is>
          <t>VÄSTERNORRLANDS LÄN</t>
        </is>
      </c>
      <c r="E3134" t="inlineStr">
        <is>
          <t>SOLLEFTEÅ</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54469-2020</t>
        </is>
      </c>
      <c r="B3135" s="1" t="n">
        <v>44126</v>
      </c>
      <c r="C3135" s="1" t="n">
        <v>45212</v>
      </c>
      <c r="D3135" t="inlineStr">
        <is>
          <t>VÄSTERNORRLANDS LÄN</t>
        </is>
      </c>
      <c r="E3135" t="inlineStr">
        <is>
          <t>ÅNGE</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54566-2020</t>
        </is>
      </c>
      <c r="B3136" s="1" t="n">
        <v>44126</v>
      </c>
      <c r="C3136" s="1" t="n">
        <v>45212</v>
      </c>
      <c r="D3136" t="inlineStr">
        <is>
          <t>VÄSTERNORRLANDS LÄN</t>
        </is>
      </c>
      <c r="E3136" t="inlineStr">
        <is>
          <t>SOLLEFTEÅ</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54570-2020</t>
        </is>
      </c>
      <c r="B3137" s="1" t="n">
        <v>44126</v>
      </c>
      <c r="C3137" s="1" t="n">
        <v>45212</v>
      </c>
      <c r="D3137" t="inlineStr">
        <is>
          <t>VÄSTERNORRLANDS LÄN</t>
        </is>
      </c>
      <c r="E3137" t="inlineStr">
        <is>
          <t>SOLLEFTEÅ</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54574-2020</t>
        </is>
      </c>
      <c r="B3138" s="1" t="n">
        <v>44126</v>
      </c>
      <c r="C3138" s="1" t="n">
        <v>45212</v>
      </c>
      <c r="D3138" t="inlineStr">
        <is>
          <t>VÄSTERNORRLANDS LÄN</t>
        </is>
      </c>
      <c r="E3138" t="inlineStr">
        <is>
          <t>SUNDSVALL</t>
        </is>
      </c>
      <c r="F3138" t="inlineStr">
        <is>
          <t>Naturvårdsverket</t>
        </is>
      </c>
      <c r="G3138" t="n">
        <v>4.9</v>
      </c>
      <c r="H3138" t="n">
        <v>0</v>
      </c>
      <c r="I3138" t="n">
        <v>0</v>
      </c>
      <c r="J3138" t="n">
        <v>0</v>
      </c>
      <c r="K3138" t="n">
        <v>0</v>
      </c>
      <c r="L3138" t="n">
        <v>0</v>
      </c>
      <c r="M3138" t="n">
        <v>0</v>
      </c>
      <c r="N3138" t="n">
        <v>0</v>
      </c>
      <c r="O3138" t="n">
        <v>0</v>
      </c>
      <c r="P3138" t="n">
        <v>0</v>
      </c>
      <c r="Q3138" t="n">
        <v>0</v>
      </c>
      <c r="R3138" s="2" t="inlineStr"/>
    </row>
    <row r="3139" ht="15" customHeight="1">
      <c r="A3139" t="inlineStr">
        <is>
          <t>A 54807-2020</t>
        </is>
      </c>
      <c r="B3139" s="1" t="n">
        <v>44127</v>
      </c>
      <c r="C3139" s="1" t="n">
        <v>45212</v>
      </c>
      <c r="D3139" t="inlineStr">
        <is>
          <t>VÄSTERNORRLANDS LÄN</t>
        </is>
      </c>
      <c r="E3139" t="inlineStr">
        <is>
          <t>ÖRNSKÖLDSVIK</t>
        </is>
      </c>
      <c r="F3139" t="inlineStr">
        <is>
          <t>Holmen skog AB</t>
        </is>
      </c>
      <c r="G3139" t="n">
        <v>6.9</v>
      </c>
      <c r="H3139" t="n">
        <v>0</v>
      </c>
      <c r="I3139" t="n">
        <v>0</v>
      </c>
      <c r="J3139" t="n">
        <v>0</v>
      </c>
      <c r="K3139" t="n">
        <v>0</v>
      </c>
      <c r="L3139" t="n">
        <v>0</v>
      </c>
      <c r="M3139" t="n">
        <v>0</v>
      </c>
      <c r="N3139" t="n">
        <v>0</v>
      </c>
      <c r="O3139" t="n">
        <v>0</v>
      </c>
      <c r="P3139" t="n">
        <v>0</v>
      </c>
      <c r="Q3139" t="n">
        <v>0</v>
      </c>
      <c r="R3139" s="2" t="inlineStr"/>
    </row>
    <row r="3140" ht="15" customHeight="1">
      <c r="A3140" t="inlineStr">
        <is>
          <t>A 54628-2020</t>
        </is>
      </c>
      <c r="B3140" s="1" t="n">
        <v>44127</v>
      </c>
      <c r="C3140" s="1" t="n">
        <v>45212</v>
      </c>
      <c r="D3140" t="inlineStr">
        <is>
          <t>VÄSTERNORRLANDS LÄN</t>
        </is>
      </c>
      <c r="E3140" t="inlineStr">
        <is>
          <t>ÖRNSKÖLDSVIK</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54946-2020</t>
        </is>
      </c>
      <c r="B3141" s="1" t="n">
        <v>44129</v>
      </c>
      <c r="C3141" s="1" t="n">
        <v>45212</v>
      </c>
      <c r="D3141" t="inlineStr">
        <is>
          <t>VÄSTERNORRLANDS LÄN</t>
        </is>
      </c>
      <c r="E3141" t="inlineStr">
        <is>
          <t>TIMRÅ</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55317-2020</t>
        </is>
      </c>
      <c r="B3142" s="1" t="n">
        <v>44130</v>
      </c>
      <c r="C3142" s="1" t="n">
        <v>45212</v>
      </c>
      <c r="D3142" t="inlineStr">
        <is>
          <t>VÄSTERNORRLANDS LÄN</t>
        </is>
      </c>
      <c r="E3142" t="inlineStr">
        <is>
          <t>ÅNGE</t>
        </is>
      </c>
      <c r="F3142" t="inlineStr">
        <is>
          <t>SCA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55313-2020</t>
        </is>
      </c>
      <c r="B3143" s="1" t="n">
        <v>44130</v>
      </c>
      <c r="C3143" s="1" t="n">
        <v>45212</v>
      </c>
      <c r="D3143" t="inlineStr">
        <is>
          <t>VÄSTERNORRLANDS LÄN</t>
        </is>
      </c>
      <c r="E3143" t="inlineStr">
        <is>
          <t>SUNDSVALL</t>
        </is>
      </c>
      <c r="F3143" t="inlineStr">
        <is>
          <t>SCA</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54961-2020</t>
        </is>
      </c>
      <c r="B3144" s="1" t="n">
        <v>44130</v>
      </c>
      <c r="C3144" s="1" t="n">
        <v>45212</v>
      </c>
      <c r="D3144" t="inlineStr">
        <is>
          <t>VÄSTERNORRLANDS LÄN</t>
        </is>
      </c>
      <c r="E3144" t="inlineStr">
        <is>
          <t>ÖRNSKÖLDSVIK</t>
        </is>
      </c>
      <c r="G3144" t="n">
        <v>3.8</v>
      </c>
      <c r="H3144" t="n">
        <v>0</v>
      </c>
      <c r="I3144" t="n">
        <v>0</v>
      </c>
      <c r="J3144" t="n">
        <v>0</v>
      </c>
      <c r="K3144" t="n">
        <v>0</v>
      </c>
      <c r="L3144" t="n">
        <v>0</v>
      </c>
      <c r="M3144" t="n">
        <v>0</v>
      </c>
      <c r="N3144" t="n">
        <v>0</v>
      </c>
      <c r="O3144" t="n">
        <v>0</v>
      </c>
      <c r="P3144" t="n">
        <v>0</v>
      </c>
      <c r="Q3144" t="n">
        <v>0</v>
      </c>
      <c r="R3144" s="2" t="inlineStr"/>
    </row>
    <row r="3145" ht="15" customHeight="1">
      <c r="A3145" t="inlineStr">
        <is>
          <t>A 55337-2020</t>
        </is>
      </c>
      <c r="B3145" s="1" t="n">
        <v>44130</v>
      </c>
      <c r="C3145" s="1" t="n">
        <v>45212</v>
      </c>
      <c r="D3145" t="inlineStr">
        <is>
          <t>VÄSTERNORRLANDS LÄN</t>
        </is>
      </c>
      <c r="E3145" t="inlineStr">
        <is>
          <t>SOLLEFTEÅ</t>
        </is>
      </c>
      <c r="G3145" t="n">
        <v>21.1</v>
      </c>
      <c r="H3145" t="n">
        <v>0</v>
      </c>
      <c r="I3145" t="n">
        <v>0</v>
      </c>
      <c r="J3145" t="n">
        <v>0</v>
      </c>
      <c r="K3145" t="n">
        <v>0</v>
      </c>
      <c r="L3145" t="n">
        <v>0</v>
      </c>
      <c r="M3145" t="n">
        <v>0</v>
      </c>
      <c r="N3145" t="n">
        <v>0</v>
      </c>
      <c r="O3145" t="n">
        <v>0</v>
      </c>
      <c r="P3145" t="n">
        <v>0</v>
      </c>
      <c r="Q3145" t="n">
        <v>0</v>
      </c>
      <c r="R3145" s="2" t="inlineStr"/>
    </row>
    <row r="3146" ht="15" customHeight="1">
      <c r="A3146" t="inlineStr">
        <is>
          <t>A 55489-2020</t>
        </is>
      </c>
      <c r="B3146" s="1" t="n">
        <v>44131</v>
      </c>
      <c r="C3146" s="1" t="n">
        <v>45212</v>
      </c>
      <c r="D3146" t="inlineStr">
        <is>
          <t>VÄSTERNORRLANDS LÄN</t>
        </is>
      </c>
      <c r="E3146" t="inlineStr">
        <is>
          <t>SOLLEFTEÅ</t>
        </is>
      </c>
      <c r="G3146" t="n">
        <v>9.699999999999999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55924-2020</t>
        </is>
      </c>
      <c r="B3147" s="1" t="n">
        <v>44132</v>
      </c>
      <c r="C3147" s="1" t="n">
        <v>45212</v>
      </c>
      <c r="D3147" t="inlineStr">
        <is>
          <t>VÄSTERNORRLANDS LÄN</t>
        </is>
      </c>
      <c r="E3147" t="inlineStr">
        <is>
          <t>ÖRNSKÖLDSVIK</t>
        </is>
      </c>
      <c r="G3147" t="n">
        <v>10.1</v>
      </c>
      <c r="H3147" t="n">
        <v>0</v>
      </c>
      <c r="I3147" t="n">
        <v>0</v>
      </c>
      <c r="J3147" t="n">
        <v>0</v>
      </c>
      <c r="K3147" t="n">
        <v>0</v>
      </c>
      <c r="L3147" t="n">
        <v>0</v>
      </c>
      <c r="M3147" t="n">
        <v>0</v>
      </c>
      <c r="N3147" t="n">
        <v>0</v>
      </c>
      <c r="O3147" t="n">
        <v>0</v>
      </c>
      <c r="P3147" t="n">
        <v>0</v>
      </c>
      <c r="Q3147" t="n">
        <v>0</v>
      </c>
      <c r="R3147" s="2" t="inlineStr"/>
    </row>
    <row r="3148" ht="15" customHeight="1">
      <c r="A3148" t="inlineStr">
        <is>
          <t>A 55828-2020</t>
        </is>
      </c>
      <c r="B3148" s="1" t="n">
        <v>44132</v>
      </c>
      <c r="C3148" s="1" t="n">
        <v>45212</v>
      </c>
      <c r="D3148" t="inlineStr">
        <is>
          <t>VÄSTERNORRLANDS LÄN</t>
        </is>
      </c>
      <c r="E3148" t="inlineStr">
        <is>
          <t>KRAMFORS</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55832-2020</t>
        </is>
      </c>
      <c r="B3149" s="1" t="n">
        <v>44132</v>
      </c>
      <c r="C3149" s="1" t="n">
        <v>45212</v>
      </c>
      <c r="D3149" t="inlineStr">
        <is>
          <t>VÄSTERNORRLANDS LÄN</t>
        </is>
      </c>
      <c r="E3149" t="inlineStr">
        <is>
          <t>KRAMFORS</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55988-2020</t>
        </is>
      </c>
      <c r="B3150" s="1" t="n">
        <v>44132</v>
      </c>
      <c r="C3150" s="1" t="n">
        <v>45212</v>
      </c>
      <c r="D3150" t="inlineStr">
        <is>
          <t>VÄSTERNORRLANDS LÄN</t>
        </is>
      </c>
      <c r="E3150" t="inlineStr">
        <is>
          <t>SUNDSVALL</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56135-2020</t>
        </is>
      </c>
      <c r="B3151" s="1" t="n">
        <v>44133</v>
      </c>
      <c r="C3151" s="1" t="n">
        <v>45212</v>
      </c>
      <c r="D3151" t="inlineStr">
        <is>
          <t>VÄSTERNORRLANDS LÄN</t>
        </is>
      </c>
      <c r="E3151" t="inlineStr">
        <is>
          <t>ÖRNSKÖLDSVIK</t>
        </is>
      </c>
      <c r="G3151" t="n">
        <v>4.9</v>
      </c>
      <c r="H3151" t="n">
        <v>0</v>
      </c>
      <c r="I3151" t="n">
        <v>0</v>
      </c>
      <c r="J3151" t="n">
        <v>0</v>
      </c>
      <c r="K3151" t="n">
        <v>0</v>
      </c>
      <c r="L3151" t="n">
        <v>0</v>
      </c>
      <c r="M3151" t="n">
        <v>0</v>
      </c>
      <c r="N3151" t="n">
        <v>0</v>
      </c>
      <c r="O3151" t="n">
        <v>0</v>
      </c>
      <c r="P3151" t="n">
        <v>0</v>
      </c>
      <c r="Q3151" t="n">
        <v>0</v>
      </c>
      <c r="R3151" s="2" t="inlineStr"/>
    </row>
    <row r="3152" ht="15" customHeight="1">
      <c r="A3152" t="inlineStr">
        <is>
          <t>A 56686-2020</t>
        </is>
      </c>
      <c r="B3152" s="1" t="n">
        <v>44133</v>
      </c>
      <c r="C3152" s="1" t="n">
        <v>45212</v>
      </c>
      <c r="D3152" t="inlineStr">
        <is>
          <t>VÄSTERNORRLANDS LÄN</t>
        </is>
      </c>
      <c r="E3152" t="inlineStr">
        <is>
          <t>ÖRNSKÖLDSVIK</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55989-2020</t>
        </is>
      </c>
      <c r="B3153" s="1" t="n">
        <v>44133</v>
      </c>
      <c r="C3153" s="1" t="n">
        <v>45212</v>
      </c>
      <c r="D3153" t="inlineStr">
        <is>
          <t>VÄSTERNORRLANDS LÄN</t>
        </is>
      </c>
      <c r="E3153" t="inlineStr">
        <is>
          <t>ÖRNSKÖLDSVIK</t>
        </is>
      </c>
      <c r="G3153" t="n">
        <v>22.1</v>
      </c>
      <c r="H3153" t="n">
        <v>0</v>
      </c>
      <c r="I3153" t="n">
        <v>0</v>
      </c>
      <c r="J3153" t="n">
        <v>0</v>
      </c>
      <c r="K3153" t="n">
        <v>0</v>
      </c>
      <c r="L3153" t="n">
        <v>0</v>
      </c>
      <c r="M3153" t="n">
        <v>0</v>
      </c>
      <c r="N3153" t="n">
        <v>0</v>
      </c>
      <c r="O3153" t="n">
        <v>0</v>
      </c>
      <c r="P3153" t="n">
        <v>0</v>
      </c>
      <c r="Q3153" t="n">
        <v>0</v>
      </c>
      <c r="R3153" s="2" t="inlineStr"/>
    </row>
    <row r="3154" ht="15" customHeight="1">
      <c r="A3154" t="inlineStr">
        <is>
          <t>A 55983-2020</t>
        </is>
      </c>
      <c r="B3154" s="1" t="n">
        <v>44133</v>
      </c>
      <c r="C3154" s="1" t="n">
        <v>45212</v>
      </c>
      <c r="D3154" t="inlineStr">
        <is>
          <t>VÄSTERNORRLANDS LÄN</t>
        </is>
      </c>
      <c r="E3154" t="inlineStr">
        <is>
          <t>ÖRNSKÖLDSVIK</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56043-2020</t>
        </is>
      </c>
      <c r="B3155" s="1" t="n">
        <v>44133</v>
      </c>
      <c r="C3155" s="1" t="n">
        <v>45212</v>
      </c>
      <c r="D3155" t="inlineStr">
        <is>
          <t>VÄSTERNORRLANDS LÄN</t>
        </is>
      </c>
      <c r="E3155" t="inlineStr">
        <is>
          <t>ÖRNSKÖLDSVIK</t>
        </is>
      </c>
      <c r="F3155" t="inlineStr">
        <is>
          <t>Holmen skog AB</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56558-2020</t>
        </is>
      </c>
      <c r="B3156" s="1" t="n">
        <v>44137</v>
      </c>
      <c r="C3156" s="1" t="n">
        <v>45212</v>
      </c>
      <c r="D3156" t="inlineStr">
        <is>
          <t>VÄSTERNORRLANDS LÄN</t>
        </is>
      </c>
      <c r="E3156" t="inlineStr">
        <is>
          <t>KRAMFORS</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56607-2020</t>
        </is>
      </c>
      <c r="B3157" s="1" t="n">
        <v>44137</v>
      </c>
      <c r="C3157" s="1" t="n">
        <v>45212</v>
      </c>
      <c r="D3157" t="inlineStr">
        <is>
          <t>VÄSTERNORRLANDS LÄN</t>
        </is>
      </c>
      <c r="E3157" t="inlineStr">
        <is>
          <t>ÖRNSKÖLDSVIK</t>
        </is>
      </c>
      <c r="F3157" t="inlineStr">
        <is>
          <t>Holmen skog AB</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56463-2020</t>
        </is>
      </c>
      <c r="B3158" s="1" t="n">
        <v>44137</v>
      </c>
      <c r="C3158" s="1" t="n">
        <v>45212</v>
      </c>
      <c r="D3158" t="inlineStr">
        <is>
          <t>VÄSTERNORRLANDS LÄN</t>
        </is>
      </c>
      <c r="E3158" t="inlineStr">
        <is>
          <t>ÖRNSKÖLDSVIK</t>
        </is>
      </c>
      <c r="F3158" t="inlineStr">
        <is>
          <t>Holmen skog AB</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56553-2020</t>
        </is>
      </c>
      <c r="B3159" s="1" t="n">
        <v>44137</v>
      </c>
      <c r="C3159" s="1" t="n">
        <v>45212</v>
      </c>
      <c r="D3159" t="inlineStr">
        <is>
          <t>VÄSTERNORRLANDS LÄN</t>
        </is>
      </c>
      <c r="E3159" t="inlineStr">
        <is>
          <t>ÖRNSKÖLDSVIK</t>
        </is>
      </c>
      <c r="F3159" t="inlineStr">
        <is>
          <t>Holmen skog AB</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57007-2020</t>
        </is>
      </c>
      <c r="B3160" s="1" t="n">
        <v>44137</v>
      </c>
      <c r="C3160" s="1" t="n">
        <v>45212</v>
      </c>
      <c r="D3160" t="inlineStr">
        <is>
          <t>VÄSTERNORRLANDS LÄN</t>
        </is>
      </c>
      <c r="E3160" t="inlineStr">
        <is>
          <t>TIMRÅ</t>
        </is>
      </c>
      <c r="G3160" t="n">
        <v>4.1</v>
      </c>
      <c r="H3160" t="n">
        <v>0</v>
      </c>
      <c r="I3160" t="n">
        <v>0</v>
      </c>
      <c r="J3160" t="n">
        <v>0</v>
      </c>
      <c r="K3160" t="n">
        <v>0</v>
      </c>
      <c r="L3160" t="n">
        <v>0</v>
      </c>
      <c r="M3160" t="n">
        <v>0</v>
      </c>
      <c r="N3160" t="n">
        <v>0</v>
      </c>
      <c r="O3160" t="n">
        <v>0</v>
      </c>
      <c r="P3160" t="n">
        <v>0</v>
      </c>
      <c r="Q3160" t="n">
        <v>0</v>
      </c>
      <c r="R3160" s="2" t="inlineStr"/>
    </row>
    <row r="3161" ht="15" customHeight="1">
      <c r="A3161" t="inlineStr">
        <is>
          <t>A 57079-2020</t>
        </is>
      </c>
      <c r="B3161" s="1" t="n">
        <v>44138</v>
      </c>
      <c r="C3161" s="1" t="n">
        <v>45212</v>
      </c>
      <c r="D3161" t="inlineStr">
        <is>
          <t>VÄSTERNORRLANDS LÄN</t>
        </is>
      </c>
      <c r="E3161" t="inlineStr">
        <is>
          <t>HÄRNÖSAND</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56969-2020</t>
        </is>
      </c>
      <c r="B3162" s="1" t="n">
        <v>44138</v>
      </c>
      <c r="C3162" s="1" t="n">
        <v>45212</v>
      </c>
      <c r="D3162" t="inlineStr">
        <is>
          <t>VÄSTERNORRLANDS LÄN</t>
        </is>
      </c>
      <c r="E3162" t="inlineStr">
        <is>
          <t>ÖRNSKÖLDSVIK</t>
        </is>
      </c>
      <c r="F3162" t="inlineStr">
        <is>
          <t>Holmen skog AB</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57080-2020</t>
        </is>
      </c>
      <c r="B3163" s="1" t="n">
        <v>44138</v>
      </c>
      <c r="C3163" s="1" t="n">
        <v>45212</v>
      </c>
      <c r="D3163" t="inlineStr">
        <is>
          <t>VÄSTERNORRLANDS LÄN</t>
        </is>
      </c>
      <c r="E3163" t="inlineStr">
        <is>
          <t>HÄRNÖSAND</t>
        </is>
      </c>
      <c r="G3163" t="n">
        <v>2.8</v>
      </c>
      <c r="H3163" t="n">
        <v>0</v>
      </c>
      <c r="I3163" t="n">
        <v>0</v>
      </c>
      <c r="J3163" t="n">
        <v>0</v>
      </c>
      <c r="K3163" t="n">
        <v>0</v>
      </c>
      <c r="L3163" t="n">
        <v>0</v>
      </c>
      <c r="M3163" t="n">
        <v>0</v>
      </c>
      <c r="N3163" t="n">
        <v>0</v>
      </c>
      <c r="O3163" t="n">
        <v>0</v>
      </c>
      <c r="P3163" t="n">
        <v>0</v>
      </c>
      <c r="Q3163" t="n">
        <v>0</v>
      </c>
      <c r="R3163" s="2" t="inlineStr"/>
    </row>
    <row r="3164" ht="15" customHeight="1">
      <c r="A3164" t="inlineStr">
        <is>
          <t>A 57111-2020</t>
        </is>
      </c>
      <c r="B3164" s="1" t="n">
        <v>44139</v>
      </c>
      <c r="C3164" s="1" t="n">
        <v>45212</v>
      </c>
      <c r="D3164" t="inlineStr">
        <is>
          <t>VÄSTERNORRLANDS LÄN</t>
        </is>
      </c>
      <c r="E3164" t="inlineStr">
        <is>
          <t>ÅNGE</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57170-2020</t>
        </is>
      </c>
      <c r="B3165" s="1" t="n">
        <v>44139</v>
      </c>
      <c r="C3165" s="1" t="n">
        <v>45212</v>
      </c>
      <c r="D3165" t="inlineStr">
        <is>
          <t>VÄSTERNORRLANDS LÄN</t>
        </is>
      </c>
      <c r="E3165" t="inlineStr">
        <is>
          <t>ÖRNSKÖLDSVIK</t>
        </is>
      </c>
      <c r="F3165" t="inlineStr">
        <is>
          <t>Holmen skog AB</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57405-2020</t>
        </is>
      </c>
      <c r="B3166" s="1" t="n">
        <v>44139</v>
      </c>
      <c r="C3166" s="1" t="n">
        <v>45212</v>
      </c>
      <c r="D3166" t="inlineStr">
        <is>
          <t>VÄSTERNORRLANDS LÄN</t>
        </is>
      </c>
      <c r="E3166" t="inlineStr">
        <is>
          <t>SUNDSVALL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57373-2020</t>
        </is>
      </c>
      <c r="B3167" s="1" t="n">
        <v>44139</v>
      </c>
      <c r="C3167" s="1" t="n">
        <v>45212</v>
      </c>
      <c r="D3167" t="inlineStr">
        <is>
          <t>VÄSTERNORRLANDS LÄN</t>
        </is>
      </c>
      <c r="E3167" t="inlineStr">
        <is>
          <t>HÄRNÖSAND</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57116-2020</t>
        </is>
      </c>
      <c r="B3168" s="1" t="n">
        <v>44139</v>
      </c>
      <c r="C3168" s="1" t="n">
        <v>45212</v>
      </c>
      <c r="D3168" t="inlineStr">
        <is>
          <t>VÄSTERNORRLANDS LÄN</t>
        </is>
      </c>
      <c r="E3168" t="inlineStr">
        <is>
          <t>ÖRNSKÖLDSVIK</t>
        </is>
      </c>
      <c r="F3168" t="inlineStr">
        <is>
          <t>Holmen skog AB</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57890-2020</t>
        </is>
      </c>
      <c r="B3169" s="1" t="n">
        <v>44140</v>
      </c>
      <c r="C3169" s="1" t="n">
        <v>45212</v>
      </c>
      <c r="D3169" t="inlineStr">
        <is>
          <t>VÄSTERNORRLANDS LÄN</t>
        </is>
      </c>
      <c r="E3169" t="inlineStr">
        <is>
          <t>SUNDSVALL</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57735-2020</t>
        </is>
      </c>
      <c r="B3170" s="1" t="n">
        <v>44140</v>
      </c>
      <c r="C3170" s="1" t="n">
        <v>45212</v>
      </c>
      <c r="D3170" t="inlineStr">
        <is>
          <t>VÄSTERNORRLANDS LÄN</t>
        </is>
      </c>
      <c r="E3170" t="inlineStr">
        <is>
          <t>SUNDSVALL</t>
        </is>
      </c>
      <c r="F3170" t="inlineStr">
        <is>
          <t>SCA</t>
        </is>
      </c>
      <c r="G3170" t="n">
        <v>3.2</v>
      </c>
      <c r="H3170" t="n">
        <v>0</v>
      </c>
      <c r="I3170" t="n">
        <v>0</v>
      </c>
      <c r="J3170" t="n">
        <v>0</v>
      </c>
      <c r="K3170" t="n">
        <v>0</v>
      </c>
      <c r="L3170" t="n">
        <v>0</v>
      </c>
      <c r="M3170" t="n">
        <v>0</v>
      </c>
      <c r="N3170" t="n">
        <v>0</v>
      </c>
      <c r="O3170" t="n">
        <v>0</v>
      </c>
      <c r="P3170" t="n">
        <v>0</v>
      </c>
      <c r="Q3170" t="n">
        <v>0</v>
      </c>
      <c r="R3170" s="2" t="inlineStr"/>
    </row>
    <row r="3171" ht="15" customHeight="1">
      <c r="A3171" t="inlineStr">
        <is>
          <t>A 57900-2020</t>
        </is>
      </c>
      <c r="B3171" s="1" t="n">
        <v>44140</v>
      </c>
      <c r="C3171" s="1" t="n">
        <v>45212</v>
      </c>
      <c r="D3171" t="inlineStr">
        <is>
          <t>VÄSTERNORRLANDS LÄN</t>
        </is>
      </c>
      <c r="E3171" t="inlineStr">
        <is>
          <t>SUNDSVALL</t>
        </is>
      </c>
      <c r="G3171" t="n">
        <v>6.8</v>
      </c>
      <c r="H3171" t="n">
        <v>0</v>
      </c>
      <c r="I3171" t="n">
        <v>0</v>
      </c>
      <c r="J3171" t="n">
        <v>0</v>
      </c>
      <c r="K3171" t="n">
        <v>0</v>
      </c>
      <c r="L3171" t="n">
        <v>0</v>
      </c>
      <c r="M3171" t="n">
        <v>0</v>
      </c>
      <c r="N3171" t="n">
        <v>0</v>
      </c>
      <c r="O3171" t="n">
        <v>0</v>
      </c>
      <c r="P3171" t="n">
        <v>0</v>
      </c>
      <c r="Q3171" t="n">
        <v>0</v>
      </c>
      <c r="R3171" s="2" t="inlineStr"/>
    </row>
    <row r="3172" ht="15" customHeight="1">
      <c r="A3172" t="inlineStr">
        <is>
          <t>A 58335-2020</t>
        </is>
      </c>
      <c r="B3172" s="1" t="n">
        <v>44145</v>
      </c>
      <c r="C3172" s="1" t="n">
        <v>45212</v>
      </c>
      <c r="D3172" t="inlineStr">
        <is>
          <t>VÄSTERNORRLANDS LÄN</t>
        </is>
      </c>
      <c r="E3172" t="inlineStr">
        <is>
          <t>ÖRNSKÖLDSVIK</t>
        </is>
      </c>
      <c r="F3172" t="inlineStr">
        <is>
          <t>Holmen skog AB</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58380-2020</t>
        </is>
      </c>
      <c r="B3173" s="1" t="n">
        <v>44145</v>
      </c>
      <c r="C3173" s="1" t="n">
        <v>45212</v>
      </c>
      <c r="D3173" t="inlineStr">
        <is>
          <t>VÄSTERNORRLANDS LÄN</t>
        </is>
      </c>
      <c r="E3173" t="inlineStr">
        <is>
          <t>SOLLEFTEÅ</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58381-2020</t>
        </is>
      </c>
      <c r="B3174" s="1" t="n">
        <v>44145</v>
      </c>
      <c r="C3174" s="1" t="n">
        <v>45212</v>
      </c>
      <c r="D3174" t="inlineStr">
        <is>
          <t>VÄSTERNORRLANDS LÄN</t>
        </is>
      </c>
      <c r="E3174" t="inlineStr">
        <is>
          <t>SOLLEFTEÅ</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58506-2020</t>
        </is>
      </c>
      <c r="B3175" s="1" t="n">
        <v>44145</v>
      </c>
      <c r="C3175" s="1" t="n">
        <v>45212</v>
      </c>
      <c r="D3175" t="inlineStr">
        <is>
          <t>VÄSTERNORRLANDS LÄN</t>
        </is>
      </c>
      <c r="E3175" t="inlineStr">
        <is>
          <t>HÄRNÖSAND</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59013-2020</t>
        </is>
      </c>
      <c r="B3176" s="1" t="n">
        <v>44146</v>
      </c>
      <c r="C3176" s="1" t="n">
        <v>45212</v>
      </c>
      <c r="D3176" t="inlineStr">
        <is>
          <t>VÄSTERNORRLANDS LÄN</t>
        </is>
      </c>
      <c r="E3176" t="inlineStr">
        <is>
          <t>SUNDSVALL</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59011-2020</t>
        </is>
      </c>
      <c r="B3177" s="1" t="n">
        <v>44146</v>
      </c>
      <c r="C3177" s="1" t="n">
        <v>45212</v>
      </c>
      <c r="D3177" t="inlineStr">
        <is>
          <t>VÄSTERNORRLANDS LÄN</t>
        </is>
      </c>
      <c r="E3177" t="inlineStr">
        <is>
          <t>HÄRNÖSAND</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59043-2020</t>
        </is>
      </c>
      <c r="B3178" s="1" t="n">
        <v>44147</v>
      </c>
      <c r="C3178" s="1" t="n">
        <v>45212</v>
      </c>
      <c r="D3178" t="inlineStr">
        <is>
          <t>VÄSTERNORRLANDS LÄN</t>
        </is>
      </c>
      <c r="E3178" t="inlineStr">
        <is>
          <t>KRAMFORS</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59356-2020</t>
        </is>
      </c>
      <c r="B3179" s="1" t="n">
        <v>44147</v>
      </c>
      <c r="C3179" s="1" t="n">
        <v>45212</v>
      </c>
      <c r="D3179" t="inlineStr">
        <is>
          <t>VÄSTERNORRLANDS LÄN</t>
        </is>
      </c>
      <c r="E3179" t="inlineStr">
        <is>
          <t>HÄRNÖSAND</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59106-2020</t>
        </is>
      </c>
      <c r="B3180" s="1" t="n">
        <v>44147</v>
      </c>
      <c r="C3180" s="1" t="n">
        <v>45212</v>
      </c>
      <c r="D3180" t="inlineStr">
        <is>
          <t>VÄSTERNORRLANDS LÄN</t>
        </is>
      </c>
      <c r="E3180" t="inlineStr">
        <is>
          <t>SUNDSVALL</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59049-2020</t>
        </is>
      </c>
      <c r="B3181" s="1" t="n">
        <v>44147</v>
      </c>
      <c r="C3181" s="1" t="n">
        <v>45212</v>
      </c>
      <c r="D3181" t="inlineStr">
        <is>
          <t>VÄSTERNORRLANDS LÄN</t>
        </is>
      </c>
      <c r="E3181" t="inlineStr">
        <is>
          <t>ÖRNSKÖLDSVIK</t>
        </is>
      </c>
      <c r="F3181" t="inlineStr">
        <is>
          <t>Holmen skog AB</t>
        </is>
      </c>
      <c r="G3181" t="n">
        <v>3.9</v>
      </c>
      <c r="H3181" t="n">
        <v>0</v>
      </c>
      <c r="I3181" t="n">
        <v>0</v>
      </c>
      <c r="J3181" t="n">
        <v>0</v>
      </c>
      <c r="K3181" t="n">
        <v>0</v>
      </c>
      <c r="L3181" t="n">
        <v>0</v>
      </c>
      <c r="M3181" t="n">
        <v>0</v>
      </c>
      <c r="N3181" t="n">
        <v>0</v>
      </c>
      <c r="O3181" t="n">
        <v>0</v>
      </c>
      <c r="P3181" t="n">
        <v>0</v>
      </c>
      <c r="Q3181" t="n">
        <v>0</v>
      </c>
      <c r="R3181" s="2" t="inlineStr"/>
    </row>
    <row r="3182" ht="15" customHeight="1">
      <c r="A3182" t="inlineStr">
        <is>
          <t>A 59334-2020</t>
        </is>
      </c>
      <c r="B3182" s="1" t="n">
        <v>44147</v>
      </c>
      <c r="C3182" s="1" t="n">
        <v>45212</v>
      </c>
      <c r="D3182" t="inlineStr">
        <is>
          <t>VÄSTERNORRLANDS LÄN</t>
        </is>
      </c>
      <c r="E3182" t="inlineStr">
        <is>
          <t>SOLLEFTEÅ</t>
        </is>
      </c>
      <c r="F3182" t="inlineStr">
        <is>
          <t>SCA</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59044-2020</t>
        </is>
      </c>
      <c r="B3183" s="1" t="n">
        <v>44147</v>
      </c>
      <c r="C3183" s="1" t="n">
        <v>45212</v>
      </c>
      <c r="D3183" t="inlineStr">
        <is>
          <t>VÄSTERNORRLANDS LÄN</t>
        </is>
      </c>
      <c r="E3183" t="inlineStr">
        <is>
          <t>KRAMFORS</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59204-2020</t>
        </is>
      </c>
      <c r="B3184" s="1" t="n">
        <v>44147</v>
      </c>
      <c r="C3184" s="1" t="n">
        <v>45212</v>
      </c>
      <c r="D3184" t="inlineStr">
        <is>
          <t>VÄSTERNORRLANDS LÄN</t>
        </is>
      </c>
      <c r="E3184" t="inlineStr">
        <is>
          <t>ÖRNSKÖLDSVIK</t>
        </is>
      </c>
      <c r="F3184" t="inlineStr">
        <is>
          <t>Holmen skog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59222-2020</t>
        </is>
      </c>
      <c r="B3185" s="1" t="n">
        <v>44147</v>
      </c>
      <c r="C3185" s="1" t="n">
        <v>45212</v>
      </c>
      <c r="D3185" t="inlineStr">
        <is>
          <t>VÄSTERNORRLANDS LÄN</t>
        </is>
      </c>
      <c r="E3185" t="inlineStr">
        <is>
          <t>ÅNGE</t>
        </is>
      </c>
      <c r="G3185" t="n">
        <v>7.6</v>
      </c>
      <c r="H3185" t="n">
        <v>0</v>
      </c>
      <c r="I3185" t="n">
        <v>0</v>
      </c>
      <c r="J3185" t="n">
        <v>0</v>
      </c>
      <c r="K3185" t="n">
        <v>0</v>
      </c>
      <c r="L3185" t="n">
        <v>0</v>
      </c>
      <c r="M3185" t="n">
        <v>0</v>
      </c>
      <c r="N3185" t="n">
        <v>0</v>
      </c>
      <c r="O3185" t="n">
        <v>0</v>
      </c>
      <c r="P3185" t="n">
        <v>0</v>
      </c>
      <c r="Q3185" t="n">
        <v>0</v>
      </c>
      <c r="R3185" s="2" t="inlineStr"/>
    </row>
    <row r="3186" ht="15" customHeight="1">
      <c r="A3186" t="inlineStr">
        <is>
          <t>A 59423-2020</t>
        </is>
      </c>
      <c r="B3186" s="1" t="n">
        <v>44148</v>
      </c>
      <c r="C3186" s="1" t="n">
        <v>45212</v>
      </c>
      <c r="D3186" t="inlineStr">
        <is>
          <t>VÄSTERNORRLANDS LÄN</t>
        </is>
      </c>
      <c r="E3186" t="inlineStr">
        <is>
          <t>ÖRNSKÖLDSVIK</t>
        </is>
      </c>
      <c r="G3186" t="n">
        <v>3.8</v>
      </c>
      <c r="H3186" t="n">
        <v>0</v>
      </c>
      <c r="I3186" t="n">
        <v>0</v>
      </c>
      <c r="J3186" t="n">
        <v>0</v>
      </c>
      <c r="K3186" t="n">
        <v>0</v>
      </c>
      <c r="L3186" t="n">
        <v>0</v>
      </c>
      <c r="M3186" t="n">
        <v>0</v>
      </c>
      <c r="N3186" t="n">
        <v>0</v>
      </c>
      <c r="O3186" t="n">
        <v>0</v>
      </c>
      <c r="P3186" t="n">
        <v>0</v>
      </c>
      <c r="Q3186" t="n">
        <v>0</v>
      </c>
      <c r="R3186" s="2" t="inlineStr"/>
    </row>
    <row r="3187" ht="15" customHeight="1">
      <c r="A3187" t="inlineStr">
        <is>
          <t>A 59438-2020</t>
        </is>
      </c>
      <c r="B3187" s="1" t="n">
        <v>44148</v>
      </c>
      <c r="C3187" s="1" t="n">
        <v>45212</v>
      </c>
      <c r="D3187" t="inlineStr">
        <is>
          <t>VÄSTERNORRLANDS LÄN</t>
        </is>
      </c>
      <c r="E3187" t="inlineStr">
        <is>
          <t>ÖRNSKÖLDSVIK</t>
        </is>
      </c>
      <c r="F3187" t="inlineStr">
        <is>
          <t>Holmen skog AB</t>
        </is>
      </c>
      <c r="G3187" t="n">
        <v>16.3</v>
      </c>
      <c r="H3187" t="n">
        <v>0</v>
      </c>
      <c r="I3187" t="n">
        <v>0</v>
      </c>
      <c r="J3187" t="n">
        <v>0</v>
      </c>
      <c r="K3187" t="n">
        <v>0</v>
      </c>
      <c r="L3187" t="n">
        <v>0</v>
      </c>
      <c r="M3187" t="n">
        <v>0</v>
      </c>
      <c r="N3187" t="n">
        <v>0</v>
      </c>
      <c r="O3187" t="n">
        <v>0</v>
      </c>
      <c r="P3187" t="n">
        <v>0</v>
      </c>
      <c r="Q3187" t="n">
        <v>0</v>
      </c>
      <c r="R3187" s="2" t="inlineStr"/>
    </row>
    <row r="3188" ht="15" customHeight="1">
      <c r="A3188" t="inlineStr">
        <is>
          <t>A 59443-2020</t>
        </is>
      </c>
      <c r="B3188" s="1" t="n">
        <v>44148</v>
      </c>
      <c r="C3188" s="1" t="n">
        <v>45212</v>
      </c>
      <c r="D3188" t="inlineStr">
        <is>
          <t>VÄSTERNORRLANDS LÄN</t>
        </is>
      </c>
      <c r="E3188" t="inlineStr">
        <is>
          <t>HÄRNÖSAND</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59456-2020</t>
        </is>
      </c>
      <c r="B3189" s="1" t="n">
        <v>44148</v>
      </c>
      <c r="C3189" s="1" t="n">
        <v>45212</v>
      </c>
      <c r="D3189" t="inlineStr">
        <is>
          <t>VÄSTERNORRLANDS LÄN</t>
        </is>
      </c>
      <c r="E3189" t="inlineStr">
        <is>
          <t>ÖRNSKÖLDSVIK</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59965-2020</t>
        </is>
      </c>
      <c r="B3190" s="1" t="n">
        <v>44151</v>
      </c>
      <c r="C3190" s="1" t="n">
        <v>45212</v>
      </c>
      <c r="D3190" t="inlineStr">
        <is>
          <t>VÄSTERNORRLANDS LÄN</t>
        </is>
      </c>
      <c r="E3190" t="inlineStr">
        <is>
          <t>HÄRNÖSAND</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60064-2020</t>
        </is>
      </c>
      <c r="B3191" s="1" t="n">
        <v>44151</v>
      </c>
      <c r="C3191" s="1" t="n">
        <v>45212</v>
      </c>
      <c r="D3191" t="inlineStr">
        <is>
          <t>VÄSTERNORRLANDS LÄN</t>
        </is>
      </c>
      <c r="E3191" t="inlineStr">
        <is>
          <t>ÅNGE</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59953-2020</t>
        </is>
      </c>
      <c r="B3192" s="1" t="n">
        <v>44151</v>
      </c>
      <c r="C3192" s="1" t="n">
        <v>45212</v>
      </c>
      <c r="D3192" t="inlineStr">
        <is>
          <t>VÄSTERNORRLANDS LÄN</t>
        </is>
      </c>
      <c r="E3192" t="inlineStr">
        <is>
          <t>SOLLEFTEÅ</t>
        </is>
      </c>
      <c r="G3192" t="n">
        <v>3.6</v>
      </c>
      <c r="H3192" t="n">
        <v>0</v>
      </c>
      <c r="I3192" t="n">
        <v>0</v>
      </c>
      <c r="J3192" t="n">
        <v>0</v>
      </c>
      <c r="K3192" t="n">
        <v>0</v>
      </c>
      <c r="L3192" t="n">
        <v>0</v>
      </c>
      <c r="M3192" t="n">
        <v>0</v>
      </c>
      <c r="N3192" t="n">
        <v>0</v>
      </c>
      <c r="O3192" t="n">
        <v>0</v>
      </c>
      <c r="P3192" t="n">
        <v>0</v>
      </c>
      <c r="Q3192" t="n">
        <v>0</v>
      </c>
      <c r="R3192" s="2" t="inlineStr"/>
    </row>
    <row r="3193" ht="15" customHeight="1">
      <c r="A3193" t="inlineStr">
        <is>
          <t>A 60091-2020</t>
        </is>
      </c>
      <c r="B3193" s="1" t="n">
        <v>44151</v>
      </c>
      <c r="C3193" s="1" t="n">
        <v>45212</v>
      </c>
      <c r="D3193" t="inlineStr">
        <is>
          <t>VÄSTERNORRLANDS LÄN</t>
        </is>
      </c>
      <c r="E3193" t="inlineStr">
        <is>
          <t>SOLLEFTEÅ</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59950-2020</t>
        </is>
      </c>
      <c r="B3194" s="1" t="n">
        <v>44151</v>
      </c>
      <c r="C3194" s="1" t="n">
        <v>45212</v>
      </c>
      <c r="D3194" t="inlineStr">
        <is>
          <t>VÄSTERNORRLANDS LÄN</t>
        </is>
      </c>
      <c r="E3194" t="inlineStr">
        <is>
          <t>SOLLEFTEÅ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60178-2020</t>
        </is>
      </c>
      <c r="B3195" s="1" t="n">
        <v>44152</v>
      </c>
      <c r="C3195" s="1" t="n">
        <v>45212</v>
      </c>
      <c r="D3195" t="inlineStr">
        <is>
          <t>VÄSTERNORRLANDS LÄN</t>
        </is>
      </c>
      <c r="E3195" t="inlineStr">
        <is>
          <t>SUNDSVALL</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60391-2020</t>
        </is>
      </c>
      <c r="B3196" s="1" t="n">
        <v>44152</v>
      </c>
      <c r="C3196" s="1" t="n">
        <v>45212</v>
      </c>
      <c r="D3196" t="inlineStr">
        <is>
          <t>VÄSTERNORRLANDS LÄN</t>
        </is>
      </c>
      <c r="E3196" t="inlineStr">
        <is>
          <t>SUNDSVALL</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60401-2020</t>
        </is>
      </c>
      <c r="B3197" s="1" t="n">
        <v>44152</v>
      </c>
      <c r="C3197" s="1" t="n">
        <v>45212</v>
      </c>
      <c r="D3197" t="inlineStr">
        <is>
          <t>VÄSTERNORRLANDS LÄN</t>
        </is>
      </c>
      <c r="E3197" t="inlineStr">
        <is>
          <t>ÅNGE</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61089-2020</t>
        </is>
      </c>
      <c r="B3198" s="1" t="n">
        <v>44153</v>
      </c>
      <c r="C3198" s="1" t="n">
        <v>45212</v>
      </c>
      <c r="D3198" t="inlineStr">
        <is>
          <t>VÄSTERNORRLANDS LÄN</t>
        </is>
      </c>
      <c r="E3198" t="inlineStr">
        <is>
          <t>ÖRNSKÖLDSVIK</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61165-2020</t>
        </is>
      </c>
      <c r="B3199" s="1" t="n">
        <v>44153</v>
      </c>
      <c r="C3199" s="1" t="n">
        <v>45212</v>
      </c>
      <c r="D3199" t="inlineStr">
        <is>
          <t>VÄSTERNORRLANDS LÄN</t>
        </is>
      </c>
      <c r="E3199" t="inlineStr">
        <is>
          <t>ÖRNSKÖLDSVIK</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60551-2020</t>
        </is>
      </c>
      <c r="B3200" s="1" t="n">
        <v>44153</v>
      </c>
      <c r="C3200" s="1" t="n">
        <v>45212</v>
      </c>
      <c r="D3200" t="inlineStr">
        <is>
          <t>VÄSTERNORRLANDS LÄN</t>
        </is>
      </c>
      <c r="E3200" t="inlineStr">
        <is>
          <t>ÖRNSKÖLDSVIK</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60786-2020</t>
        </is>
      </c>
      <c r="B3201" s="1" t="n">
        <v>44154</v>
      </c>
      <c r="C3201" s="1" t="n">
        <v>45212</v>
      </c>
      <c r="D3201" t="inlineStr">
        <is>
          <t>VÄSTERNORRLANDS LÄN</t>
        </is>
      </c>
      <c r="E3201" t="inlineStr">
        <is>
          <t>ÖRNSKÖLDSVIK</t>
        </is>
      </c>
      <c r="F3201" t="inlineStr">
        <is>
          <t>Holmen skog AB</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61090-2020</t>
        </is>
      </c>
      <c r="B3202" s="1" t="n">
        <v>44154</v>
      </c>
      <c r="C3202" s="1" t="n">
        <v>45212</v>
      </c>
      <c r="D3202" t="inlineStr">
        <is>
          <t>VÄSTERNORRLANDS LÄN</t>
        </is>
      </c>
      <c r="E3202" t="inlineStr">
        <is>
          <t>ÖRNSKÖLDSVIK</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61130-2020</t>
        </is>
      </c>
      <c r="B3203" s="1" t="n">
        <v>44154</v>
      </c>
      <c r="C3203" s="1" t="n">
        <v>45212</v>
      </c>
      <c r="D3203" t="inlineStr">
        <is>
          <t>VÄSTERNORRLANDS LÄN</t>
        </is>
      </c>
      <c r="E3203" t="inlineStr">
        <is>
          <t>SOLLEFTEÅ</t>
        </is>
      </c>
      <c r="F3203" t="inlineStr">
        <is>
          <t>SCA</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61287-2020</t>
        </is>
      </c>
      <c r="B3204" s="1" t="n">
        <v>44154</v>
      </c>
      <c r="C3204" s="1" t="n">
        <v>45212</v>
      </c>
      <c r="D3204" t="inlineStr">
        <is>
          <t>VÄSTERNORRLANDS LÄN</t>
        </is>
      </c>
      <c r="E3204" t="inlineStr">
        <is>
          <t>ÖRNSKÖLDSVIK</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61305-2020</t>
        </is>
      </c>
      <c r="B3205" s="1" t="n">
        <v>44154</v>
      </c>
      <c r="C3205" s="1" t="n">
        <v>45212</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61047-2020</t>
        </is>
      </c>
      <c r="B3206" s="1" t="n">
        <v>44154</v>
      </c>
      <c r="C3206" s="1" t="n">
        <v>45212</v>
      </c>
      <c r="D3206" t="inlineStr">
        <is>
          <t>VÄSTERNORRLANDS LÄN</t>
        </is>
      </c>
      <c r="E3206" t="inlineStr">
        <is>
          <t>KRAMFORS</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61127-2020</t>
        </is>
      </c>
      <c r="B3207" s="1" t="n">
        <v>44154</v>
      </c>
      <c r="C3207" s="1" t="n">
        <v>45212</v>
      </c>
      <c r="D3207" t="inlineStr">
        <is>
          <t>VÄSTERNORRLANDS LÄN</t>
        </is>
      </c>
      <c r="E3207" t="inlineStr">
        <is>
          <t>SOLLEFTEÅ</t>
        </is>
      </c>
      <c r="F3207" t="inlineStr">
        <is>
          <t>SCA</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61299-2020</t>
        </is>
      </c>
      <c r="B3208" s="1" t="n">
        <v>44154</v>
      </c>
      <c r="C3208" s="1" t="n">
        <v>45212</v>
      </c>
      <c r="D3208" t="inlineStr">
        <is>
          <t>VÄSTERNORRLANDS LÄN</t>
        </is>
      </c>
      <c r="E3208" t="inlineStr">
        <is>
          <t>ÖRNSKÖLDSVIK</t>
        </is>
      </c>
      <c r="G3208" t="n">
        <v>8.5</v>
      </c>
      <c r="H3208" t="n">
        <v>0</v>
      </c>
      <c r="I3208" t="n">
        <v>0</v>
      </c>
      <c r="J3208" t="n">
        <v>0</v>
      </c>
      <c r="K3208" t="n">
        <v>0</v>
      </c>
      <c r="L3208" t="n">
        <v>0</v>
      </c>
      <c r="M3208" t="n">
        <v>0</v>
      </c>
      <c r="N3208" t="n">
        <v>0</v>
      </c>
      <c r="O3208" t="n">
        <v>0</v>
      </c>
      <c r="P3208" t="n">
        <v>0</v>
      </c>
      <c r="Q3208" t="n">
        <v>0</v>
      </c>
      <c r="R3208" s="2" t="inlineStr"/>
    </row>
    <row r="3209" ht="15" customHeight="1">
      <c r="A3209" t="inlineStr">
        <is>
          <t>A 61568-2020</t>
        </is>
      </c>
      <c r="B3209" s="1" t="n">
        <v>44154</v>
      </c>
      <c r="C3209" s="1" t="n">
        <v>45212</v>
      </c>
      <c r="D3209" t="inlineStr">
        <is>
          <t>VÄSTERNORRLANDS LÄN</t>
        </is>
      </c>
      <c r="E3209" t="inlineStr">
        <is>
          <t>SUNDSVALL</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60876-2020</t>
        </is>
      </c>
      <c r="B3210" s="1" t="n">
        <v>44154</v>
      </c>
      <c r="C3210" s="1" t="n">
        <v>45212</v>
      </c>
      <c r="D3210" t="inlineStr">
        <is>
          <t>VÄSTERNORRLANDS LÄN</t>
        </is>
      </c>
      <c r="E3210" t="inlineStr">
        <is>
          <t>ÖRNSKÖLDSVIK</t>
        </is>
      </c>
      <c r="F3210" t="inlineStr">
        <is>
          <t>Holmen skog AB</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61049-2020</t>
        </is>
      </c>
      <c r="B3211" s="1" t="n">
        <v>44154</v>
      </c>
      <c r="C3211" s="1" t="n">
        <v>45212</v>
      </c>
      <c r="D3211" t="inlineStr">
        <is>
          <t>VÄSTERNORRLANDS LÄN</t>
        </is>
      </c>
      <c r="E3211" t="inlineStr">
        <is>
          <t>KRAMFORS</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61142-2020</t>
        </is>
      </c>
      <c r="B3212" s="1" t="n">
        <v>44154</v>
      </c>
      <c r="C3212" s="1" t="n">
        <v>45212</v>
      </c>
      <c r="D3212" t="inlineStr">
        <is>
          <t>VÄSTERNORRLANDS LÄN</t>
        </is>
      </c>
      <c r="E3212" t="inlineStr">
        <is>
          <t>SUNDSVALL</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61303-2020</t>
        </is>
      </c>
      <c r="B3213" s="1" t="n">
        <v>44154</v>
      </c>
      <c r="C3213" s="1" t="n">
        <v>45212</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60911-2020</t>
        </is>
      </c>
      <c r="B3214" s="1" t="n">
        <v>44154</v>
      </c>
      <c r="C3214" s="1" t="n">
        <v>45212</v>
      </c>
      <c r="D3214" t="inlineStr">
        <is>
          <t>VÄSTERNORRLANDS LÄN</t>
        </is>
      </c>
      <c r="E3214" t="inlineStr">
        <is>
          <t>ÖRNSKÖLDSVIK</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61044-2020</t>
        </is>
      </c>
      <c r="B3215" s="1" t="n">
        <v>44154</v>
      </c>
      <c r="C3215" s="1" t="n">
        <v>45212</v>
      </c>
      <c r="D3215" t="inlineStr">
        <is>
          <t>VÄSTERNORRLANDS LÄN</t>
        </is>
      </c>
      <c r="E3215" t="inlineStr">
        <is>
          <t>KRAMFORS</t>
        </is>
      </c>
      <c r="G3215" t="n">
        <v>5.3</v>
      </c>
      <c r="H3215" t="n">
        <v>0</v>
      </c>
      <c r="I3215" t="n">
        <v>0</v>
      </c>
      <c r="J3215" t="n">
        <v>0</v>
      </c>
      <c r="K3215" t="n">
        <v>0</v>
      </c>
      <c r="L3215" t="n">
        <v>0</v>
      </c>
      <c r="M3215" t="n">
        <v>0</v>
      </c>
      <c r="N3215" t="n">
        <v>0</v>
      </c>
      <c r="O3215" t="n">
        <v>0</v>
      </c>
      <c r="P3215" t="n">
        <v>0</v>
      </c>
      <c r="Q3215" t="n">
        <v>0</v>
      </c>
      <c r="R3215" s="2" t="inlineStr"/>
    </row>
    <row r="3216" ht="15" customHeight="1">
      <c r="A3216" t="inlineStr">
        <is>
          <t>A 61051-2020</t>
        </is>
      </c>
      <c r="B3216" s="1" t="n">
        <v>44154</v>
      </c>
      <c r="C3216" s="1" t="n">
        <v>45212</v>
      </c>
      <c r="D3216" t="inlineStr">
        <is>
          <t>VÄSTERNORRLANDS LÄN</t>
        </is>
      </c>
      <c r="E3216" t="inlineStr">
        <is>
          <t>KRAMFORS</t>
        </is>
      </c>
      <c r="G3216" t="n">
        <v>15.4</v>
      </c>
      <c r="H3216" t="n">
        <v>0</v>
      </c>
      <c r="I3216" t="n">
        <v>0</v>
      </c>
      <c r="J3216" t="n">
        <v>0</v>
      </c>
      <c r="K3216" t="n">
        <v>0</v>
      </c>
      <c r="L3216" t="n">
        <v>0</v>
      </c>
      <c r="M3216" t="n">
        <v>0</v>
      </c>
      <c r="N3216" t="n">
        <v>0</v>
      </c>
      <c r="O3216" t="n">
        <v>0</v>
      </c>
      <c r="P3216" t="n">
        <v>0</v>
      </c>
      <c r="Q3216" t="n">
        <v>0</v>
      </c>
      <c r="R3216" s="2" t="inlineStr"/>
    </row>
    <row r="3217" ht="15" customHeight="1">
      <c r="A3217" t="inlineStr">
        <is>
          <t>A 61297-2020</t>
        </is>
      </c>
      <c r="B3217" s="1" t="n">
        <v>44154</v>
      </c>
      <c r="C3217" s="1" t="n">
        <v>45212</v>
      </c>
      <c r="D3217" t="inlineStr">
        <is>
          <t>VÄSTERNORRLANDS LÄN</t>
        </is>
      </c>
      <c r="E3217" t="inlineStr">
        <is>
          <t>ÖRNSKÖLDSVIK</t>
        </is>
      </c>
      <c r="G3217" t="n">
        <v>13.5</v>
      </c>
      <c r="H3217" t="n">
        <v>0</v>
      </c>
      <c r="I3217" t="n">
        <v>0</v>
      </c>
      <c r="J3217" t="n">
        <v>0</v>
      </c>
      <c r="K3217" t="n">
        <v>0</v>
      </c>
      <c r="L3217" t="n">
        <v>0</v>
      </c>
      <c r="M3217" t="n">
        <v>0</v>
      </c>
      <c r="N3217" t="n">
        <v>0</v>
      </c>
      <c r="O3217" t="n">
        <v>0</v>
      </c>
      <c r="P3217" t="n">
        <v>0</v>
      </c>
      <c r="Q3217" t="n">
        <v>0</v>
      </c>
      <c r="R3217" s="2" t="inlineStr"/>
    </row>
    <row r="3218" ht="15" customHeight="1">
      <c r="A3218" t="inlineStr">
        <is>
          <t>A 61311-2020</t>
        </is>
      </c>
      <c r="B3218" s="1" t="n">
        <v>44154</v>
      </c>
      <c r="C3218" s="1" t="n">
        <v>45212</v>
      </c>
      <c r="D3218" t="inlineStr">
        <is>
          <t>VÄSTERNORRLANDS LÄN</t>
        </is>
      </c>
      <c r="E3218" t="inlineStr">
        <is>
          <t>ÖRNSKÖLDSVIK</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61932-2020</t>
        </is>
      </c>
      <c r="B3219" s="1" t="n">
        <v>44155</v>
      </c>
      <c r="C3219" s="1" t="n">
        <v>45212</v>
      </c>
      <c r="D3219" t="inlineStr">
        <is>
          <t>VÄSTERNORRLANDS LÄN</t>
        </is>
      </c>
      <c r="E3219" t="inlineStr">
        <is>
          <t>KRAMFORS</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61228-2020</t>
        </is>
      </c>
      <c r="B3220" s="1" t="n">
        <v>44155</v>
      </c>
      <c r="C3220" s="1" t="n">
        <v>45212</v>
      </c>
      <c r="D3220" t="inlineStr">
        <is>
          <t>VÄSTERNORRLANDS LÄN</t>
        </is>
      </c>
      <c r="E3220" t="inlineStr">
        <is>
          <t>ÖRNSKÖLDSVIK</t>
        </is>
      </c>
      <c r="F3220" t="inlineStr">
        <is>
          <t>Holmen skog AB</t>
        </is>
      </c>
      <c r="G3220" t="n">
        <v>17.6</v>
      </c>
      <c r="H3220" t="n">
        <v>0</v>
      </c>
      <c r="I3220" t="n">
        <v>0</v>
      </c>
      <c r="J3220" t="n">
        <v>0</v>
      </c>
      <c r="K3220" t="n">
        <v>0</v>
      </c>
      <c r="L3220" t="n">
        <v>0</v>
      </c>
      <c r="M3220" t="n">
        <v>0</v>
      </c>
      <c r="N3220" t="n">
        <v>0</v>
      </c>
      <c r="O3220" t="n">
        <v>0</v>
      </c>
      <c r="P3220" t="n">
        <v>0</v>
      </c>
      <c r="Q3220" t="n">
        <v>0</v>
      </c>
      <c r="R3220" s="2" t="inlineStr"/>
    </row>
    <row r="3221" ht="15" customHeight="1">
      <c r="A3221" t="inlineStr">
        <is>
          <t>A 61274-2020</t>
        </is>
      </c>
      <c r="B3221" s="1" t="n">
        <v>44155</v>
      </c>
      <c r="C3221" s="1" t="n">
        <v>45212</v>
      </c>
      <c r="D3221" t="inlineStr">
        <is>
          <t>VÄSTERNORRLANDS LÄN</t>
        </is>
      </c>
      <c r="E3221" t="inlineStr">
        <is>
          <t>ÖRNSKÖLDSVIK</t>
        </is>
      </c>
      <c r="F3221" t="inlineStr">
        <is>
          <t>Holmen skog AB</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61943-2020</t>
        </is>
      </c>
      <c r="B3222" s="1" t="n">
        <v>44155</v>
      </c>
      <c r="C3222" s="1" t="n">
        <v>45212</v>
      </c>
      <c r="D3222" t="inlineStr">
        <is>
          <t>VÄSTERNORRLANDS LÄN</t>
        </is>
      </c>
      <c r="E3222" t="inlineStr">
        <is>
          <t>SOLLEFTEÅ</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61204-2020</t>
        </is>
      </c>
      <c r="B3223" s="1" t="n">
        <v>44155</v>
      </c>
      <c r="C3223" s="1" t="n">
        <v>45212</v>
      </c>
      <c r="D3223" t="inlineStr">
        <is>
          <t>VÄSTERNORRLANDS LÄN</t>
        </is>
      </c>
      <c r="E3223" t="inlineStr">
        <is>
          <t>ÖRNSKÖLDSVIK</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61336-2020</t>
        </is>
      </c>
      <c r="B3224" s="1" t="n">
        <v>44155</v>
      </c>
      <c r="C3224" s="1" t="n">
        <v>45212</v>
      </c>
      <c r="D3224" t="inlineStr">
        <is>
          <t>VÄSTERNORRLANDS LÄN</t>
        </is>
      </c>
      <c r="E3224" t="inlineStr">
        <is>
          <t>ÖRNSKÖLDSVIK</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61894-2020</t>
        </is>
      </c>
      <c r="B3225" s="1" t="n">
        <v>44155</v>
      </c>
      <c r="C3225" s="1" t="n">
        <v>45212</v>
      </c>
      <c r="D3225" t="inlineStr">
        <is>
          <t>VÄSTERNORRLANDS LÄN</t>
        </is>
      </c>
      <c r="E3225" t="inlineStr">
        <is>
          <t>SOLLEFTEÅ</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61497-2020</t>
        </is>
      </c>
      <c r="B3226" s="1" t="n">
        <v>44158</v>
      </c>
      <c r="C3226" s="1" t="n">
        <v>45212</v>
      </c>
      <c r="D3226" t="inlineStr">
        <is>
          <t>VÄSTERNORRLANDS LÄN</t>
        </is>
      </c>
      <c r="E3226" t="inlineStr">
        <is>
          <t>ÖRNSKÖLDSVIK</t>
        </is>
      </c>
      <c r="F3226" t="inlineStr">
        <is>
          <t>Holmen skog AB</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61517-2020</t>
        </is>
      </c>
      <c r="B3227" s="1" t="n">
        <v>44158</v>
      </c>
      <c r="C3227" s="1" t="n">
        <v>45212</v>
      </c>
      <c r="D3227" t="inlineStr">
        <is>
          <t>VÄSTERNORRLANDS LÄN</t>
        </is>
      </c>
      <c r="E3227" t="inlineStr">
        <is>
          <t>ÖRNSKÖLDSVIK</t>
        </is>
      </c>
      <c r="F3227" t="inlineStr">
        <is>
          <t>Holmen skog AB</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61719-2020</t>
        </is>
      </c>
      <c r="B3228" s="1" t="n">
        <v>44158</v>
      </c>
      <c r="C3228" s="1" t="n">
        <v>45212</v>
      </c>
      <c r="D3228" t="inlineStr">
        <is>
          <t>VÄSTERNORRLANDS LÄN</t>
        </is>
      </c>
      <c r="E3228" t="inlineStr">
        <is>
          <t>SUNDSVALL</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62272-2020</t>
        </is>
      </c>
      <c r="B3229" s="1" t="n">
        <v>44158</v>
      </c>
      <c r="C3229" s="1" t="n">
        <v>45212</v>
      </c>
      <c r="D3229" t="inlineStr">
        <is>
          <t>VÄSTERNORRLANDS LÄN</t>
        </is>
      </c>
      <c r="E3229" t="inlineStr">
        <is>
          <t>ÖRNSKÖLDSVIK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62480-2020</t>
        </is>
      </c>
      <c r="B3230" s="1" t="n">
        <v>44158</v>
      </c>
      <c r="C3230" s="1" t="n">
        <v>45212</v>
      </c>
      <c r="D3230" t="inlineStr">
        <is>
          <t>VÄSTERNORRLANDS LÄN</t>
        </is>
      </c>
      <c r="E3230" t="inlineStr">
        <is>
          <t>ÖRNSKÖLDSVIK</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61723-2020</t>
        </is>
      </c>
      <c r="B3231" s="1" t="n">
        <v>44158</v>
      </c>
      <c r="C3231" s="1" t="n">
        <v>45212</v>
      </c>
      <c r="D3231" t="inlineStr">
        <is>
          <t>VÄSTERNORRLANDS LÄN</t>
        </is>
      </c>
      <c r="E3231" t="inlineStr">
        <is>
          <t>SUNDSVALL</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61730-2020</t>
        </is>
      </c>
      <c r="B3232" s="1" t="n">
        <v>44158</v>
      </c>
      <c r="C3232" s="1" t="n">
        <v>45212</v>
      </c>
      <c r="D3232" t="inlineStr">
        <is>
          <t>VÄSTERNORRLANDS LÄN</t>
        </is>
      </c>
      <c r="E3232" t="inlineStr">
        <is>
          <t>TIMRÅ</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61757-2020</t>
        </is>
      </c>
      <c r="B3233" s="1" t="n">
        <v>44158</v>
      </c>
      <c r="C3233" s="1" t="n">
        <v>45212</v>
      </c>
      <c r="D3233" t="inlineStr">
        <is>
          <t>VÄSTERNORRLANDS LÄN</t>
        </is>
      </c>
      <c r="E3233" t="inlineStr">
        <is>
          <t>ÖRNSKÖLDSVIK</t>
        </is>
      </c>
      <c r="F3233" t="inlineStr">
        <is>
          <t>Holmen skog AB</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61837-2020</t>
        </is>
      </c>
      <c r="B3234" s="1" t="n">
        <v>44159</v>
      </c>
      <c r="C3234" s="1" t="n">
        <v>45212</v>
      </c>
      <c r="D3234" t="inlineStr">
        <is>
          <t>VÄSTERNORRLANDS LÄN</t>
        </is>
      </c>
      <c r="E3234" t="inlineStr">
        <is>
          <t>ÖRNSKÖLDSVIK</t>
        </is>
      </c>
      <c r="G3234" t="n">
        <v>6.3</v>
      </c>
      <c r="H3234" t="n">
        <v>0</v>
      </c>
      <c r="I3234" t="n">
        <v>0</v>
      </c>
      <c r="J3234" t="n">
        <v>0</v>
      </c>
      <c r="K3234" t="n">
        <v>0</v>
      </c>
      <c r="L3234" t="n">
        <v>0</v>
      </c>
      <c r="M3234" t="n">
        <v>0</v>
      </c>
      <c r="N3234" t="n">
        <v>0</v>
      </c>
      <c r="O3234" t="n">
        <v>0</v>
      </c>
      <c r="P3234" t="n">
        <v>0</v>
      </c>
      <c r="Q3234" t="n">
        <v>0</v>
      </c>
      <c r="R3234" s="2" t="inlineStr"/>
    </row>
    <row r="3235" ht="15" customHeight="1">
      <c r="A3235" t="inlineStr">
        <is>
          <t>A 61945-2020</t>
        </is>
      </c>
      <c r="B3235" s="1" t="n">
        <v>44159</v>
      </c>
      <c r="C3235" s="1" t="n">
        <v>45212</v>
      </c>
      <c r="D3235" t="inlineStr">
        <is>
          <t>VÄSTERNORRLANDS LÄN</t>
        </is>
      </c>
      <c r="E3235" t="inlineStr">
        <is>
          <t>ÖRNSKÖLDSVIK</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62089-2020</t>
        </is>
      </c>
      <c r="B3236" s="1" t="n">
        <v>44159</v>
      </c>
      <c r="C3236" s="1" t="n">
        <v>45212</v>
      </c>
      <c r="D3236" t="inlineStr">
        <is>
          <t>VÄSTERNORRLANDS LÄN</t>
        </is>
      </c>
      <c r="E3236" t="inlineStr">
        <is>
          <t>ÖRNSKÖLDSVIK</t>
        </is>
      </c>
      <c r="F3236" t="inlineStr">
        <is>
          <t>Kommuner</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61840-2020</t>
        </is>
      </c>
      <c r="B3237" s="1" t="n">
        <v>44159</v>
      </c>
      <c r="C3237" s="1" t="n">
        <v>45212</v>
      </c>
      <c r="D3237" t="inlineStr">
        <is>
          <t>VÄSTERNORRLANDS LÄN</t>
        </is>
      </c>
      <c r="E3237" t="inlineStr">
        <is>
          <t>ÖRNSKÖLDSVIK</t>
        </is>
      </c>
      <c r="G3237" t="n">
        <v>7.9</v>
      </c>
      <c r="H3237" t="n">
        <v>0</v>
      </c>
      <c r="I3237" t="n">
        <v>0</v>
      </c>
      <c r="J3237" t="n">
        <v>0</v>
      </c>
      <c r="K3237" t="n">
        <v>0</v>
      </c>
      <c r="L3237" t="n">
        <v>0</v>
      </c>
      <c r="M3237" t="n">
        <v>0</v>
      </c>
      <c r="N3237" t="n">
        <v>0</v>
      </c>
      <c r="O3237" t="n">
        <v>0</v>
      </c>
      <c r="P3237" t="n">
        <v>0</v>
      </c>
      <c r="Q3237" t="n">
        <v>0</v>
      </c>
      <c r="R3237" s="2" t="inlineStr"/>
    </row>
    <row r="3238" ht="15" customHeight="1">
      <c r="A3238" t="inlineStr">
        <is>
          <t>A 61955-2020</t>
        </is>
      </c>
      <c r="B3238" s="1" t="n">
        <v>44159</v>
      </c>
      <c r="C3238" s="1" t="n">
        <v>45212</v>
      </c>
      <c r="D3238" t="inlineStr">
        <is>
          <t>VÄSTERNORRLANDS LÄN</t>
        </is>
      </c>
      <c r="E3238" t="inlineStr">
        <is>
          <t>ÖRNSKÖLDSVIK</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61844-2020</t>
        </is>
      </c>
      <c r="B3239" s="1" t="n">
        <v>44159</v>
      </c>
      <c r="C3239" s="1" t="n">
        <v>45212</v>
      </c>
      <c r="D3239" t="inlineStr">
        <is>
          <t>VÄSTERNORRLANDS LÄN</t>
        </is>
      </c>
      <c r="E3239" t="inlineStr">
        <is>
          <t>ÖRNSKÖLDSVIK</t>
        </is>
      </c>
      <c r="F3239" t="inlineStr">
        <is>
          <t>Holmen skog AB</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62294-2020</t>
        </is>
      </c>
      <c r="B3240" s="1" t="n">
        <v>44160</v>
      </c>
      <c r="C3240" s="1" t="n">
        <v>45212</v>
      </c>
      <c r="D3240" t="inlineStr">
        <is>
          <t>VÄSTERNORRLANDS LÄN</t>
        </is>
      </c>
      <c r="E3240" t="inlineStr">
        <is>
          <t>SUNDSVALL</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62951-2020</t>
        </is>
      </c>
      <c r="B3241" s="1" t="n">
        <v>44160</v>
      </c>
      <c r="C3241" s="1" t="n">
        <v>45212</v>
      </c>
      <c r="D3241" t="inlineStr">
        <is>
          <t>VÄSTERNORRLANDS LÄN</t>
        </is>
      </c>
      <c r="E3241" t="inlineStr">
        <is>
          <t>ÖRNSKÖLDSVIK</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62933-2020</t>
        </is>
      </c>
      <c r="B3242" s="1" t="n">
        <v>44160</v>
      </c>
      <c r="C3242" s="1" t="n">
        <v>45212</v>
      </c>
      <c r="D3242" t="inlineStr">
        <is>
          <t>VÄSTERNORRLANDS LÄN</t>
        </is>
      </c>
      <c r="E3242" t="inlineStr">
        <is>
          <t>KRAMFORS</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62479-2020</t>
        </is>
      </c>
      <c r="B3243" s="1" t="n">
        <v>44160</v>
      </c>
      <c r="C3243" s="1" t="n">
        <v>45212</v>
      </c>
      <c r="D3243" t="inlineStr">
        <is>
          <t>VÄSTERNORRLANDS LÄN</t>
        </is>
      </c>
      <c r="E3243" t="inlineStr">
        <is>
          <t>ÖRNSKÖLDSVIK</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62629-2020</t>
        </is>
      </c>
      <c r="B3244" s="1" t="n">
        <v>44161</v>
      </c>
      <c r="C3244" s="1" t="n">
        <v>45212</v>
      </c>
      <c r="D3244" t="inlineStr">
        <is>
          <t>VÄSTERNORRLANDS LÄN</t>
        </is>
      </c>
      <c r="E3244" t="inlineStr">
        <is>
          <t>ÖRNSKÖLDSVIK</t>
        </is>
      </c>
      <c r="F3244" t="inlineStr">
        <is>
          <t>Holmen skog AB</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62640-2020</t>
        </is>
      </c>
      <c r="B3245" s="1" t="n">
        <v>44161</v>
      </c>
      <c r="C3245" s="1" t="n">
        <v>45212</v>
      </c>
      <c r="D3245" t="inlineStr">
        <is>
          <t>VÄSTERNORRLANDS LÄN</t>
        </is>
      </c>
      <c r="E3245" t="inlineStr">
        <is>
          <t>ÅNGE</t>
        </is>
      </c>
      <c r="F3245" t="inlineStr">
        <is>
          <t>Sveaskog</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62666-2020</t>
        </is>
      </c>
      <c r="B3246" s="1" t="n">
        <v>44161</v>
      </c>
      <c r="C3246" s="1" t="n">
        <v>45212</v>
      </c>
      <c r="D3246" t="inlineStr">
        <is>
          <t>VÄSTERNORRLANDS LÄN</t>
        </is>
      </c>
      <c r="E3246" t="inlineStr">
        <is>
          <t>SOLLEFTEÅ</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62870-2020</t>
        </is>
      </c>
      <c r="B3247" s="1" t="n">
        <v>44161</v>
      </c>
      <c r="C3247" s="1" t="n">
        <v>45212</v>
      </c>
      <c r="D3247" t="inlineStr">
        <is>
          <t>VÄSTERNORRLANDS LÄN</t>
        </is>
      </c>
      <c r="E3247" t="inlineStr">
        <is>
          <t>KRAMFORS</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62883-2020</t>
        </is>
      </c>
      <c r="B3248" s="1" t="n">
        <v>44161</v>
      </c>
      <c r="C3248" s="1" t="n">
        <v>45212</v>
      </c>
      <c r="D3248" t="inlineStr">
        <is>
          <t>VÄSTERNORRLANDS LÄN</t>
        </is>
      </c>
      <c r="E3248" t="inlineStr">
        <is>
          <t>SOLLEFTEÅ</t>
        </is>
      </c>
      <c r="F3248" t="inlineStr">
        <is>
          <t>SCA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63497-2020</t>
        </is>
      </c>
      <c r="B3249" s="1" t="n">
        <v>44161</v>
      </c>
      <c r="C3249" s="1" t="n">
        <v>45212</v>
      </c>
      <c r="D3249" t="inlineStr">
        <is>
          <t>VÄSTERNORRLANDS LÄN</t>
        </is>
      </c>
      <c r="E3249" t="inlineStr">
        <is>
          <t>ÅNGE</t>
        </is>
      </c>
      <c r="G3249" t="n">
        <v>6.9</v>
      </c>
      <c r="H3249" t="n">
        <v>0</v>
      </c>
      <c r="I3249" t="n">
        <v>0</v>
      </c>
      <c r="J3249" t="n">
        <v>0</v>
      </c>
      <c r="K3249" t="n">
        <v>0</v>
      </c>
      <c r="L3249" t="n">
        <v>0</v>
      </c>
      <c r="M3249" t="n">
        <v>0</v>
      </c>
      <c r="N3249" t="n">
        <v>0</v>
      </c>
      <c r="O3249" t="n">
        <v>0</v>
      </c>
      <c r="P3249" t="n">
        <v>0</v>
      </c>
      <c r="Q3249" t="n">
        <v>0</v>
      </c>
      <c r="R3249" s="2" t="inlineStr"/>
    </row>
    <row r="3250" ht="15" customHeight="1">
      <c r="A3250" t="inlineStr">
        <is>
          <t>A 62865-2020</t>
        </is>
      </c>
      <c r="B3250" s="1" t="n">
        <v>44161</v>
      </c>
      <c r="C3250" s="1" t="n">
        <v>45212</v>
      </c>
      <c r="D3250" t="inlineStr">
        <is>
          <t>VÄSTERNORRLANDS LÄN</t>
        </is>
      </c>
      <c r="E3250" t="inlineStr">
        <is>
          <t>ÖRNSKÖLDSVIK</t>
        </is>
      </c>
      <c r="F3250" t="inlineStr">
        <is>
          <t>SCA</t>
        </is>
      </c>
      <c r="G3250" t="n">
        <v>8.199999999999999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62881-2020</t>
        </is>
      </c>
      <c r="B3251" s="1" t="n">
        <v>44161</v>
      </c>
      <c r="C3251" s="1" t="n">
        <v>45212</v>
      </c>
      <c r="D3251" t="inlineStr">
        <is>
          <t>VÄSTERNORRLANDS LÄN</t>
        </is>
      </c>
      <c r="E3251" t="inlineStr">
        <is>
          <t>SOLLEFTEÅ</t>
        </is>
      </c>
      <c r="F3251" t="inlineStr">
        <is>
          <t>SCA</t>
        </is>
      </c>
      <c r="G3251" t="n">
        <v>0.4</v>
      </c>
      <c r="H3251" t="n">
        <v>0</v>
      </c>
      <c r="I3251" t="n">
        <v>0</v>
      </c>
      <c r="J3251" t="n">
        <v>0</v>
      </c>
      <c r="K3251" t="n">
        <v>0</v>
      </c>
      <c r="L3251" t="n">
        <v>0</v>
      </c>
      <c r="M3251" t="n">
        <v>0</v>
      </c>
      <c r="N3251" t="n">
        <v>0</v>
      </c>
      <c r="O3251" t="n">
        <v>0</v>
      </c>
      <c r="P3251" t="n">
        <v>0</v>
      </c>
      <c r="Q3251" t="n">
        <v>0</v>
      </c>
      <c r="R3251" s="2" t="inlineStr"/>
    </row>
    <row r="3252" ht="15" customHeight="1">
      <c r="A3252" t="inlineStr">
        <is>
          <t>A 63190-2020</t>
        </is>
      </c>
      <c r="B3252" s="1" t="n">
        <v>44162</v>
      </c>
      <c r="C3252" s="1" t="n">
        <v>45212</v>
      </c>
      <c r="D3252" t="inlineStr">
        <is>
          <t>VÄSTERNORRLANDS LÄN</t>
        </is>
      </c>
      <c r="E3252" t="inlineStr">
        <is>
          <t>SOLLEFTEÅ</t>
        </is>
      </c>
      <c r="G3252" t="n">
        <v>0.2</v>
      </c>
      <c r="H3252" t="n">
        <v>0</v>
      </c>
      <c r="I3252" t="n">
        <v>0</v>
      </c>
      <c r="J3252" t="n">
        <v>0</v>
      </c>
      <c r="K3252" t="n">
        <v>0</v>
      </c>
      <c r="L3252" t="n">
        <v>0</v>
      </c>
      <c r="M3252" t="n">
        <v>0</v>
      </c>
      <c r="N3252" t="n">
        <v>0</v>
      </c>
      <c r="O3252" t="n">
        <v>0</v>
      </c>
      <c r="P3252" t="n">
        <v>0</v>
      </c>
      <c r="Q3252" t="n">
        <v>0</v>
      </c>
      <c r="R3252" s="2" t="inlineStr"/>
    </row>
    <row r="3253" ht="15" customHeight="1">
      <c r="A3253" t="inlineStr">
        <is>
          <t>A 63162-2020</t>
        </is>
      </c>
      <c r="B3253" s="1" t="n">
        <v>44162</v>
      </c>
      <c r="C3253" s="1" t="n">
        <v>45212</v>
      </c>
      <c r="D3253" t="inlineStr">
        <is>
          <t>VÄSTERNORRLANDS LÄN</t>
        </is>
      </c>
      <c r="E3253" t="inlineStr">
        <is>
          <t>ÖRNSKÖLDSVIK</t>
        </is>
      </c>
      <c r="F3253" t="inlineStr">
        <is>
          <t>SCA</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63114-2020</t>
        </is>
      </c>
      <c r="B3254" s="1" t="n">
        <v>44162</v>
      </c>
      <c r="C3254" s="1" t="n">
        <v>45212</v>
      </c>
      <c r="D3254" t="inlineStr">
        <is>
          <t>VÄSTERNORRLANDS LÄN</t>
        </is>
      </c>
      <c r="E3254" t="inlineStr">
        <is>
          <t>ÖRNSKÖLDSVIK</t>
        </is>
      </c>
      <c r="F3254" t="inlineStr">
        <is>
          <t>Holmen skog AB</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63210-2020</t>
        </is>
      </c>
      <c r="B3255" s="1" t="n">
        <v>44163</v>
      </c>
      <c r="C3255" s="1" t="n">
        <v>45212</v>
      </c>
      <c r="D3255" t="inlineStr">
        <is>
          <t>VÄSTERNORRLANDS LÄN</t>
        </is>
      </c>
      <c r="E3255" t="inlineStr">
        <is>
          <t>SOLLEFTEÅ</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63270-2020</t>
        </is>
      </c>
      <c r="B3256" s="1" t="n">
        <v>44164</v>
      </c>
      <c r="C3256" s="1" t="n">
        <v>45212</v>
      </c>
      <c r="D3256" t="inlineStr">
        <is>
          <t>VÄSTERNORRLANDS LÄN</t>
        </is>
      </c>
      <c r="E3256" t="inlineStr">
        <is>
          <t>ÖRNSKÖLDSVIK</t>
        </is>
      </c>
      <c r="G3256" t="n">
        <v>19.5</v>
      </c>
      <c r="H3256" t="n">
        <v>0</v>
      </c>
      <c r="I3256" t="n">
        <v>0</v>
      </c>
      <c r="J3256" t="n">
        <v>0</v>
      </c>
      <c r="K3256" t="n">
        <v>0</v>
      </c>
      <c r="L3256" t="n">
        <v>0</v>
      </c>
      <c r="M3256" t="n">
        <v>0</v>
      </c>
      <c r="N3256" t="n">
        <v>0</v>
      </c>
      <c r="O3256" t="n">
        <v>0</v>
      </c>
      <c r="P3256" t="n">
        <v>0</v>
      </c>
      <c r="Q3256" t="n">
        <v>0</v>
      </c>
      <c r="R3256" s="2" t="inlineStr"/>
    </row>
    <row r="3257" ht="15" customHeight="1">
      <c r="A3257" t="inlineStr">
        <is>
          <t>A 63598-2020</t>
        </is>
      </c>
      <c r="B3257" s="1" t="n">
        <v>44165</v>
      </c>
      <c r="C3257" s="1" t="n">
        <v>45212</v>
      </c>
      <c r="D3257" t="inlineStr">
        <is>
          <t>VÄSTERNORRLANDS LÄN</t>
        </is>
      </c>
      <c r="E3257" t="inlineStr">
        <is>
          <t>SUNDSVALL</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63960-2020</t>
        </is>
      </c>
      <c r="B3258" s="1" t="n">
        <v>44165</v>
      </c>
      <c r="C3258" s="1" t="n">
        <v>45212</v>
      </c>
      <c r="D3258" t="inlineStr">
        <is>
          <t>VÄSTERNORRLANDS LÄN</t>
        </is>
      </c>
      <c r="E3258" t="inlineStr">
        <is>
          <t>TIMRÅ</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63287-2020</t>
        </is>
      </c>
      <c r="B3259" s="1" t="n">
        <v>44165</v>
      </c>
      <c r="C3259" s="1" t="n">
        <v>45212</v>
      </c>
      <c r="D3259" t="inlineStr">
        <is>
          <t>VÄSTERNORRLANDS LÄN</t>
        </is>
      </c>
      <c r="E3259" t="inlineStr">
        <is>
          <t>HÄRNÖSAND</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63786-2020</t>
        </is>
      </c>
      <c r="B3260" s="1" t="n">
        <v>44166</v>
      </c>
      <c r="C3260" s="1" t="n">
        <v>45212</v>
      </c>
      <c r="D3260" t="inlineStr">
        <is>
          <t>VÄSTERNORRLANDS LÄN</t>
        </is>
      </c>
      <c r="E3260" t="inlineStr">
        <is>
          <t>SUNDSVALL</t>
        </is>
      </c>
      <c r="F3260" t="inlineStr">
        <is>
          <t>Kommuner</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63817-2020</t>
        </is>
      </c>
      <c r="B3261" s="1" t="n">
        <v>44166</v>
      </c>
      <c r="C3261" s="1" t="n">
        <v>45212</v>
      </c>
      <c r="D3261" t="inlineStr">
        <is>
          <t>VÄSTERNORRLANDS LÄN</t>
        </is>
      </c>
      <c r="E3261" t="inlineStr">
        <is>
          <t>SUNDSVALL</t>
        </is>
      </c>
      <c r="G3261" t="n">
        <v>0.2</v>
      </c>
      <c r="H3261" t="n">
        <v>0</v>
      </c>
      <c r="I3261" t="n">
        <v>0</v>
      </c>
      <c r="J3261" t="n">
        <v>0</v>
      </c>
      <c r="K3261" t="n">
        <v>0</v>
      </c>
      <c r="L3261" t="n">
        <v>0</v>
      </c>
      <c r="M3261" t="n">
        <v>0</v>
      </c>
      <c r="N3261" t="n">
        <v>0</v>
      </c>
      <c r="O3261" t="n">
        <v>0</v>
      </c>
      <c r="P3261" t="n">
        <v>0</v>
      </c>
      <c r="Q3261" t="n">
        <v>0</v>
      </c>
      <c r="R3261" s="2" t="inlineStr"/>
    </row>
    <row r="3262" ht="15" customHeight="1">
      <c r="A3262" t="inlineStr">
        <is>
          <t>A 64417-2020</t>
        </is>
      </c>
      <c r="B3262" s="1" t="n">
        <v>44166</v>
      </c>
      <c r="C3262" s="1" t="n">
        <v>45212</v>
      </c>
      <c r="D3262" t="inlineStr">
        <is>
          <t>VÄSTERNORRLANDS LÄN</t>
        </is>
      </c>
      <c r="E3262" t="inlineStr">
        <is>
          <t>HÄRNÖSAND</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64571-2020</t>
        </is>
      </c>
      <c r="B3263" s="1" t="n">
        <v>44166</v>
      </c>
      <c r="C3263" s="1" t="n">
        <v>45212</v>
      </c>
      <c r="D3263" t="inlineStr">
        <is>
          <t>VÄSTERNORRLANDS LÄN</t>
        </is>
      </c>
      <c r="E3263" t="inlineStr">
        <is>
          <t>TIMRÅ</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63681-2020</t>
        </is>
      </c>
      <c r="B3264" s="1" t="n">
        <v>44166</v>
      </c>
      <c r="C3264" s="1" t="n">
        <v>45212</v>
      </c>
      <c r="D3264" t="inlineStr">
        <is>
          <t>VÄSTERNORRLANDS LÄN</t>
        </is>
      </c>
      <c r="E3264" t="inlineStr">
        <is>
          <t>SUNDSVALL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63774-2020</t>
        </is>
      </c>
      <c r="B3265" s="1" t="n">
        <v>44166</v>
      </c>
      <c r="C3265" s="1" t="n">
        <v>45212</v>
      </c>
      <c r="D3265" t="inlineStr">
        <is>
          <t>VÄSTERNORRLANDS LÄN</t>
        </is>
      </c>
      <c r="E3265" t="inlineStr">
        <is>
          <t>SUNDSVALL</t>
        </is>
      </c>
      <c r="F3265" t="inlineStr">
        <is>
          <t>Kommuner</t>
        </is>
      </c>
      <c r="G3265" t="n">
        <v>4.4</v>
      </c>
      <c r="H3265" t="n">
        <v>0</v>
      </c>
      <c r="I3265" t="n">
        <v>0</v>
      </c>
      <c r="J3265" t="n">
        <v>0</v>
      </c>
      <c r="K3265" t="n">
        <v>0</v>
      </c>
      <c r="L3265" t="n">
        <v>0</v>
      </c>
      <c r="M3265" t="n">
        <v>0</v>
      </c>
      <c r="N3265" t="n">
        <v>0</v>
      </c>
      <c r="O3265" t="n">
        <v>0</v>
      </c>
      <c r="P3265" t="n">
        <v>0</v>
      </c>
      <c r="Q3265" t="n">
        <v>0</v>
      </c>
      <c r="R3265" s="2" t="inlineStr"/>
    </row>
    <row r="3266" ht="15" customHeight="1">
      <c r="A3266" t="inlineStr">
        <is>
          <t>A 63840-2020</t>
        </is>
      </c>
      <c r="B3266" s="1" t="n">
        <v>44166</v>
      </c>
      <c r="C3266" s="1" t="n">
        <v>45212</v>
      </c>
      <c r="D3266" t="inlineStr">
        <is>
          <t>VÄSTERNORRLANDS LÄN</t>
        </is>
      </c>
      <c r="E3266" t="inlineStr">
        <is>
          <t>SUNDSVALL</t>
        </is>
      </c>
      <c r="G3266" t="n">
        <v>0.2</v>
      </c>
      <c r="H3266" t="n">
        <v>0</v>
      </c>
      <c r="I3266" t="n">
        <v>0</v>
      </c>
      <c r="J3266" t="n">
        <v>0</v>
      </c>
      <c r="K3266" t="n">
        <v>0</v>
      </c>
      <c r="L3266" t="n">
        <v>0</v>
      </c>
      <c r="M3266" t="n">
        <v>0</v>
      </c>
      <c r="N3266" t="n">
        <v>0</v>
      </c>
      <c r="O3266" t="n">
        <v>0</v>
      </c>
      <c r="P3266" t="n">
        <v>0</v>
      </c>
      <c r="Q3266" t="n">
        <v>0</v>
      </c>
      <c r="R3266" s="2" t="inlineStr"/>
    </row>
    <row r="3267" ht="15" customHeight="1">
      <c r="A3267" t="inlineStr">
        <is>
          <t>A 63927-2020</t>
        </is>
      </c>
      <c r="B3267" s="1" t="n">
        <v>44166</v>
      </c>
      <c r="C3267" s="1" t="n">
        <v>45212</v>
      </c>
      <c r="D3267" t="inlineStr">
        <is>
          <t>VÄSTERNORRLANDS LÄN</t>
        </is>
      </c>
      <c r="E3267" t="inlineStr">
        <is>
          <t>TIMRÅ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63862-2020</t>
        </is>
      </c>
      <c r="B3268" s="1" t="n">
        <v>44166</v>
      </c>
      <c r="C3268" s="1" t="n">
        <v>45212</v>
      </c>
      <c r="D3268" t="inlineStr">
        <is>
          <t>VÄSTERNORRLANDS LÄN</t>
        </is>
      </c>
      <c r="E3268" t="inlineStr">
        <is>
          <t>SUNDSVALL</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63930-2020</t>
        </is>
      </c>
      <c r="B3269" s="1" t="n">
        <v>44167</v>
      </c>
      <c r="C3269" s="1" t="n">
        <v>45212</v>
      </c>
      <c r="D3269" t="inlineStr">
        <is>
          <t>VÄSTERNORRLANDS LÄN</t>
        </is>
      </c>
      <c r="E3269" t="inlineStr">
        <is>
          <t>ÖRNSKÖLDSVIK</t>
        </is>
      </c>
      <c r="F3269" t="inlineStr">
        <is>
          <t>Holmen skog AB</t>
        </is>
      </c>
      <c r="G3269" t="n">
        <v>8</v>
      </c>
      <c r="H3269" t="n">
        <v>0</v>
      </c>
      <c r="I3269" t="n">
        <v>0</v>
      </c>
      <c r="J3269" t="n">
        <v>0</v>
      </c>
      <c r="K3269" t="n">
        <v>0</v>
      </c>
      <c r="L3269" t="n">
        <v>0</v>
      </c>
      <c r="M3269" t="n">
        <v>0</v>
      </c>
      <c r="N3269" t="n">
        <v>0</v>
      </c>
      <c r="O3269" t="n">
        <v>0</v>
      </c>
      <c r="P3269" t="n">
        <v>0</v>
      </c>
      <c r="Q3269" t="n">
        <v>0</v>
      </c>
      <c r="R3269" s="2" t="inlineStr"/>
    </row>
    <row r="3270" ht="15" customHeight="1">
      <c r="A3270" t="inlineStr">
        <is>
          <t>A 64063-2020</t>
        </is>
      </c>
      <c r="B3270" s="1" t="n">
        <v>44167</v>
      </c>
      <c r="C3270" s="1" t="n">
        <v>45212</v>
      </c>
      <c r="D3270" t="inlineStr">
        <is>
          <t>VÄSTERNORRLANDS LÄN</t>
        </is>
      </c>
      <c r="E3270" t="inlineStr">
        <is>
          <t>ÖRNSKÖLDSVIK</t>
        </is>
      </c>
      <c r="F3270" t="inlineStr">
        <is>
          <t>Holmen skog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64205-2020</t>
        </is>
      </c>
      <c r="B3271" s="1" t="n">
        <v>44167</v>
      </c>
      <c r="C3271" s="1" t="n">
        <v>45212</v>
      </c>
      <c r="D3271" t="inlineStr">
        <is>
          <t>VÄSTERNORRLANDS LÄN</t>
        </is>
      </c>
      <c r="E3271" t="inlineStr">
        <is>
          <t>KRAMFORS</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65001-2020</t>
        </is>
      </c>
      <c r="B3272" s="1" t="n">
        <v>44167</v>
      </c>
      <c r="C3272" s="1" t="n">
        <v>45212</v>
      </c>
      <c r="D3272" t="inlineStr">
        <is>
          <t>VÄSTERNORRLANDS LÄN</t>
        </is>
      </c>
      <c r="E3272" t="inlineStr">
        <is>
          <t>TIMRÅ</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64207-2020</t>
        </is>
      </c>
      <c r="B3273" s="1" t="n">
        <v>44167</v>
      </c>
      <c r="C3273" s="1" t="n">
        <v>45212</v>
      </c>
      <c r="D3273" t="inlineStr">
        <is>
          <t>VÄSTERNORRLANDS LÄN</t>
        </is>
      </c>
      <c r="E3273" t="inlineStr">
        <is>
          <t>KRAMFORS</t>
        </is>
      </c>
      <c r="G3273" t="n">
        <v>3.2</v>
      </c>
      <c r="H3273" t="n">
        <v>0</v>
      </c>
      <c r="I3273" t="n">
        <v>0</v>
      </c>
      <c r="J3273" t="n">
        <v>0</v>
      </c>
      <c r="K3273" t="n">
        <v>0</v>
      </c>
      <c r="L3273" t="n">
        <v>0</v>
      </c>
      <c r="M3273" t="n">
        <v>0</v>
      </c>
      <c r="N3273" t="n">
        <v>0</v>
      </c>
      <c r="O3273" t="n">
        <v>0</v>
      </c>
      <c r="P3273" t="n">
        <v>0</v>
      </c>
      <c r="Q3273" t="n">
        <v>0</v>
      </c>
      <c r="R3273" s="2" t="inlineStr"/>
    </row>
    <row r="3274" ht="15" customHeight="1">
      <c r="A3274" t="inlineStr">
        <is>
          <t>A 65056-2020</t>
        </is>
      </c>
      <c r="B3274" s="1" t="n">
        <v>44167</v>
      </c>
      <c r="C3274" s="1" t="n">
        <v>45212</v>
      </c>
      <c r="D3274" t="inlineStr">
        <is>
          <t>VÄSTERNORRLANDS LÄN</t>
        </is>
      </c>
      <c r="E3274" t="inlineStr">
        <is>
          <t>KRAMFORS</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64290-2020</t>
        </is>
      </c>
      <c r="B3275" s="1" t="n">
        <v>44168</v>
      </c>
      <c r="C3275" s="1" t="n">
        <v>45212</v>
      </c>
      <c r="D3275" t="inlineStr">
        <is>
          <t>VÄSTERNORRLANDS LÄN</t>
        </is>
      </c>
      <c r="E3275" t="inlineStr">
        <is>
          <t>ÖRNSKÖLDSVIK</t>
        </is>
      </c>
      <c r="F3275" t="inlineStr">
        <is>
          <t>Holmen skog AB</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64394-2020</t>
        </is>
      </c>
      <c r="B3276" s="1" t="n">
        <v>44168</v>
      </c>
      <c r="C3276" s="1" t="n">
        <v>45212</v>
      </c>
      <c r="D3276" t="inlineStr">
        <is>
          <t>VÄSTERNORRLANDS LÄN</t>
        </is>
      </c>
      <c r="E3276" t="inlineStr">
        <is>
          <t>SUNDSVALL</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64479-2020</t>
        </is>
      </c>
      <c r="B3277" s="1" t="n">
        <v>44168</v>
      </c>
      <c r="C3277" s="1" t="n">
        <v>45212</v>
      </c>
      <c r="D3277" t="inlineStr">
        <is>
          <t>VÄSTERNORRLANDS LÄN</t>
        </is>
      </c>
      <c r="E3277" t="inlineStr">
        <is>
          <t>SUNDSVALL</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64245-2020</t>
        </is>
      </c>
      <c r="B3278" s="1" t="n">
        <v>44168</v>
      </c>
      <c r="C3278" s="1" t="n">
        <v>45212</v>
      </c>
      <c r="D3278" t="inlineStr">
        <is>
          <t>VÄSTERNORRLANDS LÄN</t>
        </is>
      </c>
      <c r="E3278" t="inlineStr">
        <is>
          <t>ÖRNSKÖLDSVIK</t>
        </is>
      </c>
      <c r="F3278" t="inlineStr">
        <is>
          <t>Holmen skog AB</t>
        </is>
      </c>
      <c r="G3278" t="n">
        <v>5.9</v>
      </c>
      <c r="H3278" t="n">
        <v>0</v>
      </c>
      <c r="I3278" t="n">
        <v>0</v>
      </c>
      <c r="J3278" t="n">
        <v>0</v>
      </c>
      <c r="K3278" t="n">
        <v>0</v>
      </c>
      <c r="L3278" t="n">
        <v>0</v>
      </c>
      <c r="M3278" t="n">
        <v>0</v>
      </c>
      <c r="N3278" t="n">
        <v>0</v>
      </c>
      <c r="O3278" t="n">
        <v>0</v>
      </c>
      <c r="P3278" t="n">
        <v>0</v>
      </c>
      <c r="Q3278" t="n">
        <v>0</v>
      </c>
      <c r="R3278" s="2" t="inlineStr"/>
    </row>
    <row r="3279" ht="15" customHeight="1">
      <c r="A3279" t="inlineStr">
        <is>
          <t>A 64557-2020</t>
        </is>
      </c>
      <c r="B3279" s="1" t="n">
        <v>44169</v>
      </c>
      <c r="C3279" s="1" t="n">
        <v>45212</v>
      </c>
      <c r="D3279" t="inlineStr">
        <is>
          <t>VÄSTERNORRLANDS LÄN</t>
        </is>
      </c>
      <c r="E3279" t="inlineStr">
        <is>
          <t>ÖRNSKÖLDSVIK</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64612-2020</t>
        </is>
      </c>
      <c r="B3280" s="1" t="n">
        <v>44169</v>
      </c>
      <c r="C3280" s="1" t="n">
        <v>45212</v>
      </c>
      <c r="D3280" t="inlineStr">
        <is>
          <t>VÄSTERNORRLANDS LÄN</t>
        </is>
      </c>
      <c r="E3280" t="inlineStr">
        <is>
          <t>ÅNGE</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65401-2020</t>
        </is>
      </c>
      <c r="B3281" s="1" t="n">
        <v>44169</v>
      </c>
      <c r="C3281" s="1" t="n">
        <v>45212</v>
      </c>
      <c r="D3281" t="inlineStr">
        <is>
          <t>VÄSTERNORRLANDS LÄN</t>
        </is>
      </c>
      <c r="E3281" t="inlineStr">
        <is>
          <t>SOLLEFTEÅ</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65407-2020</t>
        </is>
      </c>
      <c r="B3282" s="1" t="n">
        <v>44169</v>
      </c>
      <c r="C3282" s="1" t="n">
        <v>45212</v>
      </c>
      <c r="D3282" t="inlineStr">
        <is>
          <t>VÄSTERNORRLANDS LÄN</t>
        </is>
      </c>
      <c r="E3282" t="inlineStr">
        <is>
          <t>SOLLEFTEÅ</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65665-2020</t>
        </is>
      </c>
      <c r="B3283" s="1" t="n">
        <v>44169</v>
      </c>
      <c r="C3283" s="1" t="n">
        <v>45212</v>
      </c>
      <c r="D3283" t="inlineStr">
        <is>
          <t>VÄSTERNORRLANDS LÄN</t>
        </is>
      </c>
      <c r="E3283" t="inlineStr">
        <is>
          <t>ÖRNSKÖLDSVIK</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64696-2020</t>
        </is>
      </c>
      <c r="B3284" s="1" t="n">
        <v>44169</v>
      </c>
      <c r="C3284" s="1" t="n">
        <v>45212</v>
      </c>
      <c r="D3284" t="inlineStr">
        <is>
          <t>VÄSTERNORRLANDS LÄN</t>
        </is>
      </c>
      <c r="E3284" t="inlineStr">
        <is>
          <t>ÖRNSKÖLDSVIK</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65403-2020</t>
        </is>
      </c>
      <c r="B3285" s="1" t="n">
        <v>44169</v>
      </c>
      <c r="C3285" s="1" t="n">
        <v>45212</v>
      </c>
      <c r="D3285" t="inlineStr">
        <is>
          <t>VÄSTERNORRLANDS LÄN</t>
        </is>
      </c>
      <c r="E3285" t="inlineStr">
        <is>
          <t>SOLLEFTEÅ</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65016-2020</t>
        </is>
      </c>
      <c r="B3286" s="1" t="n">
        <v>44172</v>
      </c>
      <c r="C3286" s="1" t="n">
        <v>45212</v>
      </c>
      <c r="D3286" t="inlineStr">
        <is>
          <t>VÄSTERNORRLANDS LÄN</t>
        </is>
      </c>
      <c r="E3286" t="inlineStr">
        <is>
          <t>ÖRNSKÖLDSVIK</t>
        </is>
      </c>
      <c r="G3286" t="n">
        <v>4.1</v>
      </c>
      <c r="H3286" t="n">
        <v>0</v>
      </c>
      <c r="I3286" t="n">
        <v>0</v>
      </c>
      <c r="J3286" t="n">
        <v>0</v>
      </c>
      <c r="K3286" t="n">
        <v>0</v>
      </c>
      <c r="L3286" t="n">
        <v>0</v>
      </c>
      <c r="M3286" t="n">
        <v>0</v>
      </c>
      <c r="N3286" t="n">
        <v>0</v>
      </c>
      <c r="O3286" t="n">
        <v>0</v>
      </c>
      <c r="P3286" t="n">
        <v>0</v>
      </c>
      <c r="Q3286" t="n">
        <v>0</v>
      </c>
      <c r="R3286" s="2" t="inlineStr"/>
    </row>
    <row r="3287" ht="15" customHeight="1">
      <c r="A3287" t="inlineStr">
        <is>
          <t>A 65149-2020</t>
        </is>
      </c>
      <c r="B3287" s="1" t="n">
        <v>44172</v>
      </c>
      <c r="C3287" s="1" t="n">
        <v>45212</v>
      </c>
      <c r="D3287" t="inlineStr">
        <is>
          <t>VÄSTERNORRLANDS LÄN</t>
        </is>
      </c>
      <c r="E3287" t="inlineStr">
        <is>
          <t>ÅNGE</t>
        </is>
      </c>
      <c r="G3287" t="n">
        <v>9.5</v>
      </c>
      <c r="H3287" t="n">
        <v>0</v>
      </c>
      <c r="I3287" t="n">
        <v>0</v>
      </c>
      <c r="J3287" t="n">
        <v>0</v>
      </c>
      <c r="K3287" t="n">
        <v>0</v>
      </c>
      <c r="L3287" t="n">
        <v>0</v>
      </c>
      <c r="M3287" t="n">
        <v>0</v>
      </c>
      <c r="N3287" t="n">
        <v>0</v>
      </c>
      <c r="O3287" t="n">
        <v>0</v>
      </c>
      <c r="P3287" t="n">
        <v>0</v>
      </c>
      <c r="Q3287" t="n">
        <v>0</v>
      </c>
      <c r="R3287" s="2" t="inlineStr"/>
    </row>
    <row r="3288" ht="15" customHeight="1">
      <c r="A3288" t="inlineStr">
        <is>
          <t>A 65272-2020</t>
        </is>
      </c>
      <c r="B3288" s="1" t="n">
        <v>44172</v>
      </c>
      <c r="C3288" s="1" t="n">
        <v>45212</v>
      </c>
      <c r="D3288" t="inlineStr">
        <is>
          <t>VÄSTERNORRLANDS LÄN</t>
        </is>
      </c>
      <c r="E3288" t="inlineStr">
        <is>
          <t>ÅNGE</t>
        </is>
      </c>
      <c r="F3288" t="inlineStr">
        <is>
          <t>SCA</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65280-2020</t>
        </is>
      </c>
      <c r="B3289" s="1" t="n">
        <v>44172</v>
      </c>
      <c r="C3289" s="1" t="n">
        <v>45212</v>
      </c>
      <c r="D3289" t="inlineStr">
        <is>
          <t>VÄSTERNORRLANDS LÄN</t>
        </is>
      </c>
      <c r="E3289" t="inlineStr">
        <is>
          <t>ÅNGE</t>
        </is>
      </c>
      <c r="F3289" t="inlineStr">
        <is>
          <t>SCA</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65277-2020</t>
        </is>
      </c>
      <c r="B3290" s="1" t="n">
        <v>44172</v>
      </c>
      <c r="C3290" s="1" t="n">
        <v>45212</v>
      </c>
      <c r="D3290" t="inlineStr">
        <is>
          <t>VÄSTERNORRLANDS LÄN</t>
        </is>
      </c>
      <c r="E3290" t="inlineStr">
        <is>
          <t>ÅNGE</t>
        </is>
      </c>
      <c r="F3290" t="inlineStr">
        <is>
          <t>SCA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65593-2020</t>
        </is>
      </c>
      <c r="B3291" s="1" t="n">
        <v>44173</v>
      </c>
      <c r="C3291" s="1" t="n">
        <v>45212</v>
      </c>
      <c r="D3291" t="inlineStr">
        <is>
          <t>VÄSTERNORRLANDS LÄN</t>
        </is>
      </c>
      <c r="E3291" t="inlineStr">
        <is>
          <t>ÅNGE</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66017-2020</t>
        </is>
      </c>
      <c r="B3292" s="1" t="n">
        <v>44173</v>
      </c>
      <c r="C3292" s="1" t="n">
        <v>45212</v>
      </c>
      <c r="D3292" t="inlineStr">
        <is>
          <t>VÄSTERNORRLANDS LÄN</t>
        </is>
      </c>
      <c r="E3292" t="inlineStr">
        <is>
          <t>HÄRNÖSAND</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65546-2020</t>
        </is>
      </c>
      <c r="B3293" s="1" t="n">
        <v>44173</v>
      </c>
      <c r="C3293" s="1" t="n">
        <v>45212</v>
      </c>
      <c r="D3293" t="inlineStr">
        <is>
          <t>VÄSTERNORRLANDS LÄN</t>
        </is>
      </c>
      <c r="E3293" t="inlineStr">
        <is>
          <t>KRAMFORS</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65465-2020</t>
        </is>
      </c>
      <c r="B3294" s="1" t="n">
        <v>44173</v>
      </c>
      <c r="C3294" s="1" t="n">
        <v>45212</v>
      </c>
      <c r="D3294" t="inlineStr">
        <is>
          <t>VÄSTERNORRLANDS LÄN</t>
        </is>
      </c>
      <c r="E3294" t="inlineStr">
        <is>
          <t>SUNDSVALL</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65594-2020</t>
        </is>
      </c>
      <c r="B3295" s="1" t="n">
        <v>44173</v>
      </c>
      <c r="C3295" s="1" t="n">
        <v>45212</v>
      </c>
      <c r="D3295" t="inlineStr">
        <is>
          <t>VÄSTERNORRLANDS LÄN</t>
        </is>
      </c>
      <c r="E3295" t="inlineStr">
        <is>
          <t>ÅNGE</t>
        </is>
      </c>
      <c r="G3295" t="n">
        <v>5.9</v>
      </c>
      <c r="H3295" t="n">
        <v>0</v>
      </c>
      <c r="I3295" t="n">
        <v>0</v>
      </c>
      <c r="J3295" t="n">
        <v>0</v>
      </c>
      <c r="K3295" t="n">
        <v>0</v>
      </c>
      <c r="L3295" t="n">
        <v>0</v>
      </c>
      <c r="M3295" t="n">
        <v>0</v>
      </c>
      <c r="N3295" t="n">
        <v>0</v>
      </c>
      <c r="O3295" t="n">
        <v>0</v>
      </c>
      <c r="P3295" t="n">
        <v>0</v>
      </c>
      <c r="Q3295" t="n">
        <v>0</v>
      </c>
      <c r="R3295" s="2" t="inlineStr"/>
    </row>
    <row r="3296" ht="15" customHeight="1">
      <c r="A3296" t="inlineStr">
        <is>
          <t>A 65905-2020</t>
        </is>
      </c>
      <c r="B3296" s="1" t="n">
        <v>44174</v>
      </c>
      <c r="C3296" s="1" t="n">
        <v>45212</v>
      </c>
      <c r="D3296" t="inlineStr">
        <is>
          <t>VÄSTERNORRLANDS LÄN</t>
        </is>
      </c>
      <c r="E3296" t="inlineStr">
        <is>
          <t>KRAMFORS</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65646-2020</t>
        </is>
      </c>
      <c r="B3297" s="1" t="n">
        <v>44174</v>
      </c>
      <c r="C3297" s="1" t="n">
        <v>45212</v>
      </c>
      <c r="D3297" t="inlineStr">
        <is>
          <t>VÄSTERNORRLANDS LÄN</t>
        </is>
      </c>
      <c r="E3297" t="inlineStr">
        <is>
          <t>ÖRNSKÖLDSVIK</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65688-2020</t>
        </is>
      </c>
      <c r="B3298" s="1" t="n">
        <v>44174</v>
      </c>
      <c r="C3298" s="1" t="n">
        <v>45212</v>
      </c>
      <c r="D3298" t="inlineStr">
        <is>
          <t>VÄSTERNORRLANDS LÄN</t>
        </is>
      </c>
      <c r="E3298" t="inlineStr">
        <is>
          <t>ÖRNSKÖLDSVIK</t>
        </is>
      </c>
      <c r="F3298" t="inlineStr">
        <is>
          <t>Holmen skog AB</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65808-2020</t>
        </is>
      </c>
      <c r="B3299" s="1" t="n">
        <v>44174</v>
      </c>
      <c r="C3299" s="1" t="n">
        <v>45212</v>
      </c>
      <c r="D3299" t="inlineStr">
        <is>
          <t>VÄSTERNORRLANDS LÄN</t>
        </is>
      </c>
      <c r="E3299" t="inlineStr">
        <is>
          <t>ÖRNSKÖLDSVIK</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66016-2020</t>
        </is>
      </c>
      <c r="B3300" s="1" t="n">
        <v>44175</v>
      </c>
      <c r="C3300" s="1" t="n">
        <v>45212</v>
      </c>
      <c r="D3300" t="inlineStr">
        <is>
          <t>VÄSTERNORRLANDS LÄN</t>
        </is>
      </c>
      <c r="E3300" t="inlineStr">
        <is>
          <t>SUNDSVALL</t>
        </is>
      </c>
      <c r="F3300" t="inlineStr">
        <is>
          <t>Holmen skog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66601-2020</t>
        </is>
      </c>
      <c r="B3301" s="1" t="n">
        <v>44175</v>
      </c>
      <c r="C3301" s="1" t="n">
        <v>45212</v>
      </c>
      <c r="D3301" t="inlineStr">
        <is>
          <t>VÄSTERNORRLANDS LÄN</t>
        </is>
      </c>
      <c r="E3301" t="inlineStr">
        <is>
          <t>ÅNGE</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66236-2020</t>
        </is>
      </c>
      <c r="B3302" s="1" t="n">
        <v>44175</v>
      </c>
      <c r="C3302" s="1" t="n">
        <v>45212</v>
      </c>
      <c r="D3302" t="inlineStr">
        <is>
          <t>VÄSTERNORRLANDS LÄN</t>
        </is>
      </c>
      <c r="E3302" t="inlineStr">
        <is>
          <t>SUNDSVALL</t>
        </is>
      </c>
      <c r="G3302" t="n">
        <v>6.2</v>
      </c>
      <c r="H3302" t="n">
        <v>0</v>
      </c>
      <c r="I3302" t="n">
        <v>0</v>
      </c>
      <c r="J3302" t="n">
        <v>0</v>
      </c>
      <c r="K3302" t="n">
        <v>0</v>
      </c>
      <c r="L3302" t="n">
        <v>0</v>
      </c>
      <c r="M3302" t="n">
        <v>0</v>
      </c>
      <c r="N3302" t="n">
        <v>0</v>
      </c>
      <c r="O3302" t="n">
        <v>0</v>
      </c>
      <c r="P3302" t="n">
        <v>0</v>
      </c>
      <c r="Q3302" t="n">
        <v>0</v>
      </c>
      <c r="R3302" s="2" t="inlineStr"/>
    </row>
    <row r="3303" ht="15" customHeight="1">
      <c r="A3303" t="inlineStr">
        <is>
          <t>A 66355-2020</t>
        </is>
      </c>
      <c r="B3303" s="1" t="n">
        <v>44176</v>
      </c>
      <c r="C3303" s="1" t="n">
        <v>45212</v>
      </c>
      <c r="D3303" t="inlineStr">
        <is>
          <t>VÄSTERNORRLANDS LÄN</t>
        </is>
      </c>
      <c r="E3303" t="inlineStr">
        <is>
          <t>ÖRNSKÖLDSVIK</t>
        </is>
      </c>
      <c r="F3303" t="inlineStr">
        <is>
          <t>Holmen skog AB</t>
        </is>
      </c>
      <c r="G3303" t="n">
        <v>4.7</v>
      </c>
      <c r="H3303" t="n">
        <v>0</v>
      </c>
      <c r="I3303" t="n">
        <v>0</v>
      </c>
      <c r="J3303" t="n">
        <v>0</v>
      </c>
      <c r="K3303" t="n">
        <v>0</v>
      </c>
      <c r="L3303" t="n">
        <v>0</v>
      </c>
      <c r="M3303" t="n">
        <v>0</v>
      </c>
      <c r="N3303" t="n">
        <v>0</v>
      </c>
      <c r="O3303" t="n">
        <v>0</v>
      </c>
      <c r="P3303" t="n">
        <v>0</v>
      </c>
      <c r="Q3303" t="n">
        <v>0</v>
      </c>
      <c r="R3303" s="2" t="inlineStr"/>
    </row>
    <row r="3304" ht="15" customHeight="1">
      <c r="A3304" t="inlineStr">
        <is>
          <t>A 66961-2020</t>
        </is>
      </c>
      <c r="B3304" s="1" t="n">
        <v>44176</v>
      </c>
      <c r="C3304" s="1" t="n">
        <v>45212</v>
      </c>
      <c r="D3304" t="inlineStr">
        <is>
          <t>VÄSTERNORRLANDS LÄN</t>
        </is>
      </c>
      <c r="E3304" t="inlineStr">
        <is>
          <t>ÖRNSKÖLDSVIK</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67063-2020</t>
        </is>
      </c>
      <c r="B3305" s="1" t="n">
        <v>44176</v>
      </c>
      <c r="C3305" s="1" t="n">
        <v>45212</v>
      </c>
      <c r="D3305" t="inlineStr">
        <is>
          <t>VÄSTERNORRLANDS LÄN</t>
        </is>
      </c>
      <c r="E3305" t="inlineStr">
        <is>
          <t>SOLLEFTEÅ</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66362-2020</t>
        </is>
      </c>
      <c r="B3306" s="1" t="n">
        <v>44176</v>
      </c>
      <c r="C3306" s="1" t="n">
        <v>45212</v>
      </c>
      <c r="D3306" t="inlineStr">
        <is>
          <t>VÄSTERNORRLANDS LÄN</t>
        </is>
      </c>
      <c r="E3306" t="inlineStr">
        <is>
          <t>ÖRNSKÖLDSVIK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66783-2020</t>
        </is>
      </c>
      <c r="B3307" s="1" t="n">
        <v>44179</v>
      </c>
      <c r="C3307" s="1" t="n">
        <v>45212</v>
      </c>
      <c r="D3307" t="inlineStr">
        <is>
          <t>VÄSTERNORRLANDS LÄN</t>
        </is>
      </c>
      <c r="E3307" t="inlineStr">
        <is>
          <t>KRAMFORS</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66837-2020</t>
        </is>
      </c>
      <c r="B3308" s="1" t="n">
        <v>44179</v>
      </c>
      <c r="C3308" s="1" t="n">
        <v>45212</v>
      </c>
      <c r="D3308" t="inlineStr">
        <is>
          <t>VÄSTERNORRLANDS LÄN</t>
        </is>
      </c>
      <c r="E3308" t="inlineStr">
        <is>
          <t>TIMRÅ</t>
        </is>
      </c>
      <c r="F3308" t="inlineStr">
        <is>
          <t>Kommuner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66844-2020</t>
        </is>
      </c>
      <c r="B3309" s="1" t="n">
        <v>44179</v>
      </c>
      <c r="C3309" s="1" t="n">
        <v>45212</v>
      </c>
      <c r="D3309" t="inlineStr">
        <is>
          <t>VÄSTERNORRLANDS LÄN</t>
        </is>
      </c>
      <c r="E3309" t="inlineStr">
        <is>
          <t>SOLLEFTEÅ</t>
        </is>
      </c>
      <c r="F3309" t="inlineStr">
        <is>
          <t>SCA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66853-2020</t>
        </is>
      </c>
      <c r="B3310" s="1" t="n">
        <v>44179</v>
      </c>
      <c r="C3310" s="1" t="n">
        <v>45212</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66845-2020</t>
        </is>
      </c>
      <c r="B3311" s="1" t="n">
        <v>44179</v>
      </c>
      <c r="C3311" s="1" t="n">
        <v>45212</v>
      </c>
      <c r="D3311" t="inlineStr">
        <is>
          <t>VÄSTERNORRLANDS LÄN</t>
        </is>
      </c>
      <c r="E3311" t="inlineStr">
        <is>
          <t>SOLLEFTEÅ</t>
        </is>
      </c>
      <c r="F3311" t="inlineStr">
        <is>
          <t>SCA</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66843-2020</t>
        </is>
      </c>
      <c r="B3312" s="1" t="n">
        <v>44179</v>
      </c>
      <c r="C3312" s="1" t="n">
        <v>45212</v>
      </c>
      <c r="D3312" t="inlineStr">
        <is>
          <t>VÄSTERNORRLANDS LÄN</t>
        </is>
      </c>
      <c r="E3312" t="inlineStr">
        <is>
          <t>SOLLEFTEÅ</t>
        </is>
      </c>
      <c r="F3312" t="inlineStr">
        <is>
          <t>SCA</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66851-2020</t>
        </is>
      </c>
      <c r="B3313" s="1" t="n">
        <v>44179</v>
      </c>
      <c r="C3313" s="1" t="n">
        <v>45212</v>
      </c>
      <c r="D3313" t="inlineStr">
        <is>
          <t>VÄSTERNORRLANDS LÄN</t>
        </is>
      </c>
      <c r="E3313" t="inlineStr">
        <is>
          <t>SOLLEFTEÅ</t>
        </is>
      </c>
      <c r="F3313" t="inlineStr">
        <is>
          <t>SCA</t>
        </is>
      </c>
      <c r="G3313" t="n">
        <v>6</v>
      </c>
      <c r="H3313" t="n">
        <v>0</v>
      </c>
      <c r="I3313" t="n">
        <v>0</v>
      </c>
      <c r="J3313" t="n">
        <v>0</v>
      </c>
      <c r="K3313" t="n">
        <v>0</v>
      </c>
      <c r="L3313" t="n">
        <v>0</v>
      </c>
      <c r="M3313" t="n">
        <v>0</v>
      </c>
      <c r="N3313" t="n">
        <v>0</v>
      </c>
      <c r="O3313" t="n">
        <v>0</v>
      </c>
      <c r="P3313" t="n">
        <v>0</v>
      </c>
      <c r="Q3313" t="n">
        <v>0</v>
      </c>
      <c r="R3313" s="2" t="inlineStr"/>
    </row>
    <row r="3314" ht="15" customHeight="1">
      <c r="A3314" t="inlineStr">
        <is>
          <t>A 66850-2020</t>
        </is>
      </c>
      <c r="B3314" s="1" t="n">
        <v>44179</v>
      </c>
      <c r="C3314" s="1" t="n">
        <v>45212</v>
      </c>
      <c r="D3314" t="inlineStr">
        <is>
          <t>VÄSTERNORRLANDS LÄN</t>
        </is>
      </c>
      <c r="E3314" t="inlineStr">
        <is>
          <t>SOLLEFTEÅ</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67191-2020</t>
        </is>
      </c>
      <c r="B3315" s="1" t="n">
        <v>44180</v>
      </c>
      <c r="C3315" s="1" t="n">
        <v>45212</v>
      </c>
      <c r="D3315" t="inlineStr">
        <is>
          <t>VÄSTERNORRLANDS LÄN</t>
        </is>
      </c>
      <c r="E3315" t="inlineStr">
        <is>
          <t>HÄRNÖSAND</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67516-2020</t>
        </is>
      </c>
      <c r="B3316" s="1" t="n">
        <v>44180</v>
      </c>
      <c r="C3316" s="1" t="n">
        <v>45212</v>
      </c>
      <c r="D3316" t="inlineStr">
        <is>
          <t>VÄSTERNORRLANDS LÄN</t>
        </is>
      </c>
      <c r="E3316" t="inlineStr">
        <is>
          <t>ÖRNSKÖLDSVIK</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67183-2020</t>
        </is>
      </c>
      <c r="B3317" s="1" t="n">
        <v>44180</v>
      </c>
      <c r="C3317" s="1" t="n">
        <v>45212</v>
      </c>
      <c r="D3317" t="inlineStr">
        <is>
          <t>VÄSTERNORRLANDS LÄN</t>
        </is>
      </c>
      <c r="E3317" t="inlineStr">
        <is>
          <t>ÖRNSKÖLDSVIK</t>
        </is>
      </c>
      <c r="G3317" t="n">
        <v>5.8</v>
      </c>
      <c r="H3317" t="n">
        <v>0</v>
      </c>
      <c r="I3317" t="n">
        <v>0</v>
      </c>
      <c r="J3317" t="n">
        <v>0</v>
      </c>
      <c r="K3317" t="n">
        <v>0</v>
      </c>
      <c r="L3317" t="n">
        <v>0</v>
      </c>
      <c r="M3317" t="n">
        <v>0</v>
      </c>
      <c r="N3317" t="n">
        <v>0</v>
      </c>
      <c r="O3317" t="n">
        <v>0</v>
      </c>
      <c r="P3317" t="n">
        <v>0</v>
      </c>
      <c r="Q3317" t="n">
        <v>0</v>
      </c>
      <c r="R3317" s="2" t="inlineStr"/>
    </row>
    <row r="3318" ht="15" customHeight="1">
      <c r="A3318" t="inlineStr">
        <is>
          <t>A 66921-2020</t>
        </is>
      </c>
      <c r="B3318" s="1" t="n">
        <v>44180</v>
      </c>
      <c r="C3318" s="1" t="n">
        <v>45212</v>
      </c>
      <c r="D3318" t="inlineStr">
        <is>
          <t>VÄSTERNORRLANDS LÄN</t>
        </is>
      </c>
      <c r="E3318" t="inlineStr">
        <is>
          <t>ÖRNSKÖLDSVIK</t>
        </is>
      </c>
      <c r="F3318" t="inlineStr">
        <is>
          <t>Holmen skog AB</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67233-2020</t>
        </is>
      </c>
      <c r="B3319" s="1" t="n">
        <v>44180</v>
      </c>
      <c r="C3319" s="1" t="n">
        <v>45212</v>
      </c>
      <c r="D3319" t="inlineStr">
        <is>
          <t>VÄSTERNORRLANDS LÄN</t>
        </is>
      </c>
      <c r="E3319" t="inlineStr">
        <is>
          <t>SUNDSVALL</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67482-2020</t>
        </is>
      </c>
      <c r="B3320" s="1" t="n">
        <v>44180</v>
      </c>
      <c r="C3320" s="1" t="n">
        <v>45212</v>
      </c>
      <c r="D3320" t="inlineStr">
        <is>
          <t>VÄSTERNORRLANDS LÄN</t>
        </is>
      </c>
      <c r="E3320" t="inlineStr">
        <is>
          <t>ÖRNSKÖLDSVIK</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67503-2020</t>
        </is>
      </c>
      <c r="B3321" s="1" t="n">
        <v>44181</v>
      </c>
      <c r="C3321" s="1" t="n">
        <v>45212</v>
      </c>
      <c r="D3321" t="inlineStr">
        <is>
          <t>VÄSTERNORRLANDS LÄN</t>
        </is>
      </c>
      <c r="E3321" t="inlineStr">
        <is>
          <t>KRAMFORS</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67513-2020</t>
        </is>
      </c>
      <c r="B3322" s="1" t="n">
        <v>44181</v>
      </c>
      <c r="C3322" s="1" t="n">
        <v>45212</v>
      </c>
      <c r="D3322" t="inlineStr">
        <is>
          <t>VÄSTERNORRLANDS LÄN</t>
        </is>
      </c>
      <c r="E3322" t="inlineStr">
        <is>
          <t>KRAMFORS</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67523-2020</t>
        </is>
      </c>
      <c r="B3323" s="1" t="n">
        <v>44181</v>
      </c>
      <c r="C3323" s="1" t="n">
        <v>45212</v>
      </c>
      <c r="D3323" t="inlineStr">
        <is>
          <t>VÄSTERNORRLANDS LÄN</t>
        </is>
      </c>
      <c r="E3323" t="inlineStr">
        <is>
          <t>KRAMFORS</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67602-2020</t>
        </is>
      </c>
      <c r="B3324" s="1" t="n">
        <v>44181</v>
      </c>
      <c r="C3324" s="1" t="n">
        <v>45212</v>
      </c>
      <c r="D3324" t="inlineStr">
        <is>
          <t>VÄSTERNORRLANDS LÄN</t>
        </is>
      </c>
      <c r="E3324" t="inlineStr">
        <is>
          <t>SOLLEFTEÅ</t>
        </is>
      </c>
      <c r="F3324" t="inlineStr">
        <is>
          <t>SCA</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67267-2020</t>
        </is>
      </c>
      <c r="B3325" s="1" t="n">
        <v>44181</v>
      </c>
      <c r="C3325" s="1" t="n">
        <v>45212</v>
      </c>
      <c r="D3325" t="inlineStr">
        <is>
          <t>VÄSTERNORRLANDS LÄN</t>
        </is>
      </c>
      <c r="E3325" t="inlineStr">
        <is>
          <t>ÖRNSKÖLDSVIK</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67499-2020</t>
        </is>
      </c>
      <c r="B3326" s="1" t="n">
        <v>44181</v>
      </c>
      <c r="C3326" s="1" t="n">
        <v>45212</v>
      </c>
      <c r="D3326" t="inlineStr">
        <is>
          <t>VÄSTERNORRLANDS LÄN</t>
        </is>
      </c>
      <c r="E3326" t="inlineStr">
        <is>
          <t>KRAMFORS</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67519-2020</t>
        </is>
      </c>
      <c r="B3327" s="1" t="n">
        <v>44181</v>
      </c>
      <c r="C3327" s="1" t="n">
        <v>45212</v>
      </c>
      <c r="D3327" t="inlineStr">
        <is>
          <t>VÄSTERNORRLANDS LÄN</t>
        </is>
      </c>
      <c r="E3327" t="inlineStr">
        <is>
          <t>KRAMFORS</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67527-2020</t>
        </is>
      </c>
      <c r="B3328" s="1" t="n">
        <v>44181</v>
      </c>
      <c r="C3328" s="1" t="n">
        <v>45212</v>
      </c>
      <c r="D3328" t="inlineStr">
        <is>
          <t>VÄSTERNORRLANDS LÄN</t>
        </is>
      </c>
      <c r="E3328" t="inlineStr">
        <is>
          <t>KRAMFORS</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67601-2020</t>
        </is>
      </c>
      <c r="B3329" s="1" t="n">
        <v>44181</v>
      </c>
      <c r="C3329" s="1" t="n">
        <v>45212</v>
      </c>
      <c r="D3329" t="inlineStr">
        <is>
          <t>VÄSTERNORRLANDS LÄN</t>
        </is>
      </c>
      <c r="E3329" t="inlineStr">
        <is>
          <t>KRAMFORS</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67610-2020</t>
        </is>
      </c>
      <c r="B3330" s="1" t="n">
        <v>44181</v>
      </c>
      <c r="C3330" s="1" t="n">
        <v>45212</v>
      </c>
      <c r="D3330" t="inlineStr">
        <is>
          <t>VÄSTERNORRLANDS LÄN</t>
        </is>
      </c>
      <c r="E3330" t="inlineStr">
        <is>
          <t>TIMRÅ</t>
        </is>
      </c>
      <c r="F3330" t="inlineStr">
        <is>
          <t>SCA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68014-2020</t>
        </is>
      </c>
      <c r="B3331" s="1" t="n">
        <v>44182</v>
      </c>
      <c r="C3331" s="1" t="n">
        <v>45212</v>
      </c>
      <c r="D3331" t="inlineStr">
        <is>
          <t>VÄSTERNORRLANDS LÄN</t>
        </is>
      </c>
      <c r="E3331" t="inlineStr">
        <is>
          <t>HÄRNÖSAND</t>
        </is>
      </c>
      <c r="G3331" t="n">
        <v>5.7</v>
      </c>
      <c r="H3331" t="n">
        <v>0</v>
      </c>
      <c r="I3331" t="n">
        <v>0</v>
      </c>
      <c r="J3331" t="n">
        <v>0</v>
      </c>
      <c r="K3331" t="n">
        <v>0</v>
      </c>
      <c r="L3331" t="n">
        <v>0</v>
      </c>
      <c r="M3331" t="n">
        <v>0</v>
      </c>
      <c r="N3331" t="n">
        <v>0</v>
      </c>
      <c r="O3331" t="n">
        <v>0</v>
      </c>
      <c r="P3331" t="n">
        <v>0</v>
      </c>
      <c r="Q3331" t="n">
        <v>0</v>
      </c>
      <c r="R3331" s="2" t="inlineStr"/>
    </row>
    <row r="3332" ht="15" customHeight="1">
      <c r="A3332" t="inlineStr">
        <is>
          <t>A 68022-2020</t>
        </is>
      </c>
      <c r="B3332" s="1" t="n">
        <v>44182</v>
      </c>
      <c r="C3332" s="1" t="n">
        <v>45212</v>
      </c>
      <c r="D3332" t="inlineStr">
        <is>
          <t>VÄSTERNORRLANDS LÄN</t>
        </is>
      </c>
      <c r="E3332" t="inlineStr">
        <is>
          <t>SOLLEFTEÅ</t>
        </is>
      </c>
      <c r="F3332" t="inlineStr">
        <is>
          <t>SCA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68031-2020</t>
        </is>
      </c>
      <c r="B3333" s="1" t="n">
        <v>44182</v>
      </c>
      <c r="C3333" s="1" t="n">
        <v>45212</v>
      </c>
      <c r="D3333" t="inlineStr">
        <is>
          <t>VÄSTERNORRLANDS LÄN</t>
        </is>
      </c>
      <c r="E3333" t="inlineStr">
        <is>
          <t>SOLLEFTEÅ</t>
        </is>
      </c>
      <c r="F3333" t="inlineStr">
        <is>
          <t>SCA</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68036-2020</t>
        </is>
      </c>
      <c r="B3334" s="1" t="n">
        <v>44182</v>
      </c>
      <c r="C3334" s="1" t="n">
        <v>45212</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68015-2020</t>
        </is>
      </c>
      <c r="B3335" s="1" t="n">
        <v>44182</v>
      </c>
      <c r="C3335" s="1" t="n">
        <v>45212</v>
      </c>
      <c r="D3335" t="inlineStr">
        <is>
          <t>VÄSTERNORRLANDS LÄN</t>
        </is>
      </c>
      <c r="E3335" t="inlineStr">
        <is>
          <t>SOLLEFTEÅ</t>
        </is>
      </c>
      <c r="F3335" t="inlineStr">
        <is>
          <t>SCA</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68025-2020</t>
        </is>
      </c>
      <c r="B3336" s="1" t="n">
        <v>44182</v>
      </c>
      <c r="C3336" s="1" t="n">
        <v>45212</v>
      </c>
      <c r="D3336" t="inlineStr">
        <is>
          <t>VÄSTERNORRLANDS LÄN</t>
        </is>
      </c>
      <c r="E3336" t="inlineStr">
        <is>
          <t>SOLLEFTEÅ</t>
        </is>
      </c>
      <c r="F3336" t="inlineStr">
        <is>
          <t>SCA</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68032-2020</t>
        </is>
      </c>
      <c r="B3337" s="1" t="n">
        <v>44182</v>
      </c>
      <c r="C3337" s="1" t="n">
        <v>45212</v>
      </c>
      <c r="D3337" t="inlineStr">
        <is>
          <t>VÄSTERNORRLANDS LÄN</t>
        </is>
      </c>
      <c r="E3337" t="inlineStr">
        <is>
          <t>SOLLEFTEÅ</t>
        </is>
      </c>
      <c r="F3337" t="inlineStr">
        <is>
          <t>SCA</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68037-2020</t>
        </is>
      </c>
      <c r="B3338" s="1" t="n">
        <v>44182</v>
      </c>
      <c r="C3338" s="1" t="n">
        <v>45212</v>
      </c>
      <c r="D3338" t="inlineStr">
        <is>
          <t>VÄSTERNORRLANDS LÄN</t>
        </is>
      </c>
      <c r="E3338" t="inlineStr">
        <is>
          <t>SOLLEFTEÅ</t>
        </is>
      </c>
      <c r="F3338" t="inlineStr">
        <is>
          <t>SCA</t>
        </is>
      </c>
      <c r="G3338" t="n">
        <v>4.5</v>
      </c>
      <c r="H3338" t="n">
        <v>0</v>
      </c>
      <c r="I3338" t="n">
        <v>0</v>
      </c>
      <c r="J3338" t="n">
        <v>0</v>
      </c>
      <c r="K3338" t="n">
        <v>0</v>
      </c>
      <c r="L3338" t="n">
        <v>0</v>
      </c>
      <c r="M3338" t="n">
        <v>0</v>
      </c>
      <c r="N3338" t="n">
        <v>0</v>
      </c>
      <c r="O3338" t="n">
        <v>0</v>
      </c>
      <c r="P3338" t="n">
        <v>0</v>
      </c>
      <c r="Q3338" t="n">
        <v>0</v>
      </c>
      <c r="R3338" s="2" t="inlineStr"/>
    </row>
    <row r="3339" ht="15" customHeight="1">
      <c r="A3339" t="inlineStr">
        <is>
          <t>A 68207-2020</t>
        </is>
      </c>
      <c r="B3339" s="1" t="n">
        <v>44182</v>
      </c>
      <c r="C3339" s="1" t="n">
        <v>45212</v>
      </c>
      <c r="D3339" t="inlineStr">
        <is>
          <t>VÄSTERNORRLANDS LÄN</t>
        </is>
      </c>
      <c r="E3339" t="inlineStr">
        <is>
          <t>ÖRNSKÖLDSVIK</t>
        </is>
      </c>
      <c r="G3339" t="n">
        <v>7.6</v>
      </c>
      <c r="H3339" t="n">
        <v>0</v>
      </c>
      <c r="I3339" t="n">
        <v>0</v>
      </c>
      <c r="J3339" t="n">
        <v>0</v>
      </c>
      <c r="K3339" t="n">
        <v>0</v>
      </c>
      <c r="L3339" t="n">
        <v>0</v>
      </c>
      <c r="M3339" t="n">
        <v>0</v>
      </c>
      <c r="N3339" t="n">
        <v>0</v>
      </c>
      <c r="O3339" t="n">
        <v>0</v>
      </c>
      <c r="P3339" t="n">
        <v>0</v>
      </c>
      <c r="Q3339" t="n">
        <v>0</v>
      </c>
      <c r="R3339" s="2" t="inlineStr"/>
    </row>
    <row r="3340" ht="15" customHeight="1">
      <c r="A3340" t="inlineStr">
        <is>
          <t>A 69017-2020</t>
        </is>
      </c>
      <c r="B3340" s="1" t="n">
        <v>44182</v>
      </c>
      <c r="C3340" s="1" t="n">
        <v>45212</v>
      </c>
      <c r="D3340" t="inlineStr">
        <is>
          <t>VÄSTERNORRLANDS LÄN</t>
        </is>
      </c>
      <c r="E3340" t="inlineStr">
        <is>
          <t>HÄRNÖSAND</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68012-2020</t>
        </is>
      </c>
      <c r="B3341" s="1" t="n">
        <v>44182</v>
      </c>
      <c r="C3341" s="1" t="n">
        <v>45212</v>
      </c>
      <c r="D3341" t="inlineStr">
        <is>
          <t>VÄSTERNORRLANDS LÄN</t>
        </is>
      </c>
      <c r="E3341" t="inlineStr">
        <is>
          <t>HÄRNÖSAND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68016-2020</t>
        </is>
      </c>
      <c r="B3342" s="1" t="n">
        <v>44182</v>
      </c>
      <c r="C3342" s="1" t="n">
        <v>45212</v>
      </c>
      <c r="D3342" t="inlineStr">
        <is>
          <t>VÄSTERNORRLANDS LÄN</t>
        </is>
      </c>
      <c r="E3342" t="inlineStr">
        <is>
          <t>SOLLEFTEÅ</t>
        </is>
      </c>
      <c r="F3342" t="inlineStr">
        <is>
          <t>SCA</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68026-2020</t>
        </is>
      </c>
      <c r="B3343" s="1" t="n">
        <v>44182</v>
      </c>
      <c r="C3343" s="1" t="n">
        <v>45212</v>
      </c>
      <c r="D3343" t="inlineStr">
        <is>
          <t>VÄSTERNORRLANDS LÄN</t>
        </is>
      </c>
      <c r="E3343" t="inlineStr">
        <is>
          <t>SOLLEFTEÅ</t>
        </is>
      </c>
      <c r="F3343" t="inlineStr">
        <is>
          <t>SCA</t>
        </is>
      </c>
      <c r="G3343" t="n">
        <v>4.8</v>
      </c>
      <c r="H3343" t="n">
        <v>0</v>
      </c>
      <c r="I3343" t="n">
        <v>0</v>
      </c>
      <c r="J3343" t="n">
        <v>0</v>
      </c>
      <c r="K3343" t="n">
        <v>0</v>
      </c>
      <c r="L3343" t="n">
        <v>0</v>
      </c>
      <c r="M3343" t="n">
        <v>0</v>
      </c>
      <c r="N3343" t="n">
        <v>0</v>
      </c>
      <c r="O3343" t="n">
        <v>0</v>
      </c>
      <c r="P3343" t="n">
        <v>0</v>
      </c>
      <c r="Q3343" t="n">
        <v>0</v>
      </c>
      <c r="R3343" s="2" t="inlineStr"/>
    </row>
    <row r="3344" ht="15" customHeight="1">
      <c r="A3344" t="inlineStr">
        <is>
          <t>A 68033-2020</t>
        </is>
      </c>
      <c r="B3344" s="1" t="n">
        <v>44182</v>
      </c>
      <c r="C3344" s="1" t="n">
        <v>45212</v>
      </c>
      <c r="D3344" t="inlineStr">
        <is>
          <t>VÄSTERNORRLANDS LÄN</t>
        </is>
      </c>
      <c r="E3344" t="inlineStr">
        <is>
          <t>SOLLEFTEÅ</t>
        </is>
      </c>
      <c r="F3344" t="inlineStr">
        <is>
          <t>SCA</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68013-2020</t>
        </is>
      </c>
      <c r="B3345" s="1" t="n">
        <v>44182</v>
      </c>
      <c r="C3345" s="1" t="n">
        <v>45212</v>
      </c>
      <c r="D3345" t="inlineStr">
        <is>
          <t>VÄSTERNORRLANDS LÄN</t>
        </is>
      </c>
      <c r="E3345" t="inlineStr">
        <is>
          <t>HÄRNÖSAND</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68020-2020</t>
        </is>
      </c>
      <c r="B3346" s="1" t="n">
        <v>44182</v>
      </c>
      <c r="C3346" s="1" t="n">
        <v>45212</v>
      </c>
      <c r="D3346" t="inlineStr">
        <is>
          <t>VÄSTERNORRLANDS LÄN</t>
        </is>
      </c>
      <c r="E3346" t="inlineStr">
        <is>
          <t>SOLLEFTEÅ</t>
        </is>
      </c>
      <c r="F3346" t="inlineStr">
        <is>
          <t>SCA</t>
        </is>
      </c>
      <c r="G3346" t="n">
        <v>8.5</v>
      </c>
      <c r="H3346" t="n">
        <v>0</v>
      </c>
      <c r="I3346" t="n">
        <v>0</v>
      </c>
      <c r="J3346" t="n">
        <v>0</v>
      </c>
      <c r="K3346" t="n">
        <v>0</v>
      </c>
      <c r="L3346" t="n">
        <v>0</v>
      </c>
      <c r="M3346" t="n">
        <v>0</v>
      </c>
      <c r="N3346" t="n">
        <v>0</v>
      </c>
      <c r="O3346" t="n">
        <v>0</v>
      </c>
      <c r="P3346" t="n">
        <v>0</v>
      </c>
      <c r="Q3346" t="n">
        <v>0</v>
      </c>
      <c r="R3346" s="2" t="inlineStr"/>
    </row>
    <row r="3347" ht="15" customHeight="1">
      <c r="A3347" t="inlineStr">
        <is>
          <t>A 68030-2020</t>
        </is>
      </c>
      <c r="B3347" s="1" t="n">
        <v>44182</v>
      </c>
      <c r="C3347" s="1" t="n">
        <v>45212</v>
      </c>
      <c r="D3347" t="inlineStr">
        <is>
          <t>VÄSTERNORRLANDS LÄN</t>
        </is>
      </c>
      <c r="E3347" t="inlineStr">
        <is>
          <t>SOLLEFTEÅ</t>
        </is>
      </c>
      <c r="F3347" t="inlineStr">
        <is>
          <t>SCA</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68034-2020</t>
        </is>
      </c>
      <c r="B3348" s="1" t="n">
        <v>44182</v>
      </c>
      <c r="C3348" s="1" t="n">
        <v>45212</v>
      </c>
      <c r="D3348" t="inlineStr">
        <is>
          <t>VÄSTERNORRLANDS LÄN</t>
        </is>
      </c>
      <c r="E3348" t="inlineStr">
        <is>
          <t>SOLLEFTEÅ</t>
        </is>
      </c>
      <c r="F3348" t="inlineStr">
        <is>
          <t>SCA</t>
        </is>
      </c>
      <c r="G3348" t="n">
        <v>17.1</v>
      </c>
      <c r="H3348" t="n">
        <v>0</v>
      </c>
      <c r="I3348" t="n">
        <v>0</v>
      </c>
      <c r="J3348" t="n">
        <v>0</v>
      </c>
      <c r="K3348" t="n">
        <v>0</v>
      </c>
      <c r="L3348" t="n">
        <v>0</v>
      </c>
      <c r="M3348" t="n">
        <v>0</v>
      </c>
      <c r="N3348" t="n">
        <v>0</v>
      </c>
      <c r="O3348" t="n">
        <v>0</v>
      </c>
      <c r="P3348" t="n">
        <v>0</v>
      </c>
      <c r="Q3348" t="n">
        <v>0</v>
      </c>
      <c r="R3348" s="2" t="inlineStr"/>
    </row>
    <row r="3349" ht="15" customHeight="1">
      <c r="A3349" t="inlineStr">
        <is>
          <t>A 68285-2020</t>
        </is>
      </c>
      <c r="B3349" s="1" t="n">
        <v>44183</v>
      </c>
      <c r="C3349" s="1" t="n">
        <v>45212</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68292-2020</t>
        </is>
      </c>
      <c r="B3350" s="1" t="n">
        <v>44183</v>
      </c>
      <c r="C3350" s="1" t="n">
        <v>45212</v>
      </c>
      <c r="D3350" t="inlineStr">
        <is>
          <t>VÄSTERNORRLANDS LÄN</t>
        </is>
      </c>
      <c r="E3350" t="inlineStr">
        <is>
          <t>SOLLEFTEÅ</t>
        </is>
      </c>
      <c r="F3350" t="inlineStr">
        <is>
          <t>SCA</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68068-2020</t>
        </is>
      </c>
      <c r="B3351" s="1" t="n">
        <v>44183</v>
      </c>
      <c r="C3351" s="1" t="n">
        <v>45212</v>
      </c>
      <c r="D3351" t="inlineStr">
        <is>
          <t>VÄSTERNORRLANDS LÄN</t>
        </is>
      </c>
      <c r="E3351" t="inlineStr">
        <is>
          <t>ÖRNSKÖLDSVIK</t>
        </is>
      </c>
      <c r="F3351" t="inlineStr">
        <is>
          <t>Holmen skog AB</t>
        </is>
      </c>
      <c r="G3351" t="n">
        <v>7.1</v>
      </c>
      <c r="H3351" t="n">
        <v>0</v>
      </c>
      <c r="I3351" t="n">
        <v>0</v>
      </c>
      <c r="J3351" t="n">
        <v>0</v>
      </c>
      <c r="K3351" t="n">
        <v>0</v>
      </c>
      <c r="L3351" t="n">
        <v>0</v>
      </c>
      <c r="M3351" t="n">
        <v>0</v>
      </c>
      <c r="N3351" t="n">
        <v>0</v>
      </c>
      <c r="O3351" t="n">
        <v>0</v>
      </c>
      <c r="P3351" t="n">
        <v>0</v>
      </c>
      <c r="Q3351" t="n">
        <v>0</v>
      </c>
      <c r="R3351" s="2" t="inlineStr"/>
    </row>
    <row r="3352" ht="15" customHeight="1">
      <c r="A3352" t="inlineStr">
        <is>
          <t>A 68286-2020</t>
        </is>
      </c>
      <c r="B3352" s="1" t="n">
        <v>44183</v>
      </c>
      <c r="C3352" s="1" t="n">
        <v>45212</v>
      </c>
      <c r="D3352" t="inlineStr">
        <is>
          <t>VÄSTERNORRLANDS LÄN</t>
        </is>
      </c>
      <c r="E3352" t="inlineStr">
        <is>
          <t>SUNDSVALL</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68299-2020</t>
        </is>
      </c>
      <c r="B3353" s="1" t="n">
        <v>44184</v>
      </c>
      <c r="C3353" s="1" t="n">
        <v>45212</v>
      </c>
      <c r="D3353" t="inlineStr">
        <is>
          <t>VÄSTERNORRLANDS LÄN</t>
        </is>
      </c>
      <c r="E3353" t="inlineStr">
        <is>
          <t>ÖRNSKÖLDSVIK</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68648-2020</t>
        </is>
      </c>
      <c r="B3354" s="1" t="n">
        <v>44186</v>
      </c>
      <c r="C3354" s="1" t="n">
        <v>45212</v>
      </c>
      <c r="D3354" t="inlineStr">
        <is>
          <t>VÄSTERNORRLANDS LÄN</t>
        </is>
      </c>
      <c r="E3354" t="inlineStr">
        <is>
          <t>SOLLEFTEÅ</t>
        </is>
      </c>
      <c r="F3354" t="inlineStr">
        <is>
          <t>SCA</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68656-2020</t>
        </is>
      </c>
      <c r="B3355" s="1" t="n">
        <v>44186</v>
      </c>
      <c r="C3355" s="1" t="n">
        <v>45212</v>
      </c>
      <c r="D3355" t="inlineStr">
        <is>
          <t>VÄSTERNORRLANDS LÄN</t>
        </is>
      </c>
      <c r="E3355" t="inlineStr">
        <is>
          <t>SOLLEFTEÅ</t>
        </is>
      </c>
      <c r="F3355" t="inlineStr">
        <is>
          <t>SCA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68570-2020</t>
        </is>
      </c>
      <c r="B3356" s="1" t="n">
        <v>44186</v>
      </c>
      <c r="C3356" s="1" t="n">
        <v>45212</v>
      </c>
      <c r="D3356" t="inlineStr">
        <is>
          <t>VÄSTERNORRLANDS LÄN</t>
        </is>
      </c>
      <c r="E3356" t="inlineStr">
        <is>
          <t>SOLLEFTEÅ</t>
        </is>
      </c>
      <c r="G3356" t="n">
        <v>5.5</v>
      </c>
      <c r="H3356" t="n">
        <v>0</v>
      </c>
      <c r="I3356" t="n">
        <v>0</v>
      </c>
      <c r="J3356" t="n">
        <v>0</v>
      </c>
      <c r="K3356" t="n">
        <v>0</v>
      </c>
      <c r="L3356" t="n">
        <v>0</v>
      </c>
      <c r="M3356" t="n">
        <v>0</v>
      </c>
      <c r="N3356" t="n">
        <v>0</v>
      </c>
      <c r="O3356" t="n">
        <v>0</v>
      </c>
      <c r="P3356" t="n">
        <v>0</v>
      </c>
      <c r="Q3356" t="n">
        <v>0</v>
      </c>
      <c r="R3356" s="2" t="inlineStr"/>
    </row>
    <row r="3357" ht="15" customHeight="1">
      <c r="A3357" t="inlineStr">
        <is>
          <t>A 68378-2020</t>
        </is>
      </c>
      <c r="B3357" s="1" t="n">
        <v>44186</v>
      </c>
      <c r="C3357" s="1" t="n">
        <v>45212</v>
      </c>
      <c r="D3357" t="inlineStr">
        <is>
          <t>VÄSTERNORRLANDS LÄN</t>
        </is>
      </c>
      <c r="E3357" t="inlineStr">
        <is>
          <t>ÅNGE</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68647-2020</t>
        </is>
      </c>
      <c r="B3358" s="1" t="n">
        <v>44186</v>
      </c>
      <c r="C3358" s="1" t="n">
        <v>45212</v>
      </c>
      <c r="D3358" t="inlineStr">
        <is>
          <t>VÄSTERNORRLANDS LÄN</t>
        </is>
      </c>
      <c r="E3358" t="inlineStr">
        <is>
          <t>SOLLEFTEÅ</t>
        </is>
      </c>
      <c r="F3358" t="inlineStr">
        <is>
          <t>SCA</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68445-2020</t>
        </is>
      </c>
      <c r="B3359" s="1" t="n">
        <v>44186</v>
      </c>
      <c r="C3359" s="1" t="n">
        <v>45212</v>
      </c>
      <c r="D3359" t="inlineStr">
        <is>
          <t>VÄSTERNORRLANDS LÄN</t>
        </is>
      </c>
      <c r="E3359" t="inlineStr">
        <is>
          <t>KRAMFORS</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68652-2020</t>
        </is>
      </c>
      <c r="B3360" s="1" t="n">
        <v>44186</v>
      </c>
      <c r="C3360" s="1" t="n">
        <v>45212</v>
      </c>
      <c r="D3360" t="inlineStr">
        <is>
          <t>VÄSTERNORRLANDS LÄN</t>
        </is>
      </c>
      <c r="E3360" t="inlineStr">
        <is>
          <t>SOLLEFTEÅ</t>
        </is>
      </c>
      <c r="F3360" t="inlineStr">
        <is>
          <t>SCA</t>
        </is>
      </c>
      <c r="G3360" t="n">
        <v>5.4</v>
      </c>
      <c r="H3360" t="n">
        <v>0</v>
      </c>
      <c r="I3360" t="n">
        <v>0</v>
      </c>
      <c r="J3360" t="n">
        <v>0</v>
      </c>
      <c r="K3360" t="n">
        <v>0</v>
      </c>
      <c r="L3360" t="n">
        <v>0</v>
      </c>
      <c r="M3360" t="n">
        <v>0</v>
      </c>
      <c r="N3360" t="n">
        <v>0</v>
      </c>
      <c r="O3360" t="n">
        <v>0</v>
      </c>
      <c r="P3360" t="n">
        <v>0</v>
      </c>
      <c r="Q3360" t="n">
        <v>0</v>
      </c>
      <c r="R3360" s="2" t="inlineStr"/>
    </row>
    <row r="3361" ht="15" customHeight="1">
      <c r="A3361" t="inlineStr">
        <is>
          <t>A 68715-2020</t>
        </is>
      </c>
      <c r="B3361" s="1" t="n">
        <v>44187</v>
      </c>
      <c r="C3361" s="1" t="n">
        <v>45212</v>
      </c>
      <c r="D3361" t="inlineStr">
        <is>
          <t>VÄSTERNORRLANDS LÄN</t>
        </is>
      </c>
      <c r="E3361" t="inlineStr">
        <is>
          <t>ÅNGE</t>
        </is>
      </c>
      <c r="G3361" t="n">
        <v>19.1</v>
      </c>
      <c r="H3361" t="n">
        <v>0</v>
      </c>
      <c r="I3361" t="n">
        <v>0</v>
      </c>
      <c r="J3361" t="n">
        <v>0</v>
      </c>
      <c r="K3361" t="n">
        <v>0</v>
      </c>
      <c r="L3361" t="n">
        <v>0</v>
      </c>
      <c r="M3361" t="n">
        <v>0</v>
      </c>
      <c r="N3361" t="n">
        <v>0</v>
      </c>
      <c r="O3361" t="n">
        <v>0</v>
      </c>
      <c r="P3361" t="n">
        <v>0</v>
      </c>
      <c r="Q3361" t="n">
        <v>0</v>
      </c>
      <c r="R3361" s="2" t="inlineStr"/>
    </row>
    <row r="3362" ht="15" customHeight="1">
      <c r="A3362" t="inlineStr">
        <is>
          <t>A 68782-2020</t>
        </is>
      </c>
      <c r="B3362" s="1" t="n">
        <v>44187</v>
      </c>
      <c r="C3362" s="1" t="n">
        <v>45212</v>
      </c>
      <c r="D3362" t="inlineStr">
        <is>
          <t>VÄSTERNORRLANDS LÄN</t>
        </is>
      </c>
      <c r="E3362" t="inlineStr">
        <is>
          <t>ÖRNSKÖLDSVIK</t>
        </is>
      </c>
      <c r="G3362" t="n">
        <v>4.6</v>
      </c>
      <c r="H3362" t="n">
        <v>0</v>
      </c>
      <c r="I3362" t="n">
        <v>0</v>
      </c>
      <c r="J3362" t="n">
        <v>0</v>
      </c>
      <c r="K3362" t="n">
        <v>0</v>
      </c>
      <c r="L3362" t="n">
        <v>0</v>
      </c>
      <c r="M3362" t="n">
        <v>0</v>
      </c>
      <c r="N3362" t="n">
        <v>0</v>
      </c>
      <c r="O3362" t="n">
        <v>0</v>
      </c>
      <c r="P3362" t="n">
        <v>0</v>
      </c>
      <c r="Q3362" t="n">
        <v>0</v>
      </c>
      <c r="R3362" s="2" t="inlineStr"/>
    </row>
    <row r="3363" ht="15" customHeight="1">
      <c r="A3363" t="inlineStr">
        <is>
          <t>A 68812-2020</t>
        </is>
      </c>
      <c r="B3363" s="1" t="n">
        <v>44187</v>
      </c>
      <c r="C3363" s="1" t="n">
        <v>45212</v>
      </c>
      <c r="D3363" t="inlineStr">
        <is>
          <t>VÄSTERNORRLANDS LÄN</t>
        </is>
      </c>
      <c r="E3363" t="inlineStr">
        <is>
          <t>ÅNGE</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68711-2020</t>
        </is>
      </c>
      <c r="B3364" s="1" t="n">
        <v>44187</v>
      </c>
      <c r="C3364" s="1" t="n">
        <v>45212</v>
      </c>
      <c r="D3364" t="inlineStr">
        <is>
          <t>VÄSTERNORRLANDS LÄN</t>
        </is>
      </c>
      <c r="E3364" t="inlineStr">
        <is>
          <t>ÖRNSKÖLDSVIK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69172-2020</t>
        </is>
      </c>
      <c r="B3365" s="1" t="n">
        <v>44188</v>
      </c>
      <c r="C3365" s="1" t="n">
        <v>45212</v>
      </c>
      <c r="D3365" t="inlineStr">
        <is>
          <t>VÄSTERNORRLANDS LÄN</t>
        </is>
      </c>
      <c r="E3365" t="inlineStr">
        <is>
          <t>SUNDSVALL</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69326-2020</t>
        </is>
      </c>
      <c r="B3366" s="1" t="n">
        <v>44188</v>
      </c>
      <c r="C3366" s="1" t="n">
        <v>45212</v>
      </c>
      <c r="D3366" t="inlineStr">
        <is>
          <t>VÄSTERNORRLANDS LÄN</t>
        </is>
      </c>
      <c r="E3366" t="inlineStr">
        <is>
          <t>HÄRNÖSAND</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69203-2020</t>
        </is>
      </c>
      <c r="B3367" s="1" t="n">
        <v>44191</v>
      </c>
      <c r="C3367" s="1" t="n">
        <v>45212</v>
      </c>
      <c r="D3367" t="inlineStr">
        <is>
          <t>VÄSTERNORRLANDS LÄN</t>
        </is>
      </c>
      <c r="E3367" t="inlineStr">
        <is>
          <t>TIMRÅ</t>
        </is>
      </c>
      <c r="F3367" t="inlineStr">
        <is>
          <t>SCA</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69225-2020</t>
        </is>
      </c>
      <c r="B3368" s="1" t="n">
        <v>44192</v>
      </c>
      <c r="C3368" s="1" t="n">
        <v>45212</v>
      </c>
      <c r="D3368" t="inlineStr">
        <is>
          <t>VÄSTERNORRLANDS LÄN</t>
        </is>
      </c>
      <c r="E3368" t="inlineStr">
        <is>
          <t>HÄRNÖSAND</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69271-2020</t>
        </is>
      </c>
      <c r="B3369" s="1" t="n">
        <v>44193</v>
      </c>
      <c r="C3369" s="1" t="n">
        <v>45212</v>
      </c>
      <c r="D3369" t="inlineStr">
        <is>
          <t>VÄSTERNORRLANDS LÄN</t>
        </is>
      </c>
      <c r="E3369" t="inlineStr">
        <is>
          <t>ÅNGE</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69436-2020</t>
        </is>
      </c>
      <c r="B3370" s="1" t="n">
        <v>44193</v>
      </c>
      <c r="C3370" s="1" t="n">
        <v>45212</v>
      </c>
      <c r="D3370" t="inlineStr">
        <is>
          <t>VÄSTERNORRLANDS LÄN</t>
        </is>
      </c>
      <c r="E3370" t="inlineStr">
        <is>
          <t>SOLLEFTEÅ</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69365-2020</t>
        </is>
      </c>
      <c r="B3371" s="1" t="n">
        <v>44193</v>
      </c>
      <c r="C3371" s="1" t="n">
        <v>45212</v>
      </c>
      <c r="D3371" t="inlineStr">
        <is>
          <t>VÄSTERNORRLANDS LÄN</t>
        </is>
      </c>
      <c r="E3371" t="inlineStr">
        <is>
          <t>KRAMFORS</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272-2021</t>
        </is>
      </c>
      <c r="B3372" s="1" t="n">
        <v>44200</v>
      </c>
      <c r="C3372" s="1" t="n">
        <v>45212</v>
      </c>
      <c r="D3372" t="inlineStr">
        <is>
          <t>VÄSTERNORRLANDS LÄN</t>
        </is>
      </c>
      <c r="E3372" t="inlineStr">
        <is>
          <t>SOLLEFTEÅ</t>
        </is>
      </c>
      <c r="F3372" t="inlineStr">
        <is>
          <t>SCA</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444-2021</t>
        </is>
      </c>
      <c r="B3373" s="1" t="n">
        <v>44201</v>
      </c>
      <c r="C3373" s="1" t="n">
        <v>45212</v>
      </c>
      <c r="D3373" t="inlineStr">
        <is>
          <t>VÄSTERNORRLANDS LÄN</t>
        </is>
      </c>
      <c r="E3373" t="inlineStr">
        <is>
          <t>SUNDSVALL</t>
        </is>
      </c>
      <c r="F3373" t="inlineStr">
        <is>
          <t>SCA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302-2021</t>
        </is>
      </c>
      <c r="B3374" s="1" t="n">
        <v>44201</v>
      </c>
      <c r="C3374" s="1" t="n">
        <v>45212</v>
      </c>
      <c r="D3374" t="inlineStr">
        <is>
          <t>VÄSTERNORRLANDS LÄN</t>
        </is>
      </c>
      <c r="E3374" t="inlineStr">
        <is>
          <t>KRAMFORS</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301-2021</t>
        </is>
      </c>
      <c r="B3375" s="1" t="n">
        <v>44201</v>
      </c>
      <c r="C3375" s="1" t="n">
        <v>45212</v>
      </c>
      <c r="D3375" t="inlineStr">
        <is>
          <t>VÄSTERNORRLANDS LÄN</t>
        </is>
      </c>
      <c r="E3375" t="inlineStr">
        <is>
          <t>KRAMFORS</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695-2021</t>
        </is>
      </c>
      <c r="B3376" s="1" t="n">
        <v>44203</v>
      </c>
      <c r="C3376" s="1" t="n">
        <v>45212</v>
      </c>
      <c r="D3376" t="inlineStr">
        <is>
          <t>VÄSTERNORRLANDS LÄN</t>
        </is>
      </c>
      <c r="E3376" t="inlineStr">
        <is>
          <t>SUNDSVALL</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731-2021</t>
        </is>
      </c>
      <c r="B3377" s="1" t="n">
        <v>44203</v>
      </c>
      <c r="C3377" s="1" t="n">
        <v>45212</v>
      </c>
      <c r="D3377" t="inlineStr">
        <is>
          <t>VÄSTERNORRLANDS LÄN</t>
        </is>
      </c>
      <c r="E3377" t="inlineStr">
        <is>
          <t>TIMRÅ</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691-2021</t>
        </is>
      </c>
      <c r="B3378" s="1" t="n">
        <v>44203</v>
      </c>
      <c r="C3378" s="1" t="n">
        <v>45212</v>
      </c>
      <c r="D3378" t="inlineStr">
        <is>
          <t>VÄSTERNORRLANDS LÄN</t>
        </is>
      </c>
      <c r="E3378" t="inlineStr">
        <is>
          <t>SOLLEFTEÅ</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1205-2021</t>
        </is>
      </c>
      <c r="B3379" s="1" t="n">
        <v>44207</v>
      </c>
      <c r="C3379" s="1" t="n">
        <v>45212</v>
      </c>
      <c r="D3379" t="inlineStr">
        <is>
          <t>VÄSTERNORRLANDS LÄN</t>
        </is>
      </c>
      <c r="E3379" t="inlineStr">
        <is>
          <t>ÖRNSKÖLDSVIK</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1282-2021</t>
        </is>
      </c>
      <c r="B3380" s="1" t="n">
        <v>44207</v>
      </c>
      <c r="C3380" s="1" t="n">
        <v>45212</v>
      </c>
      <c r="D3380" t="inlineStr">
        <is>
          <t>VÄSTERNORRLANDS LÄN</t>
        </is>
      </c>
      <c r="E3380" t="inlineStr">
        <is>
          <t>KRAMFORS</t>
        </is>
      </c>
      <c r="G3380" t="n">
        <v>12.5</v>
      </c>
      <c r="H3380" t="n">
        <v>0</v>
      </c>
      <c r="I3380" t="n">
        <v>0</v>
      </c>
      <c r="J3380" t="n">
        <v>0</v>
      </c>
      <c r="K3380" t="n">
        <v>0</v>
      </c>
      <c r="L3380" t="n">
        <v>0</v>
      </c>
      <c r="M3380" t="n">
        <v>0</v>
      </c>
      <c r="N3380" t="n">
        <v>0</v>
      </c>
      <c r="O3380" t="n">
        <v>0</v>
      </c>
      <c r="P3380" t="n">
        <v>0</v>
      </c>
      <c r="Q3380" t="n">
        <v>0</v>
      </c>
      <c r="R3380" s="2" t="inlineStr"/>
    </row>
    <row r="3381" ht="15" customHeight="1">
      <c r="A3381" t="inlineStr">
        <is>
          <t>A 1174-2021</t>
        </is>
      </c>
      <c r="B3381" s="1" t="n">
        <v>44207</v>
      </c>
      <c r="C3381" s="1" t="n">
        <v>45212</v>
      </c>
      <c r="D3381" t="inlineStr">
        <is>
          <t>VÄSTERNORRLANDS LÄN</t>
        </is>
      </c>
      <c r="E3381" t="inlineStr">
        <is>
          <t>SUNDSVALL</t>
        </is>
      </c>
      <c r="G3381" t="n">
        <v>2.9</v>
      </c>
      <c r="H3381" t="n">
        <v>0</v>
      </c>
      <c r="I3381" t="n">
        <v>0</v>
      </c>
      <c r="J3381" t="n">
        <v>0</v>
      </c>
      <c r="K3381" t="n">
        <v>0</v>
      </c>
      <c r="L3381" t="n">
        <v>0</v>
      </c>
      <c r="M3381" t="n">
        <v>0</v>
      </c>
      <c r="N3381" t="n">
        <v>0</v>
      </c>
      <c r="O3381" t="n">
        <v>0</v>
      </c>
      <c r="P3381" t="n">
        <v>0</v>
      </c>
      <c r="Q3381" t="n">
        <v>0</v>
      </c>
      <c r="R3381" s="2" t="inlineStr"/>
    </row>
    <row r="3382" ht="15" customHeight="1">
      <c r="A3382" t="inlineStr">
        <is>
          <t>A 1203-2021</t>
        </is>
      </c>
      <c r="B3382" s="1" t="n">
        <v>44207</v>
      </c>
      <c r="C3382" s="1" t="n">
        <v>45212</v>
      </c>
      <c r="D3382" t="inlineStr">
        <is>
          <t>VÄSTERNORRLANDS LÄN</t>
        </is>
      </c>
      <c r="E3382" t="inlineStr">
        <is>
          <t>KRAMFORS</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1224-2021</t>
        </is>
      </c>
      <c r="B3383" s="1" t="n">
        <v>44207</v>
      </c>
      <c r="C3383" s="1" t="n">
        <v>45212</v>
      </c>
      <c r="D3383" t="inlineStr">
        <is>
          <t>VÄSTERNORRLANDS LÄN</t>
        </is>
      </c>
      <c r="E3383" t="inlineStr">
        <is>
          <t>ÖRNSKÖLDSVIK</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1473-2021</t>
        </is>
      </c>
      <c r="B3384" s="1" t="n">
        <v>44208</v>
      </c>
      <c r="C3384" s="1" t="n">
        <v>45212</v>
      </c>
      <c r="D3384" t="inlineStr">
        <is>
          <t>VÄSTERNORRLANDS LÄN</t>
        </is>
      </c>
      <c r="E3384" t="inlineStr">
        <is>
          <t>SUNDSVALL</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1480-2021</t>
        </is>
      </c>
      <c r="B3385" s="1" t="n">
        <v>44208</v>
      </c>
      <c r="C3385" s="1" t="n">
        <v>45212</v>
      </c>
      <c r="D3385" t="inlineStr">
        <is>
          <t>VÄSTERNORRLANDS LÄN</t>
        </is>
      </c>
      <c r="E3385" t="inlineStr">
        <is>
          <t>SUNDSVALL</t>
        </is>
      </c>
      <c r="G3385" t="n">
        <v>7</v>
      </c>
      <c r="H3385" t="n">
        <v>0</v>
      </c>
      <c r="I3385" t="n">
        <v>0</v>
      </c>
      <c r="J3385" t="n">
        <v>0</v>
      </c>
      <c r="K3385" t="n">
        <v>0</v>
      </c>
      <c r="L3385" t="n">
        <v>0</v>
      </c>
      <c r="M3385" t="n">
        <v>0</v>
      </c>
      <c r="N3385" t="n">
        <v>0</v>
      </c>
      <c r="O3385" t="n">
        <v>0</v>
      </c>
      <c r="P3385" t="n">
        <v>0</v>
      </c>
      <c r="Q3385" t="n">
        <v>0</v>
      </c>
      <c r="R3385" s="2" t="inlineStr"/>
    </row>
    <row r="3386" ht="15" customHeight="1">
      <c r="A3386" t="inlineStr">
        <is>
          <t>A 1555-2021</t>
        </is>
      </c>
      <c r="B3386" s="1" t="n">
        <v>44209</v>
      </c>
      <c r="C3386" s="1" t="n">
        <v>45212</v>
      </c>
      <c r="D3386" t="inlineStr">
        <is>
          <t>VÄSTERNORRLANDS LÄN</t>
        </is>
      </c>
      <c r="E3386" t="inlineStr">
        <is>
          <t>TIMRÅ</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1776-2021</t>
        </is>
      </c>
      <c r="B3387" s="1" t="n">
        <v>44209</v>
      </c>
      <c r="C3387" s="1" t="n">
        <v>45212</v>
      </c>
      <c r="D3387" t="inlineStr">
        <is>
          <t>VÄSTERNORRLANDS LÄN</t>
        </is>
      </c>
      <c r="E3387" t="inlineStr">
        <is>
          <t>KRAMFORS</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1858-2021</t>
        </is>
      </c>
      <c r="B3388" s="1" t="n">
        <v>44210</v>
      </c>
      <c r="C3388" s="1" t="n">
        <v>45212</v>
      </c>
      <c r="D3388" t="inlineStr">
        <is>
          <t>VÄSTERNORRLANDS LÄN</t>
        </is>
      </c>
      <c r="E3388" t="inlineStr">
        <is>
          <t>SOLLEFTEÅ</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2022-2021</t>
        </is>
      </c>
      <c r="B3389" s="1" t="n">
        <v>44210</v>
      </c>
      <c r="C3389" s="1" t="n">
        <v>45212</v>
      </c>
      <c r="D3389" t="inlineStr">
        <is>
          <t>VÄSTERNORRLANDS LÄN</t>
        </is>
      </c>
      <c r="E3389" t="inlineStr">
        <is>
          <t>KRAMFORS</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2077-2021</t>
        </is>
      </c>
      <c r="B3390" s="1" t="n">
        <v>44210</v>
      </c>
      <c r="C3390" s="1" t="n">
        <v>45212</v>
      </c>
      <c r="D3390" t="inlineStr">
        <is>
          <t>VÄSTERNORRLANDS LÄN</t>
        </is>
      </c>
      <c r="E3390" t="inlineStr">
        <is>
          <t>SOLLEFTEÅ</t>
        </is>
      </c>
      <c r="G3390" t="n">
        <v>6.1</v>
      </c>
      <c r="H3390" t="n">
        <v>0</v>
      </c>
      <c r="I3390" t="n">
        <v>0</v>
      </c>
      <c r="J3390" t="n">
        <v>0</v>
      </c>
      <c r="K3390" t="n">
        <v>0</v>
      </c>
      <c r="L3390" t="n">
        <v>0</v>
      </c>
      <c r="M3390" t="n">
        <v>0</v>
      </c>
      <c r="N3390" t="n">
        <v>0</v>
      </c>
      <c r="O3390" t="n">
        <v>0</v>
      </c>
      <c r="P3390" t="n">
        <v>0</v>
      </c>
      <c r="Q3390" t="n">
        <v>0</v>
      </c>
      <c r="R3390" s="2" t="inlineStr"/>
    </row>
    <row r="3391" ht="15" customHeight="1">
      <c r="A3391" t="inlineStr">
        <is>
          <t>A 2289-2021</t>
        </is>
      </c>
      <c r="B3391" s="1" t="n">
        <v>44211</v>
      </c>
      <c r="C3391" s="1" t="n">
        <v>45212</v>
      </c>
      <c r="D3391" t="inlineStr">
        <is>
          <t>VÄSTERNORRLANDS LÄN</t>
        </is>
      </c>
      <c r="E3391" t="inlineStr">
        <is>
          <t>KRAMFORS</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2487-2021</t>
        </is>
      </c>
      <c r="B3392" s="1" t="n">
        <v>44211</v>
      </c>
      <c r="C3392" s="1" t="n">
        <v>45212</v>
      </c>
      <c r="D3392" t="inlineStr">
        <is>
          <t>VÄSTERNORRLANDS LÄN</t>
        </is>
      </c>
      <c r="E3392" t="inlineStr">
        <is>
          <t>SOLLEFTEÅ</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2233-2021</t>
        </is>
      </c>
      <c r="B3393" s="1" t="n">
        <v>44211</v>
      </c>
      <c r="C3393" s="1" t="n">
        <v>45212</v>
      </c>
      <c r="D3393" t="inlineStr">
        <is>
          <t>VÄSTERNORRLANDS LÄN</t>
        </is>
      </c>
      <c r="E3393" t="inlineStr">
        <is>
          <t>SUNDSVALL</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2284-2021</t>
        </is>
      </c>
      <c r="B3394" s="1" t="n">
        <v>44211</v>
      </c>
      <c r="C3394" s="1" t="n">
        <v>45212</v>
      </c>
      <c r="D3394" t="inlineStr">
        <is>
          <t>VÄSTERNORRLANDS LÄN</t>
        </is>
      </c>
      <c r="E3394" t="inlineStr">
        <is>
          <t>TIMRÅ</t>
        </is>
      </c>
      <c r="G3394" t="n">
        <v>2.2</v>
      </c>
      <c r="H3394" t="n">
        <v>0</v>
      </c>
      <c r="I3394" t="n">
        <v>0</v>
      </c>
      <c r="J3394" t="n">
        <v>0</v>
      </c>
      <c r="K3394" t="n">
        <v>0</v>
      </c>
      <c r="L3394" t="n">
        <v>0</v>
      </c>
      <c r="M3394" t="n">
        <v>0</v>
      </c>
      <c r="N3394" t="n">
        <v>0</v>
      </c>
      <c r="O3394" t="n">
        <v>0</v>
      </c>
      <c r="P3394" t="n">
        <v>0</v>
      </c>
      <c r="Q3394" t="n">
        <v>0</v>
      </c>
      <c r="R3394" s="2" t="inlineStr"/>
    </row>
    <row r="3395" ht="15" customHeight="1">
      <c r="A3395" t="inlineStr">
        <is>
          <t>A 2461-2021</t>
        </is>
      </c>
      <c r="B3395" s="1" t="n">
        <v>44213</v>
      </c>
      <c r="C3395" s="1" t="n">
        <v>45212</v>
      </c>
      <c r="D3395" t="inlineStr">
        <is>
          <t>VÄSTERNORRLANDS LÄN</t>
        </is>
      </c>
      <c r="E3395" t="inlineStr">
        <is>
          <t>ÖRNSKÖLDSVIK</t>
        </is>
      </c>
      <c r="G3395" t="n">
        <v>16.1</v>
      </c>
      <c r="H3395" t="n">
        <v>0</v>
      </c>
      <c r="I3395" t="n">
        <v>0</v>
      </c>
      <c r="J3395" t="n">
        <v>0</v>
      </c>
      <c r="K3395" t="n">
        <v>0</v>
      </c>
      <c r="L3395" t="n">
        <v>0</v>
      </c>
      <c r="M3395" t="n">
        <v>0</v>
      </c>
      <c r="N3395" t="n">
        <v>0</v>
      </c>
      <c r="O3395" t="n">
        <v>0</v>
      </c>
      <c r="P3395" t="n">
        <v>0</v>
      </c>
      <c r="Q3395" t="n">
        <v>0</v>
      </c>
      <c r="R3395" s="2" t="inlineStr"/>
    </row>
    <row r="3396" ht="15" customHeight="1">
      <c r="A3396" t="inlineStr">
        <is>
          <t>A 2417-2021</t>
        </is>
      </c>
      <c r="B3396" s="1" t="n">
        <v>44214</v>
      </c>
      <c r="C3396" s="1" t="n">
        <v>45212</v>
      </c>
      <c r="D3396" t="inlineStr">
        <is>
          <t>VÄSTERNORRLANDS LÄN</t>
        </is>
      </c>
      <c r="E3396" t="inlineStr">
        <is>
          <t>ÖRNSKÖLDSVIK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2441-2021</t>
        </is>
      </c>
      <c r="B3397" s="1" t="n">
        <v>44214</v>
      </c>
      <c r="C3397" s="1" t="n">
        <v>45212</v>
      </c>
      <c r="D3397" t="inlineStr">
        <is>
          <t>VÄSTERNORRLANDS LÄN</t>
        </is>
      </c>
      <c r="E3397" t="inlineStr">
        <is>
          <t>ÖRNSKÖLDSVIK</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2327-2021</t>
        </is>
      </c>
      <c r="B3398" s="1" t="n">
        <v>44214</v>
      </c>
      <c r="C3398" s="1" t="n">
        <v>45212</v>
      </c>
      <c r="D3398" t="inlineStr">
        <is>
          <t>VÄSTERNORRLANDS LÄN</t>
        </is>
      </c>
      <c r="E3398" t="inlineStr">
        <is>
          <t>ÅNGE</t>
        </is>
      </c>
      <c r="G3398" t="n">
        <v>6.7</v>
      </c>
      <c r="H3398" t="n">
        <v>0</v>
      </c>
      <c r="I3398" t="n">
        <v>0</v>
      </c>
      <c r="J3398" t="n">
        <v>0</v>
      </c>
      <c r="K3398" t="n">
        <v>0</v>
      </c>
      <c r="L3398" t="n">
        <v>0</v>
      </c>
      <c r="M3398" t="n">
        <v>0</v>
      </c>
      <c r="N3398" t="n">
        <v>0</v>
      </c>
      <c r="O3398" t="n">
        <v>0</v>
      </c>
      <c r="P3398" t="n">
        <v>0</v>
      </c>
      <c r="Q3398" t="n">
        <v>0</v>
      </c>
      <c r="R3398" s="2" t="inlineStr"/>
    </row>
    <row r="3399" ht="15" customHeight="1">
      <c r="A3399" t="inlineStr">
        <is>
          <t>A 2666-2021</t>
        </is>
      </c>
      <c r="B3399" s="1" t="n">
        <v>44215</v>
      </c>
      <c r="C3399" s="1" t="n">
        <v>45212</v>
      </c>
      <c r="D3399" t="inlineStr">
        <is>
          <t>VÄSTERNORRLANDS LÄN</t>
        </is>
      </c>
      <c r="E3399" t="inlineStr">
        <is>
          <t>ÖRNSKÖLDSVIK</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2835-2021</t>
        </is>
      </c>
      <c r="B3400" s="1" t="n">
        <v>44215</v>
      </c>
      <c r="C3400" s="1" t="n">
        <v>45212</v>
      </c>
      <c r="D3400" t="inlineStr">
        <is>
          <t>VÄSTERNORRLANDS LÄN</t>
        </is>
      </c>
      <c r="E3400" t="inlineStr">
        <is>
          <t>SUNDSVALL</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2656-2021</t>
        </is>
      </c>
      <c r="B3401" s="1" t="n">
        <v>44215</v>
      </c>
      <c r="C3401" s="1" t="n">
        <v>45212</v>
      </c>
      <c r="D3401" t="inlineStr">
        <is>
          <t>VÄSTERNORRLANDS LÄN</t>
        </is>
      </c>
      <c r="E3401" t="inlineStr">
        <is>
          <t>ÖRNSKÖLDSVIK</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2677-2021</t>
        </is>
      </c>
      <c r="B3402" s="1" t="n">
        <v>44215</v>
      </c>
      <c r="C3402" s="1" t="n">
        <v>45212</v>
      </c>
      <c r="D3402" t="inlineStr">
        <is>
          <t>VÄSTERNORRLANDS LÄN</t>
        </is>
      </c>
      <c r="E3402" t="inlineStr">
        <is>
          <t>KRAMFORS</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2836-2021</t>
        </is>
      </c>
      <c r="B3403" s="1" t="n">
        <v>44215</v>
      </c>
      <c r="C3403" s="1" t="n">
        <v>45212</v>
      </c>
      <c r="D3403" t="inlineStr">
        <is>
          <t>VÄSTERNORRLANDS LÄN</t>
        </is>
      </c>
      <c r="E3403" t="inlineStr">
        <is>
          <t>SUNDSVALL</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3830-2021</t>
        </is>
      </c>
      <c r="B3404" s="1" t="n">
        <v>44216</v>
      </c>
      <c r="C3404" s="1" t="n">
        <v>45212</v>
      </c>
      <c r="D3404" t="inlineStr">
        <is>
          <t>VÄSTERNORRLANDS LÄN</t>
        </is>
      </c>
      <c r="E3404" t="inlineStr">
        <is>
          <t>KRAMFORS</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2936-2021</t>
        </is>
      </c>
      <c r="B3405" s="1" t="n">
        <v>44216</v>
      </c>
      <c r="C3405" s="1" t="n">
        <v>45212</v>
      </c>
      <c r="D3405" t="inlineStr">
        <is>
          <t>VÄSTERNORRLANDS LÄN</t>
        </is>
      </c>
      <c r="E3405" t="inlineStr">
        <is>
          <t>ÖRNSKÖLDSVIK</t>
        </is>
      </c>
      <c r="F3405" t="inlineStr">
        <is>
          <t>Holmen skog AB</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3286-2021</t>
        </is>
      </c>
      <c r="B3406" s="1" t="n">
        <v>44217</v>
      </c>
      <c r="C3406" s="1" t="n">
        <v>45212</v>
      </c>
      <c r="D3406" t="inlineStr">
        <is>
          <t>VÄSTERNORRLANDS LÄN</t>
        </is>
      </c>
      <c r="E3406" t="inlineStr">
        <is>
          <t>ÖRNSKÖLDSVIK</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3352-2021</t>
        </is>
      </c>
      <c r="B3407" s="1" t="n">
        <v>44217</v>
      </c>
      <c r="C3407" s="1" t="n">
        <v>45212</v>
      </c>
      <c r="D3407" t="inlineStr">
        <is>
          <t>VÄSTERNORRLANDS LÄN</t>
        </is>
      </c>
      <c r="E3407" t="inlineStr">
        <is>
          <t>ÅNGE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3351-2021</t>
        </is>
      </c>
      <c r="B3408" s="1" t="n">
        <v>44217</v>
      </c>
      <c r="C3408" s="1" t="n">
        <v>45212</v>
      </c>
      <c r="D3408" t="inlineStr">
        <is>
          <t>VÄSTERNORRLANDS LÄN</t>
        </is>
      </c>
      <c r="E3408" t="inlineStr">
        <is>
          <t>SUNDSVALL</t>
        </is>
      </c>
      <c r="F3408" t="inlineStr">
        <is>
          <t>SCA</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3441-2021</t>
        </is>
      </c>
      <c r="B3409" s="1" t="n">
        <v>44218</v>
      </c>
      <c r="C3409" s="1" t="n">
        <v>45212</v>
      </c>
      <c r="D3409" t="inlineStr">
        <is>
          <t>VÄSTERNORRLANDS LÄN</t>
        </is>
      </c>
      <c r="E3409" t="inlineStr">
        <is>
          <t>SOLLEFTEÅ</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4172-2021</t>
        </is>
      </c>
      <c r="B3410" s="1" t="n">
        <v>44218</v>
      </c>
      <c r="C3410" s="1" t="n">
        <v>45212</v>
      </c>
      <c r="D3410" t="inlineStr">
        <is>
          <t>VÄSTERNORRLANDS LÄN</t>
        </is>
      </c>
      <c r="E3410" t="inlineStr">
        <is>
          <t>ÖRNSKÖLDSVIK</t>
        </is>
      </c>
      <c r="F3410" t="inlineStr">
        <is>
          <t>Kyrkan</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3604-2021</t>
        </is>
      </c>
      <c r="B3411" s="1" t="n">
        <v>44221</v>
      </c>
      <c r="C3411" s="1" t="n">
        <v>45212</v>
      </c>
      <c r="D3411" t="inlineStr">
        <is>
          <t>VÄSTERNORRLANDS LÄN</t>
        </is>
      </c>
      <c r="E3411" t="inlineStr">
        <is>
          <t>ÖRNSKÖLDSVIK</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3813-2021</t>
        </is>
      </c>
      <c r="B3412" s="1" t="n">
        <v>44221</v>
      </c>
      <c r="C3412" s="1" t="n">
        <v>45212</v>
      </c>
      <c r="D3412" t="inlineStr">
        <is>
          <t>VÄSTERNORRLANDS LÄN</t>
        </is>
      </c>
      <c r="E3412" t="inlineStr">
        <is>
          <t>HÄRNÖSAND</t>
        </is>
      </c>
      <c r="F3412" t="inlineStr">
        <is>
          <t>Kyrkan</t>
        </is>
      </c>
      <c r="G3412" t="n">
        <v>3.9</v>
      </c>
      <c r="H3412" t="n">
        <v>0</v>
      </c>
      <c r="I3412" t="n">
        <v>0</v>
      </c>
      <c r="J3412" t="n">
        <v>0</v>
      </c>
      <c r="K3412" t="n">
        <v>0</v>
      </c>
      <c r="L3412" t="n">
        <v>0</v>
      </c>
      <c r="M3412" t="n">
        <v>0</v>
      </c>
      <c r="N3412" t="n">
        <v>0</v>
      </c>
      <c r="O3412" t="n">
        <v>0</v>
      </c>
      <c r="P3412" t="n">
        <v>0</v>
      </c>
      <c r="Q3412" t="n">
        <v>0</v>
      </c>
      <c r="R3412" s="2" t="inlineStr"/>
    </row>
    <row r="3413" ht="15" customHeight="1">
      <c r="A3413" t="inlineStr">
        <is>
          <t>A 4002-2021</t>
        </is>
      </c>
      <c r="B3413" s="1" t="n">
        <v>44221</v>
      </c>
      <c r="C3413" s="1" t="n">
        <v>45212</v>
      </c>
      <c r="D3413" t="inlineStr">
        <is>
          <t>VÄSTERNORRLANDS LÄN</t>
        </is>
      </c>
      <c r="E3413" t="inlineStr">
        <is>
          <t>ÖRNSKÖLDSVIK</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4043-2021</t>
        </is>
      </c>
      <c r="B3414" s="1" t="n">
        <v>44221</v>
      </c>
      <c r="C3414" s="1" t="n">
        <v>45212</v>
      </c>
      <c r="D3414" t="inlineStr">
        <is>
          <t>VÄSTERNORRLANDS LÄN</t>
        </is>
      </c>
      <c r="E3414" t="inlineStr">
        <is>
          <t>ÖRNSKÖLDSVIK</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3811-2021</t>
        </is>
      </c>
      <c r="B3415" s="1" t="n">
        <v>44221</v>
      </c>
      <c r="C3415" s="1" t="n">
        <v>45212</v>
      </c>
      <c r="D3415" t="inlineStr">
        <is>
          <t>VÄSTERNORRLANDS LÄN</t>
        </is>
      </c>
      <c r="E3415" t="inlineStr">
        <is>
          <t>SUNDSVALL</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3820-2021</t>
        </is>
      </c>
      <c r="B3416" s="1" t="n">
        <v>44221</v>
      </c>
      <c r="C3416" s="1" t="n">
        <v>45212</v>
      </c>
      <c r="D3416" t="inlineStr">
        <is>
          <t>VÄSTERNORRLANDS LÄN</t>
        </is>
      </c>
      <c r="E3416" t="inlineStr">
        <is>
          <t>HÄRNÖSAND</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4052-2021</t>
        </is>
      </c>
      <c r="B3417" s="1" t="n">
        <v>44221</v>
      </c>
      <c r="C3417" s="1" t="n">
        <v>45212</v>
      </c>
      <c r="D3417" t="inlineStr">
        <is>
          <t>VÄSTERNORRLANDS LÄN</t>
        </is>
      </c>
      <c r="E3417" t="inlineStr">
        <is>
          <t>ÖRNSKÖLDSVIK</t>
        </is>
      </c>
      <c r="G3417" t="n">
        <v>2.4</v>
      </c>
      <c r="H3417" t="n">
        <v>0</v>
      </c>
      <c r="I3417" t="n">
        <v>0</v>
      </c>
      <c r="J3417" t="n">
        <v>0</v>
      </c>
      <c r="K3417" t="n">
        <v>0</v>
      </c>
      <c r="L3417" t="n">
        <v>0</v>
      </c>
      <c r="M3417" t="n">
        <v>0</v>
      </c>
      <c r="N3417" t="n">
        <v>0</v>
      </c>
      <c r="O3417" t="n">
        <v>0</v>
      </c>
      <c r="P3417" t="n">
        <v>0</v>
      </c>
      <c r="Q3417" t="n">
        <v>0</v>
      </c>
      <c r="R3417" s="2" t="inlineStr"/>
    </row>
    <row r="3418" ht="15" customHeight="1">
      <c r="A3418" t="inlineStr">
        <is>
          <t>A 4365-2021</t>
        </is>
      </c>
      <c r="B3418" s="1" t="n">
        <v>44221</v>
      </c>
      <c r="C3418" s="1" t="n">
        <v>45212</v>
      </c>
      <c r="D3418" t="inlineStr">
        <is>
          <t>VÄSTERNORRLANDS LÄN</t>
        </is>
      </c>
      <c r="E3418" t="inlineStr">
        <is>
          <t>SUNDSVALL</t>
        </is>
      </c>
      <c r="F3418" t="inlineStr">
        <is>
          <t>Kommuner</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4123-2021</t>
        </is>
      </c>
      <c r="B3419" s="1" t="n">
        <v>44222</v>
      </c>
      <c r="C3419" s="1" t="n">
        <v>45212</v>
      </c>
      <c r="D3419" t="inlineStr">
        <is>
          <t>VÄSTERNORRLANDS LÄN</t>
        </is>
      </c>
      <c r="E3419" t="inlineStr">
        <is>
          <t>SUNDSVALL</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4118-2021</t>
        </is>
      </c>
      <c r="B3420" s="1" t="n">
        <v>44222</v>
      </c>
      <c r="C3420" s="1" t="n">
        <v>45212</v>
      </c>
      <c r="D3420" t="inlineStr">
        <is>
          <t>VÄSTERNORRLANDS LÄN</t>
        </is>
      </c>
      <c r="E3420" t="inlineStr">
        <is>
          <t>HÄRNÖSAND</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4127-2021</t>
        </is>
      </c>
      <c r="B3421" s="1" t="n">
        <v>44222</v>
      </c>
      <c r="C3421" s="1" t="n">
        <v>45212</v>
      </c>
      <c r="D3421" t="inlineStr">
        <is>
          <t>VÄSTERNORRLANDS LÄN</t>
        </is>
      </c>
      <c r="E3421" t="inlineStr">
        <is>
          <t>SOLLEFTEÅ</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3824-2021</t>
        </is>
      </c>
      <c r="B3422" s="1" t="n">
        <v>44222</v>
      </c>
      <c r="C3422" s="1" t="n">
        <v>45212</v>
      </c>
      <c r="D3422" t="inlineStr">
        <is>
          <t>VÄSTERNORRLANDS LÄN</t>
        </is>
      </c>
      <c r="E3422" t="inlineStr">
        <is>
          <t>SUNDSVALL</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4124-2021</t>
        </is>
      </c>
      <c r="B3423" s="1" t="n">
        <v>44222</v>
      </c>
      <c r="C3423" s="1" t="n">
        <v>45212</v>
      </c>
      <c r="D3423" t="inlineStr">
        <is>
          <t>VÄSTERNORRLANDS LÄN</t>
        </is>
      </c>
      <c r="E3423" t="inlineStr">
        <is>
          <t>ÖRNSKÖLDSVIK</t>
        </is>
      </c>
      <c r="F3423" t="inlineStr">
        <is>
          <t>SCA</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4057-2021</t>
        </is>
      </c>
      <c r="B3424" s="1" t="n">
        <v>44222</v>
      </c>
      <c r="C3424" s="1" t="n">
        <v>45212</v>
      </c>
      <c r="D3424" t="inlineStr">
        <is>
          <t>VÄSTERNORRLANDS LÄN</t>
        </is>
      </c>
      <c r="E3424" t="inlineStr">
        <is>
          <t>KRAMFORS</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4125-2021</t>
        </is>
      </c>
      <c r="B3425" s="1" t="n">
        <v>44222</v>
      </c>
      <c r="C3425" s="1" t="n">
        <v>45212</v>
      </c>
      <c r="D3425" t="inlineStr">
        <is>
          <t>VÄSTERNORRLANDS LÄN</t>
        </is>
      </c>
      <c r="E3425" t="inlineStr">
        <is>
          <t>ÖRNSKÖLDSVIK</t>
        </is>
      </c>
      <c r="F3425" t="inlineStr">
        <is>
          <t>SCA</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4520-2021</t>
        </is>
      </c>
      <c r="B3426" s="1" t="n">
        <v>44223</v>
      </c>
      <c r="C3426" s="1" t="n">
        <v>45212</v>
      </c>
      <c r="D3426" t="inlineStr">
        <is>
          <t>VÄSTERNORRLANDS LÄN</t>
        </is>
      </c>
      <c r="E3426" t="inlineStr">
        <is>
          <t>ÖRNSKÖLDSVIK</t>
        </is>
      </c>
      <c r="G3426" t="n">
        <v>4.3</v>
      </c>
      <c r="H3426" t="n">
        <v>0</v>
      </c>
      <c r="I3426" t="n">
        <v>0</v>
      </c>
      <c r="J3426" t="n">
        <v>0</v>
      </c>
      <c r="K3426" t="n">
        <v>0</v>
      </c>
      <c r="L3426" t="n">
        <v>0</v>
      </c>
      <c r="M3426" t="n">
        <v>0</v>
      </c>
      <c r="N3426" t="n">
        <v>0</v>
      </c>
      <c r="O3426" t="n">
        <v>0</v>
      </c>
      <c r="P3426" t="n">
        <v>0</v>
      </c>
      <c r="Q3426" t="n">
        <v>0</v>
      </c>
      <c r="R3426" s="2" t="inlineStr"/>
    </row>
    <row r="3427" ht="15" customHeight="1">
      <c r="A3427" t="inlineStr">
        <is>
          <t>A 4659-2021</t>
        </is>
      </c>
      <c r="B3427" s="1" t="n">
        <v>44224</v>
      </c>
      <c r="C3427" s="1" t="n">
        <v>45212</v>
      </c>
      <c r="D3427" t="inlineStr">
        <is>
          <t>VÄSTERNORRLANDS LÄN</t>
        </is>
      </c>
      <c r="E3427" t="inlineStr">
        <is>
          <t>SUNDSVALL</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4664-2021</t>
        </is>
      </c>
      <c r="B3428" s="1" t="n">
        <v>44224</v>
      </c>
      <c r="C3428" s="1" t="n">
        <v>45212</v>
      </c>
      <c r="D3428" t="inlineStr">
        <is>
          <t>VÄSTERNORRLANDS LÄN</t>
        </is>
      </c>
      <c r="E3428" t="inlineStr">
        <is>
          <t>KRAMFORS</t>
        </is>
      </c>
      <c r="F3428" t="inlineStr">
        <is>
          <t>SCA</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4760-2021</t>
        </is>
      </c>
      <c r="B3429" s="1" t="n">
        <v>44225</v>
      </c>
      <c r="C3429" s="1" t="n">
        <v>45212</v>
      </c>
      <c r="D3429" t="inlineStr">
        <is>
          <t>VÄSTERNORRLANDS LÄN</t>
        </is>
      </c>
      <c r="E3429" t="inlineStr">
        <is>
          <t>SUNDSVALL</t>
        </is>
      </c>
      <c r="F3429" t="inlineStr">
        <is>
          <t>Kommuner</t>
        </is>
      </c>
      <c r="G3429" t="n">
        <v>5.5</v>
      </c>
      <c r="H3429" t="n">
        <v>0</v>
      </c>
      <c r="I3429" t="n">
        <v>0</v>
      </c>
      <c r="J3429" t="n">
        <v>0</v>
      </c>
      <c r="K3429" t="n">
        <v>0</v>
      </c>
      <c r="L3429" t="n">
        <v>0</v>
      </c>
      <c r="M3429" t="n">
        <v>0</v>
      </c>
      <c r="N3429" t="n">
        <v>0</v>
      </c>
      <c r="O3429" t="n">
        <v>0</v>
      </c>
      <c r="P3429" t="n">
        <v>0</v>
      </c>
      <c r="Q3429" t="n">
        <v>0</v>
      </c>
      <c r="R3429" s="2" t="inlineStr"/>
    </row>
    <row r="3430" ht="15" customHeight="1">
      <c r="A3430" t="inlineStr">
        <is>
          <t>A 5276-2021</t>
        </is>
      </c>
      <c r="B3430" s="1" t="n">
        <v>44225</v>
      </c>
      <c r="C3430" s="1" t="n">
        <v>45212</v>
      </c>
      <c r="D3430" t="inlineStr">
        <is>
          <t>VÄSTERNORRLANDS LÄN</t>
        </is>
      </c>
      <c r="E3430" t="inlineStr">
        <is>
          <t>ÖRNSKÖLDSVIK</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5002-2021</t>
        </is>
      </c>
      <c r="B3431" s="1" t="n">
        <v>44225</v>
      </c>
      <c r="C3431" s="1" t="n">
        <v>45212</v>
      </c>
      <c r="D3431" t="inlineStr">
        <is>
          <t>VÄSTERNORRLANDS LÄN</t>
        </is>
      </c>
      <c r="E3431" t="inlineStr">
        <is>
          <t>ÖRNSKÖLDSVIK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5209-2021</t>
        </is>
      </c>
      <c r="B3432" s="1" t="n">
        <v>44228</v>
      </c>
      <c r="C3432" s="1" t="n">
        <v>45212</v>
      </c>
      <c r="D3432" t="inlineStr">
        <is>
          <t>VÄSTERNORRLANDS LÄN</t>
        </is>
      </c>
      <c r="E3432" t="inlineStr">
        <is>
          <t>KRAMFORS</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5210-2021</t>
        </is>
      </c>
      <c r="B3433" s="1" t="n">
        <v>44228</v>
      </c>
      <c r="C3433" s="1" t="n">
        <v>45212</v>
      </c>
      <c r="D3433" t="inlineStr">
        <is>
          <t>VÄSTERNORRLANDS LÄN</t>
        </is>
      </c>
      <c r="E3433" t="inlineStr">
        <is>
          <t>KRAMFORS</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5227-2021</t>
        </is>
      </c>
      <c r="B3434" s="1" t="n">
        <v>44228</v>
      </c>
      <c r="C3434" s="1" t="n">
        <v>45212</v>
      </c>
      <c r="D3434" t="inlineStr">
        <is>
          <t>VÄSTERNORRLANDS LÄN</t>
        </is>
      </c>
      <c r="E3434" t="inlineStr">
        <is>
          <t>ÖRNSKÖLDSVIK</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5638-2021</t>
        </is>
      </c>
      <c r="B3435" s="1" t="n">
        <v>44229</v>
      </c>
      <c r="C3435" s="1" t="n">
        <v>45212</v>
      </c>
      <c r="D3435" t="inlineStr">
        <is>
          <t>VÄSTERNORRLANDS LÄN</t>
        </is>
      </c>
      <c r="E3435" t="inlineStr">
        <is>
          <t>HÄRNÖSAND</t>
        </is>
      </c>
      <c r="F3435" t="inlineStr">
        <is>
          <t>Kyrkan</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5684-2021</t>
        </is>
      </c>
      <c r="B3436" s="1" t="n">
        <v>44229</v>
      </c>
      <c r="C3436" s="1" t="n">
        <v>45212</v>
      </c>
      <c r="D3436" t="inlineStr">
        <is>
          <t>VÄSTERNORRLANDS LÄN</t>
        </is>
      </c>
      <c r="E3436" t="inlineStr">
        <is>
          <t>KRAMFORS</t>
        </is>
      </c>
      <c r="F3436" t="inlineStr">
        <is>
          <t>Kyrkan</t>
        </is>
      </c>
      <c r="G3436" t="n">
        <v>1.9</v>
      </c>
      <c r="H3436" t="n">
        <v>0</v>
      </c>
      <c r="I3436" t="n">
        <v>0</v>
      </c>
      <c r="J3436" t="n">
        <v>0</v>
      </c>
      <c r="K3436" t="n">
        <v>0</v>
      </c>
      <c r="L3436" t="n">
        <v>0</v>
      </c>
      <c r="M3436" t="n">
        <v>0</v>
      </c>
      <c r="N3436" t="n">
        <v>0</v>
      </c>
      <c r="O3436" t="n">
        <v>0</v>
      </c>
      <c r="P3436" t="n">
        <v>0</v>
      </c>
      <c r="Q3436" t="n">
        <v>0</v>
      </c>
      <c r="R3436" s="2" t="inlineStr"/>
    </row>
    <row r="3437" ht="15" customHeight="1">
      <c r="A3437" t="inlineStr">
        <is>
          <t>A 5799-2021</t>
        </is>
      </c>
      <c r="B3437" s="1" t="n">
        <v>44230</v>
      </c>
      <c r="C3437" s="1" t="n">
        <v>45212</v>
      </c>
      <c r="D3437" t="inlineStr">
        <is>
          <t>VÄSTERNORRLANDS LÄN</t>
        </is>
      </c>
      <c r="E3437" t="inlineStr">
        <is>
          <t>SUNDSVALL</t>
        </is>
      </c>
      <c r="F3437" t="inlineStr">
        <is>
          <t>SCA</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5797-2021</t>
        </is>
      </c>
      <c r="B3438" s="1" t="n">
        <v>44230</v>
      </c>
      <c r="C3438" s="1" t="n">
        <v>45212</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5798-2021</t>
        </is>
      </c>
      <c r="B3439" s="1" t="n">
        <v>44230</v>
      </c>
      <c r="C3439" s="1" t="n">
        <v>45212</v>
      </c>
      <c r="D3439" t="inlineStr">
        <is>
          <t>VÄSTERNORRLANDS LÄN</t>
        </is>
      </c>
      <c r="E3439" t="inlineStr">
        <is>
          <t>SUNDSVALL</t>
        </is>
      </c>
      <c r="F3439" t="inlineStr">
        <is>
          <t>SCA</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5822-2021</t>
        </is>
      </c>
      <c r="B3440" s="1" t="n">
        <v>44230</v>
      </c>
      <c r="C3440" s="1" t="n">
        <v>45212</v>
      </c>
      <c r="D3440" t="inlineStr">
        <is>
          <t>VÄSTERNORRLANDS LÄN</t>
        </is>
      </c>
      <c r="E3440" t="inlineStr">
        <is>
          <t>ÅNGE</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5891-2021</t>
        </is>
      </c>
      <c r="B3441" s="1" t="n">
        <v>44231</v>
      </c>
      <c r="C3441" s="1" t="n">
        <v>45212</v>
      </c>
      <c r="D3441" t="inlineStr">
        <is>
          <t>VÄSTERNORRLANDS LÄN</t>
        </is>
      </c>
      <c r="E3441" t="inlineStr">
        <is>
          <t>ÖRNSKÖLDSVIK</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5989-2021</t>
        </is>
      </c>
      <c r="B3442" s="1" t="n">
        <v>44231</v>
      </c>
      <c r="C3442" s="1" t="n">
        <v>45212</v>
      </c>
      <c r="D3442" t="inlineStr">
        <is>
          <t>VÄSTERNORRLANDS LÄN</t>
        </is>
      </c>
      <c r="E3442" t="inlineStr">
        <is>
          <t>SOLLEFTEÅ</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6005-2021</t>
        </is>
      </c>
      <c r="B3443" s="1" t="n">
        <v>44231</v>
      </c>
      <c r="C3443" s="1" t="n">
        <v>45212</v>
      </c>
      <c r="D3443" t="inlineStr">
        <is>
          <t>VÄSTERNORRLANDS LÄN</t>
        </is>
      </c>
      <c r="E3443" t="inlineStr">
        <is>
          <t>ÖRNSKÖLDSVIK</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6009-2021</t>
        </is>
      </c>
      <c r="B3444" s="1" t="n">
        <v>44231</v>
      </c>
      <c r="C3444" s="1" t="n">
        <v>45212</v>
      </c>
      <c r="D3444" t="inlineStr">
        <is>
          <t>VÄSTERNORRLANDS LÄN</t>
        </is>
      </c>
      <c r="E3444" t="inlineStr">
        <is>
          <t>SUNDSVALL</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6220-2021</t>
        </is>
      </c>
      <c r="B3445" s="1" t="n">
        <v>44232</v>
      </c>
      <c r="C3445" s="1" t="n">
        <v>45212</v>
      </c>
      <c r="D3445" t="inlineStr">
        <is>
          <t>VÄSTERNORRLANDS LÄN</t>
        </is>
      </c>
      <c r="E3445" t="inlineStr">
        <is>
          <t>SUNDSVALL</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6326-2021</t>
        </is>
      </c>
      <c r="B3446" s="1" t="n">
        <v>44232</v>
      </c>
      <c r="C3446" s="1" t="n">
        <v>45212</v>
      </c>
      <c r="D3446" t="inlineStr">
        <is>
          <t>VÄSTERNORRLANDS LÄN</t>
        </is>
      </c>
      <c r="E3446" t="inlineStr">
        <is>
          <t>ÖRNSKÖLDSVIK</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6492-2021</t>
        </is>
      </c>
      <c r="B3447" s="1" t="n">
        <v>44235</v>
      </c>
      <c r="C3447" s="1" t="n">
        <v>45212</v>
      </c>
      <c r="D3447" t="inlineStr">
        <is>
          <t>VÄSTERNORRLANDS LÄN</t>
        </is>
      </c>
      <c r="E3447" t="inlineStr">
        <is>
          <t>KRAMFORS</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6224-2021</t>
        </is>
      </c>
      <c r="B3448" s="1" t="n">
        <v>44235</v>
      </c>
      <c r="C3448" s="1" t="n">
        <v>45212</v>
      </c>
      <c r="D3448" t="inlineStr">
        <is>
          <t>VÄSTERNORRLANDS LÄN</t>
        </is>
      </c>
      <c r="E3448" t="inlineStr">
        <is>
          <t>ÖRNSKÖLDSVIK</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6487-2021</t>
        </is>
      </c>
      <c r="B3449" s="1" t="n">
        <v>44235</v>
      </c>
      <c r="C3449" s="1" t="n">
        <v>45212</v>
      </c>
      <c r="D3449" t="inlineStr">
        <is>
          <t>VÄSTERNORRLANDS LÄN</t>
        </is>
      </c>
      <c r="E3449" t="inlineStr">
        <is>
          <t>ÅNGE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6708-2021</t>
        </is>
      </c>
      <c r="B3450" s="1" t="n">
        <v>44236</v>
      </c>
      <c r="C3450" s="1" t="n">
        <v>45212</v>
      </c>
      <c r="D3450" t="inlineStr">
        <is>
          <t>VÄSTERNORRLANDS LÄN</t>
        </is>
      </c>
      <c r="E3450" t="inlineStr">
        <is>
          <t>SUNDSVALL</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6805-2021</t>
        </is>
      </c>
      <c r="B3451" s="1" t="n">
        <v>44236</v>
      </c>
      <c r="C3451" s="1" t="n">
        <v>45212</v>
      </c>
      <c r="D3451" t="inlineStr">
        <is>
          <t>VÄSTERNORRLANDS LÄN</t>
        </is>
      </c>
      <c r="E3451" t="inlineStr">
        <is>
          <t>ÅNGE</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6571-2021</t>
        </is>
      </c>
      <c r="B3452" s="1" t="n">
        <v>44236</v>
      </c>
      <c r="C3452" s="1" t="n">
        <v>45212</v>
      </c>
      <c r="D3452" t="inlineStr">
        <is>
          <t>VÄSTERNORRLANDS LÄN</t>
        </is>
      </c>
      <c r="E3452" t="inlineStr">
        <is>
          <t>ÖRNSKÖLDSVIK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7143-2021</t>
        </is>
      </c>
      <c r="B3453" s="1" t="n">
        <v>44237</v>
      </c>
      <c r="C3453" s="1" t="n">
        <v>45212</v>
      </c>
      <c r="D3453" t="inlineStr">
        <is>
          <t>VÄSTERNORRLANDS LÄN</t>
        </is>
      </c>
      <c r="E3453" t="inlineStr">
        <is>
          <t>ÖRNSKÖLDSVIK</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6938-2021</t>
        </is>
      </c>
      <c r="B3454" s="1" t="n">
        <v>44237</v>
      </c>
      <c r="C3454" s="1" t="n">
        <v>45212</v>
      </c>
      <c r="D3454" t="inlineStr">
        <is>
          <t>VÄSTERNORRLANDS LÄN</t>
        </is>
      </c>
      <c r="E3454" t="inlineStr">
        <is>
          <t>KRAMFORS</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7367-2021</t>
        </is>
      </c>
      <c r="B3455" s="1" t="n">
        <v>44237</v>
      </c>
      <c r="C3455" s="1" t="n">
        <v>45212</v>
      </c>
      <c r="D3455" t="inlineStr">
        <is>
          <t>VÄSTERNORRLANDS LÄN</t>
        </is>
      </c>
      <c r="E3455" t="inlineStr">
        <is>
          <t>TIMRÅ</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8057-2021</t>
        </is>
      </c>
      <c r="B3456" s="1" t="n">
        <v>44238</v>
      </c>
      <c r="C3456" s="1" t="n">
        <v>45212</v>
      </c>
      <c r="D3456" t="inlineStr">
        <is>
          <t>VÄSTERNORRLANDS LÄN</t>
        </is>
      </c>
      <c r="E3456" t="inlineStr">
        <is>
          <t>ÅNGE</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7506-2021</t>
        </is>
      </c>
      <c r="B3457" s="1" t="n">
        <v>44239</v>
      </c>
      <c r="C3457" s="1" t="n">
        <v>45212</v>
      </c>
      <c r="D3457" t="inlineStr">
        <is>
          <t>VÄSTERNORRLANDS LÄN</t>
        </is>
      </c>
      <c r="E3457" t="inlineStr">
        <is>
          <t>ÖRNSKÖLDSVIK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7505-2021</t>
        </is>
      </c>
      <c r="B3458" s="1" t="n">
        <v>44239</v>
      </c>
      <c r="C3458" s="1" t="n">
        <v>45212</v>
      </c>
      <c r="D3458" t="inlineStr">
        <is>
          <t>VÄSTERNORRLANDS LÄN</t>
        </is>
      </c>
      <c r="E3458" t="inlineStr">
        <is>
          <t>ÖRNSKÖLDSVIK</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7588-2021</t>
        </is>
      </c>
      <c r="B3459" s="1" t="n">
        <v>44240</v>
      </c>
      <c r="C3459" s="1" t="n">
        <v>45212</v>
      </c>
      <c r="D3459" t="inlineStr">
        <is>
          <t>VÄSTERNORRLANDS LÄN</t>
        </is>
      </c>
      <c r="E3459" t="inlineStr">
        <is>
          <t>ÖRNSKÖLDSVIK</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7659-2021</t>
        </is>
      </c>
      <c r="B3460" s="1" t="n">
        <v>44242</v>
      </c>
      <c r="C3460" s="1" t="n">
        <v>45212</v>
      </c>
      <c r="D3460" t="inlineStr">
        <is>
          <t>VÄSTERNORRLANDS LÄN</t>
        </is>
      </c>
      <c r="E3460" t="inlineStr">
        <is>
          <t>SOLLEFTEÅ</t>
        </is>
      </c>
      <c r="G3460" t="n">
        <v>8.1</v>
      </c>
      <c r="H3460" t="n">
        <v>0</v>
      </c>
      <c r="I3460" t="n">
        <v>0</v>
      </c>
      <c r="J3460" t="n">
        <v>0</v>
      </c>
      <c r="K3460" t="n">
        <v>0</v>
      </c>
      <c r="L3460" t="n">
        <v>0</v>
      </c>
      <c r="M3460" t="n">
        <v>0</v>
      </c>
      <c r="N3460" t="n">
        <v>0</v>
      </c>
      <c r="O3460" t="n">
        <v>0</v>
      </c>
      <c r="P3460" t="n">
        <v>0</v>
      </c>
      <c r="Q3460" t="n">
        <v>0</v>
      </c>
      <c r="R3460" s="2" t="inlineStr"/>
    </row>
    <row r="3461" ht="15" customHeight="1">
      <c r="A3461" t="inlineStr">
        <is>
          <t>A 7857-2021</t>
        </is>
      </c>
      <c r="B3461" s="1" t="n">
        <v>44242</v>
      </c>
      <c r="C3461" s="1" t="n">
        <v>45212</v>
      </c>
      <c r="D3461" t="inlineStr">
        <is>
          <t>VÄSTERNORRLANDS LÄN</t>
        </is>
      </c>
      <c r="E3461" t="inlineStr">
        <is>
          <t>ÅNGE</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7862-2021</t>
        </is>
      </c>
      <c r="B3462" s="1" t="n">
        <v>44242</v>
      </c>
      <c r="C3462" s="1" t="n">
        <v>45212</v>
      </c>
      <c r="D3462" t="inlineStr">
        <is>
          <t>VÄSTERNORRLANDS LÄN</t>
        </is>
      </c>
      <c r="E3462" t="inlineStr">
        <is>
          <t>ÖRNSKÖLDSVIK</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7879-2021</t>
        </is>
      </c>
      <c r="B3463" s="1" t="n">
        <v>44242</v>
      </c>
      <c r="C3463" s="1" t="n">
        <v>45212</v>
      </c>
      <c r="D3463" t="inlineStr">
        <is>
          <t>VÄSTERNORRLANDS LÄN</t>
        </is>
      </c>
      <c r="E3463" t="inlineStr">
        <is>
          <t>SUNDSVALL</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7899-2021</t>
        </is>
      </c>
      <c r="B3464" s="1" t="n">
        <v>44242</v>
      </c>
      <c r="C3464" s="1" t="n">
        <v>45212</v>
      </c>
      <c r="D3464" t="inlineStr">
        <is>
          <t>VÄSTERNORRLANDS LÄN</t>
        </is>
      </c>
      <c r="E3464" t="inlineStr">
        <is>
          <t>SUNDSVALL</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7875-2021</t>
        </is>
      </c>
      <c r="B3465" s="1" t="n">
        <v>44242</v>
      </c>
      <c r="C3465" s="1" t="n">
        <v>45212</v>
      </c>
      <c r="D3465" t="inlineStr">
        <is>
          <t>VÄSTERNORRLANDS LÄN</t>
        </is>
      </c>
      <c r="E3465" t="inlineStr">
        <is>
          <t>SUNDSVALL</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7906-2021</t>
        </is>
      </c>
      <c r="B3466" s="1" t="n">
        <v>44242</v>
      </c>
      <c r="C3466" s="1" t="n">
        <v>45212</v>
      </c>
      <c r="D3466" t="inlineStr">
        <is>
          <t>VÄSTERNORRLANDS LÄN</t>
        </is>
      </c>
      <c r="E3466" t="inlineStr">
        <is>
          <t>HÄRNÖSAND</t>
        </is>
      </c>
      <c r="G3466" t="n">
        <v>20</v>
      </c>
      <c r="H3466" t="n">
        <v>0</v>
      </c>
      <c r="I3466" t="n">
        <v>0</v>
      </c>
      <c r="J3466" t="n">
        <v>0</v>
      </c>
      <c r="K3466" t="n">
        <v>0</v>
      </c>
      <c r="L3466" t="n">
        <v>0</v>
      </c>
      <c r="M3466" t="n">
        <v>0</v>
      </c>
      <c r="N3466" t="n">
        <v>0</v>
      </c>
      <c r="O3466" t="n">
        <v>0</v>
      </c>
      <c r="P3466" t="n">
        <v>0</v>
      </c>
      <c r="Q3466" t="n">
        <v>0</v>
      </c>
      <c r="R3466" s="2" t="inlineStr"/>
    </row>
    <row r="3467" ht="15" customHeight="1">
      <c r="A3467" t="inlineStr">
        <is>
          <t>A 7878-2021</t>
        </is>
      </c>
      <c r="B3467" s="1" t="n">
        <v>44242</v>
      </c>
      <c r="C3467" s="1" t="n">
        <v>45212</v>
      </c>
      <c r="D3467" t="inlineStr">
        <is>
          <t>VÄSTERNORRLANDS LÄN</t>
        </is>
      </c>
      <c r="E3467" t="inlineStr">
        <is>
          <t>SUNDSVALL</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7889-2021</t>
        </is>
      </c>
      <c r="B3468" s="1" t="n">
        <v>44242</v>
      </c>
      <c r="C3468" s="1" t="n">
        <v>45212</v>
      </c>
      <c r="D3468" t="inlineStr">
        <is>
          <t>VÄSTERNORRLANDS LÄN</t>
        </is>
      </c>
      <c r="E3468" t="inlineStr">
        <is>
          <t>SOLLEFTEÅ</t>
        </is>
      </c>
      <c r="F3468" t="inlineStr">
        <is>
          <t>SCA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8078-2021</t>
        </is>
      </c>
      <c r="B3469" s="1" t="n">
        <v>44243</v>
      </c>
      <c r="C3469" s="1" t="n">
        <v>45212</v>
      </c>
      <c r="D3469" t="inlineStr">
        <is>
          <t>VÄSTERNORRLANDS LÄN</t>
        </is>
      </c>
      <c r="E3469" t="inlineStr">
        <is>
          <t>KRAMFORS</t>
        </is>
      </c>
      <c r="G3469" t="n">
        <v>27.7</v>
      </c>
      <c r="H3469" t="n">
        <v>0</v>
      </c>
      <c r="I3469" t="n">
        <v>0</v>
      </c>
      <c r="J3469" t="n">
        <v>0</v>
      </c>
      <c r="K3469" t="n">
        <v>0</v>
      </c>
      <c r="L3469" t="n">
        <v>0</v>
      </c>
      <c r="M3469" t="n">
        <v>0</v>
      </c>
      <c r="N3469" t="n">
        <v>0</v>
      </c>
      <c r="O3469" t="n">
        <v>0</v>
      </c>
      <c r="P3469" t="n">
        <v>0</v>
      </c>
      <c r="Q3469" t="n">
        <v>0</v>
      </c>
      <c r="R3469" s="2" t="inlineStr"/>
    </row>
    <row r="3470" ht="15" customHeight="1">
      <c r="A3470" t="inlineStr">
        <is>
          <t>A 8200-2021</t>
        </is>
      </c>
      <c r="B3470" s="1" t="n">
        <v>44243</v>
      </c>
      <c r="C3470" s="1" t="n">
        <v>45212</v>
      </c>
      <c r="D3470" t="inlineStr">
        <is>
          <t>VÄSTERNORRLANDS LÄN</t>
        </is>
      </c>
      <c r="E3470" t="inlineStr">
        <is>
          <t>KRAMFORS</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8068-2021</t>
        </is>
      </c>
      <c r="B3471" s="1" t="n">
        <v>44243</v>
      </c>
      <c r="C3471" s="1" t="n">
        <v>45212</v>
      </c>
      <c r="D3471" t="inlineStr">
        <is>
          <t>VÄSTERNORRLANDS LÄN</t>
        </is>
      </c>
      <c r="E3471" t="inlineStr">
        <is>
          <t>KRAMFORS</t>
        </is>
      </c>
      <c r="G3471" t="n">
        <v>10.4</v>
      </c>
      <c r="H3471" t="n">
        <v>0</v>
      </c>
      <c r="I3471" t="n">
        <v>0</v>
      </c>
      <c r="J3471" t="n">
        <v>0</v>
      </c>
      <c r="K3471" t="n">
        <v>0</v>
      </c>
      <c r="L3471" t="n">
        <v>0</v>
      </c>
      <c r="M3471" t="n">
        <v>0</v>
      </c>
      <c r="N3471" t="n">
        <v>0</v>
      </c>
      <c r="O3471" t="n">
        <v>0</v>
      </c>
      <c r="P3471" t="n">
        <v>0</v>
      </c>
      <c r="Q3471" t="n">
        <v>0</v>
      </c>
      <c r="R3471" s="2" t="inlineStr"/>
    </row>
    <row r="3472" ht="15" customHeight="1">
      <c r="A3472" t="inlineStr">
        <is>
          <t>A 8298-2021</t>
        </is>
      </c>
      <c r="B3472" s="1" t="n">
        <v>44244</v>
      </c>
      <c r="C3472" s="1" t="n">
        <v>45212</v>
      </c>
      <c r="D3472" t="inlineStr">
        <is>
          <t>VÄSTERNORRLANDS LÄN</t>
        </is>
      </c>
      <c r="E3472" t="inlineStr">
        <is>
          <t>KRAMFORS</t>
        </is>
      </c>
      <c r="G3472" t="n">
        <v>0.1</v>
      </c>
      <c r="H3472" t="n">
        <v>0</v>
      </c>
      <c r="I3472" t="n">
        <v>0</v>
      </c>
      <c r="J3472" t="n">
        <v>0</v>
      </c>
      <c r="K3472" t="n">
        <v>0</v>
      </c>
      <c r="L3472" t="n">
        <v>0</v>
      </c>
      <c r="M3472" t="n">
        <v>0</v>
      </c>
      <c r="N3472" t="n">
        <v>0</v>
      </c>
      <c r="O3472" t="n">
        <v>0</v>
      </c>
      <c r="P3472" t="n">
        <v>0</v>
      </c>
      <c r="Q3472" t="n">
        <v>0</v>
      </c>
      <c r="R3472" s="2" t="inlineStr"/>
    </row>
    <row r="3473" ht="15" customHeight="1">
      <c r="A3473" t="inlineStr">
        <is>
          <t>A 8142-2021</t>
        </is>
      </c>
      <c r="B3473" s="1" t="n">
        <v>44244</v>
      </c>
      <c r="C3473" s="1" t="n">
        <v>45212</v>
      </c>
      <c r="D3473" t="inlineStr">
        <is>
          <t>VÄSTERNORRLANDS LÄN</t>
        </is>
      </c>
      <c r="E3473" t="inlineStr">
        <is>
          <t>ÖRNSKÖLDSVIK</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8645-2021</t>
        </is>
      </c>
      <c r="B3474" s="1" t="n">
        <v>44245</v>
      </c>
      <c r="C3474" s="1" t="n">
        <v>45212</v>
      </c>
      <c r="D3474" t="inlineStr">
        <is>
          <t>VÄSTERNORRLANDS LÄN</t>
        </is>
      </c>
      <c r="E3474" t="inlineStr">
        <is>
          <t>KRAMFORS</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8631-2021</t>
        </is>
      </c>
      <c r="B3475" s="1" t="n">
        <v>44245</v>
      </c>
      <c r="C3475" s="1" t="n">
        <v>45212</v>
      </c>
      <c r="D3475" t="inlineStr">
        <is>
          <t>VÄSTERNORRLANDS LÄN</t>
        </is>
      </c>
      <c r="E3475" t="inlineStr">
        <is>
          <t>SOLLEFTEÅ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8861-2021</t>
        </is>
      </c>
      <c r="B3476" s="1" t="n">
        <v>44246</v>
      </c>
      <c r="C3476" s="1" t="n">
        <v>45212</v>
      </c>
      <c r="D3476" t="inlineStr">
        <is>
          <t>VÄSTERNORRLANDS LÄN</t>
        </is>
      </c>
      <c r="E3476" t="inlineStr">
        <is>
          <t>KRAMFORS</t>
        </is>
      </c>
      <c r="F3476" t="inlineStr">
        <is>
          <t>SCA</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8692-2021</t>
        </is>
      </c>
      <c r="B3477" s="1" t="n">
        <v>44246</v>
      </c>
      <c r="C3477" s="1" t="n">
        <v>45212</v>
      </c>
      <c r="D3477" t="inlineStr">
        <is>
          <t>VÄSTERNORRLANDS LÄN</t>
        </is>
      </c>
      <c r="E3477" t="inlineStr">
        <is>
          <t>SOLLEFTEÅ</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9177-2021</t>
        </is>
      </c>
      <c r="B3478" s="1" t="n">
        <v>44249</v>
      </c>
      <c r="C3478" s="1" t="n">
        <v>45212</v>
      </c>
      <c r="D3478" t="inlineStr">
        <is>
          <t>VÄSTERNORRLANDS LÄN</t>
        </is>
      </c>
      <c r="E3478" t="inlineStr">
        <is>
          <t>SUNDSVALL</t>
        </is>
      </c>
      <c r="F3478" t="inlineStr">
        <is>
          <t>SCA</t>
        </is>
      </c>
      <c r="G3478" t="n">
        <v>46.4</v>
      </c>
      <c r="H3478" t="n">
        <v>0</v>
      </c>
      <c r="I3478" t="n">
        <v>0</v>
      </c>
      <c r="J3478" t="n">
        <v>0</v>
      </c>
      <c r="K3478" t="n">
        <v>0</v>
      </c>
      <c r="L3478" t="n">
        <v>0</v>
      </c>
      <c r="M3478" t="n">
        <v>0</v>
      </c>
      <c r="N3478" t="n">
        <v>0</v>
      </c>
      <c r="O3478" t="n">
        <v>0</v>
      </c>
      <c r="P3478" t="n">
        <v>0</v>
      </c>
      <c r="Q3478" t="n">
        <v>0</v>
      </c>
      <c r="R3478" s="2" t="inlineStr"/>
    </row>
    <row r="3479" ht="15" customHeight="1">
      <c r="A3479" t="inlineStr">
        <is>
          <t>A 9503-2021</t>
        </is>
      </c>
      <c r="B3479" s="1" t="n">
        <v>44250</v>
      </c>
      <c r="C3479" s="1" t="n">
        <v>45212</v>
      </c>
      <c r="D3479" t="inlineStr">
        <is>
          <t>VÄSTERNORRLANDS LÄN</t>
        </is>
      </c>
      <c r="E3479" t="inlineStr">
        <is>
          <t>TIMRÅ</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9472-2021</t>
        </is>
      </c>
      <c r="B3480" s="1" t="n">
        <v>44250</v>
      </c>
      <c r="C3480" s="1" t="n">
        <v>45212</v>
      </c>
      <c r="D3480" t="inlineStr">
        <is>
          <t>VÄSTERNORRLANDS LÄN</t>
        </is>
      </c>
      <c r="E3480" t="inlineStr">
        <is>
          <t>TIMRÅ</t>
        </is>
      </c>
      <c r="G3480" t="n">
        <v>4</v>
      </c>
      <c r="H3480" t="n">
        <v>0</v>
      </c>
      <c r="I3480" t="n">
        <v>0</v>
      </c>
      <c r="J3480" t="n">
        <v>0</v>
      </c>
      <c r="K3480" t="n">
        <v>0</v>
      </c>
      <c r="L3480" t="n">
        <v>0</v>
      </c>
      <c r="M3480" t="n">
        <v>0</v>
      </c>
      <c r="N3480" t="n">
        <v>0</v>
      </c>
      <c r="O3480" t="n">
        <v>0</v>
      </c>
      <c r="P3480" t="n">
        <v>0</v>
      </c>
      <c r="Q3480" t="n">
        <v>0</v>
      </c>
      <c r="R3480" s="2" t="inlineStr"/>
    </row>
    <row r="3481" ht="15" customHeight="1">
      <c r="A3481" t="inlineStr">
        <is>
          <t>A 9480-2021</t>
        </is>
      </c>
      <c r="B3481" s="1" t="n">
        <v>44250</v>
      </c>
      <c r="C3481" s="1" t="n">
        <v>45212</v>
      </c>
      <c r="D3481" t="inlineStr">
        <is>
          <t>VÄSTERNORRLANDS LÄN</t>
        </is>
      </c>
      <c r="E3481" t="inlineStr">
        <is>
          <t>TIMRÅ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9626-2021</t>
        </is>
      </c>
      <c r="B3482" s="1" t="n">
        <v>44251</v>
      </c>
      <c r="C3482" s="1" t="n">
        <v>45212</v>
      </c>
      <c r="D3482" t="inlineStr">
        <is>
          <t>VÄSTERNORRLANDS LÄN</t>
        </is>
      </c>
      <c r="E3482" t="inlineStr">
        <is>
          <t>SOLLEFTEÅ</t>
        </is>
      </c>
      <c r="F3482" t="inlineStr">
        <is>
          <t>SCA</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9799-2021</t>
        </is>
      </c>
      <c r="B3483" s="1" t="n">
        <v>44251</v>
      </c>
      <c r="C3483" s="1" t="n">
        <v>45212</v>
      </c>
      <c r="D3483" t="inlineStr">
        <is>
          <t>VÄSTERNORRLANDS LÄN</t>
        </is>
      </c>
      <c r="E3483" t="inlineStr">
        <is>
          <t>ÖRNSKÖLDSVIK</t>
        </is>
      </c>
      <c r="G3483" t="n">
        <v>14.1</v>
      </c>
      <c r="H3483" t="n">
        <v>0</v>
      </c>
      <c r="I3483" t="n">
        <v>0</v>
      </c>
      <c r="J3483" t="n">
        <v>0</v>
      </c>
      <c r="K3483" t="n">
        <v>0</v>
      </c>
      <c r="L3483" t="n">
        <v>0</v>
      </c>
      <c r="M3483" t="n">
        <v>0</v>
      </c>
      <c r="N3483" t="n">
        <v>0</v>
      </c>
      <c r="O3483" t="n">
        <v>0</v>
      </c>
      <c r="P3483" t="n">
        <v>0</v>
      </c>
      <c r="Q3483" t="n">
        <v>0</v>
      </c>
      <c r="R3483" s="2" t="inlineStr"/>
    </row>
    <row r="3484" ht="15" customHeight="1">
      <c r="A3484" t="inlineStr">
        <is>
          <t>A 9624-2021</t>
        </is>
      </c>
      <c r="B3484" s="1" t="n">
        <v>44251</v>
      </c>
      <c r="C3484" s="1" t="n">
        <v>45212</v>
      </c>
      <c r="D3484" t="inlineStr">
        <is>
          <t>VÄSTERNORRLANDS LÄN</t>
        </is>
      </c>
      <c r="E3484" t="inlineStr">
        <is>
          <t>SUNDSVALL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9461-2021</t>
        </is>
      </c>
      <c r="B3485" s="1" t="n">
        <v>44251</v>
      </c>
      <c r="C3485" s="1" t="n">
        <v>45212</v>
      </c>
      <c r="D3485" t="inlineStr">
        <is>
          <t>VÄSTERNORRLANDS LÄN</t>
        </is>
      </c>
      <c r="E3485" t="inlineStr">
        <is>
          <t>SOLLEFTEÅ</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9619-2021</t>
        </is>
      </c>
      <c r="B3486" s="1" t="n">
        <v>44251</v>
      </c>
      <c r="C3486" s="1" t="n">
        <v>45212</v>
      </c>
      <c r="D3486" t="inlineStr">
        <is>
          <t>VÄSTERNORRLANDS LÄN</t>
        </is>
      </c>
      <c r="E3486" t="inlineStr">
        <is>
          <t>ÅNGE</t>
        </is>
      </c>
      <c r="G3486" t="n">
        <v>10.4</v>
      </c>
      <c r="H3486" t="n">
        <v>0</v>
      </c>
      <c r="I3486" t="n">
        <v>0</v>
      </c>
      <c r="J3486" t="n">
        <v>0</v>
      </c>
      <c r="K3486" t="n">
        <v>0</v>
      </c>
      <c r="L3486" t="n">
        <v>0</v>
      </c>
      <c r="M3486" t="n">
        <v>0</v>
      </c>
      <c r="N3486" t="n">
        <v>0</v>
      </c>
      <c r="O3486" t="n">
        <v>0</v>
      </c>
      <c r="P3486" t="n">
        <v>0</v>
      </c>
      <c r="Q3486" t="n">
        <v>0</v>
      </c>
      <c r="R3486" s="2" t="inlineStr"/>
    </row>
    <row r="3487" ht="15" customHeight="1">
      <c r="A3487" t="inlineStr">
        <is>
          <t>A 9628-2021</t>
        </is>
      </c>
      <c r="B3487" s="1" t="n">
        <v>44251</v>
      </c>
      <c r="C3487" s="1" t="n">
        <v>45212</v>
      </c>
      <c r="D3487" t="inlineStr">
        <is>
          <t>VÄSTERNORRLANDS LÄN</t>
        </is>
      </c>
      <c r="E3487" t="inlineStr">
        <is>
          <t>SUNDSVALL</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9815-2021</t>
        </is>
      </c>
      <c r="B3488" s="1" t="n">
        <v>44252</v>
      </c>
      <c r="C3488" s="1" t="n">
        <v>45212</v>
      </c>
      <c r="D3488" t="inlineStr">
        <is>
          <t>VÄSTERNORRLANDS LÄN</t>
        </is>
      </c>
      <c r="E3488" t="inlineStr">
        <is>
          <t>KRAMFORS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10011-2021</t>
        </is>
      </c>
      <c r="B3489" s="1" t="n">
        <v>44253</v>
      </c>
      <c r="C3489" s="1" t="n">
        <v>45212</v>
      </c>
      <c r="D3489" t="inlineStr">
        <is>
          <t>VÄSTERNORRLANDS LÄN</t>
        </is>
      </c>
      <c r="E3489" t="inlineStr">
        <is>
          <t>ÖRNSKÖLDSVIK</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10006-2021</t>
        </is>
      </c>
      <c r="B3490" s="1" t="n">
        <v>44255</v>
      </c>
      <c r="C3490" s="1" t="n">
        <v>45212</v>
      </c>
      <c r="D3490" t="inlineStr">
        <is>
          <t>VÄSTERNORRLANDS LÄN</t>
        </is>
      </c>
      <c r="E3490" t="inlineStr">
        <is>
          <t>ÖRNSKÖLDSVIK</t>
        </is>
      </c>
      <c r="G3490" t="n">
        <v>5.7</v>
      </c>
      <c r="H3490" t="n">
        <v>0</v>
      </c>
      <c r="I3490" t="n">
        <v>0</v>
      </c>
      <c r="J3490" t="n">
        <v>0</v>
      </c>
      <c r="K3490" t="n">
        <v>0</v>
      </c>
      <c r="L3490" t="n">
        <v>0</v>
      </c>
      <c r="M3490" t="n">
        <v>0</v>
      </c>
      <c r="N3490" t="n">
        <v>0</v>
      </c>
      <c r="O3490" t="n">
        <v>0</v>
      </c>
      <c r="P3490" t="n">
        <v>0</v>
      </c>
      <c r="Q3490" t="n">
        <v>0</v>
      </c>
      <c r="R3490" s="2" t="inlineStr"/>
    </row>
    <row r="3491" ht="15" customHeight="1">
      <c r="A3491" t="inlineStr">
        <is>
          <t>A 10078-2021</t>
        </is>
      </c>
      <c r="B3491" s="1" t="n">
        <v>44256</v>
      </c>
      <c r="C3491" s="1" t="n">
        <v>45212</v>
      </c>
      <c r="D3491" t="inlineStr">
        <is>
          <t>VÄSTERNORRLANDS LÄN</t>
        </is>
      </c>
      <c r="E3491" t="inlineStr">
        <is>
          <t>ÖRNSKÖLDSVIK</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10277-2021</t>
        </is>
      </c>
      <c r="B3492" s="1" t="n">
        <v>44256</v>
      </c>
      <c r="C3492" s="1" t="n">
        <v>45212</v>
      </c>
      <c r="D3492" t="inlineStr">
        <is>
          <t>VÄSTERNORRLANDS LÄN</t>
        </is>
      </c>
      <c r="E3492" t="inlineStr">
        <is>
          <t>KRAMFORS</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10236-2021</t>
        </is>
      </c>
      <c r="B3493" s="1" t="n">
        <v>44256</v>
      </c>
      <c r="C3493" s="1" t="n">
        <v>45212</v>
      </c>
      <c r="D3493" t="inlineStr">
        <is>
          <t>VÄSTERNORRLANDS LÄN</t>
        </is>
      </c>
      <c r="E3493" t="inlineStr">
        <is>
          <t>ÖRNSKÖLDSVIK</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10281-2021</t>
        </is>
      </c>
      <c r="B3494" s="1" t="n">
        <v>44257</v>
      </c>
      <c r="C3494" s="1" t="n">
        <v>45212</v>
      </c>
      <c r="D3494" t="inlineStr">
        <is>
          <t>VÄSTERNORRLANDS LÄN</t>
        </is>
      </c>
      <c r="E3494" t="inlineStr">
        <is>
          <t>ÖRNSKÖLDSVIK</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10342-2021</t>
        </is>
      </c>
      <c r="B3495" s="1" t="n">
        <v>44257</v>
      </c>
      <c r="C3495" s="1" t="n">
        <v>45212</v>
      </c>
      <c r="D3495" t="inlineStr">
        <is>
          <t>VÄSTERNORRLANDS LÄN</t>
        </is>
      </c>
      <c r="E3495" t="inlineStr">
        <is>
          <t>ÅNGE</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10482-2021</t>
        </is>
      </c>
      <c r="B3496" s="1" t="n">
        <v>44257</v>
      </c>
      <c r="C3496" s="1" t="n">
        <v>45212</v>
      </c>
      <c r="D3496" t="inlineStr">
        <is>
          <t>VÄSTERNORRLANDS LÄN</t>
        </is>
      </c>
      <c r="E3496" t="inlineStr">
        <is>
          <t>SUNDSVALL</t>
        </is>
      </c>
      <c r="G3496" t="n">
        <v>5.7</v>
      </c>
      <c r="H3496" t="n">
        <v>0</v>
      </c>
      <c r="I3496" t="n">
        <v>0</v>
      </c>
      <c r="J3496" t="n">
        <v>0</v>
      </c>
      <c r="K3496" t="n">
        <v>0</v>
      </c>
      <c r="L3496" t="n">
        <v>0</v>
      </c>
      <c r="M3496" t="n">
        <v>0</v>
      </c>
      <c r="N3496" t="n">
        <v>0</v>
      </c>
      <c r="O3496" t="n">
        <v>0</v>
      </c>
      <c r="P3496" t="n">
        <v>0</v>
      </c>
      <c r="Q3496" t="n">
        <v>0</v>
      </c>
      <c r="R3496" s="2" t="inlineStr"/>
    </row>
    <row r="3497" ht="15" customHeight="1">
      <c r="A3497" t="inlineStr">
        <is>
          <t>A 10601-2021</t>
        </is>
      </c>
      <c r="B3497" s="1" t="n">
        <v>44258</v>
      </c>
      <c r="C3497" s="1" t="n">
        <v>45212</v>
      </c>
      <c r="D3497" t="inlineStr">
        <is>
          <t>VÄSTERNORRLANDS LÄN</t>
        </is>
      </c>
      <c r="E3497" t="inlineStr">
        <is>
          <t>ÖRNSKÖLDSVIK</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10628-2021</t>
        </is>
      </c>
      <c r="B3498" s="1" t="n">
        <v>44258</v>
      </c>
      <c r="C3498" s="1" t="n">
        <v>45212</v>
      </c>
      <c r="D3498" t="inlineStr">
        <is>
          <t>VÄSTERNORRLANDS LÄN</t>
        </is>
      </c>
      <c r="E3498" t="inlineStr">
        <is>
          <t>ÖRNSKÖLDSVIK</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10602-2021</t>
        </is>
      </c>
      <c r="B3499" s="1" t="n">
        <v>44258</v>
      </c>
      <c r="C3499" s="1" t="n">
        <v>45212</v>
      </c>
      <c r="D3499" t="inlineStr">
        <is>
          <t>VÄSTERNORRLANDS LÄN</t>
        </is>
      </c>
      <c r="E3499" t="inlineStr">
        <is>
          <t>SUNDSVALL</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10974-2021</t>
        </is>
      </c>
      <c r="B3500" s="1" t="n">
        <v>44260</v>
      </c>
      <c r="C3500" s="1" t="n">
        <v>45212</v>
      </c>
      <c r="D3500" t="inlineStr">
        <is>
          <t>VÄSTERNORRLANDS LÄN</t>
        </is>
      </c>
      <c r="E3500" t="inlineStr">
        <is>
          <t>ÖRNSKÖLDSVIK</t>
        </is>
      </c>
      <c r="F3500" t="inlineStr">
        <is>
          <t>Holmen skog AB</t>
        </is>
      </c>
      <c r="G3500" t="n">
        <v>3.8</v>
      </c>
      <c r="H3500" t="n">
        <v>0</v>
      </c>
      <c r="I3500" t="n">
        <v>0</v>
      </c>
      <c r="J3500" t="n">
        <v>0</v>
      </c>
      <c r="K3500" t="n">
        <v>0</v>
      </c>
      <c r="L3500" t="n">
        <v>0</v>
      </c>
      <c r="M3500" t="n">
        <v>0</v>
      </c>
      <c r="N3500" t="n">
        <v>0</v>
      </c>
      <c r="O3500" t="n">
        <v>0</v>
      </c>
      <c r="P3500" t="n">
        <v>0</v>
      </c>
      <c r="Q3500" t="n">
        <v>0</v>
      </c>
      <c r="R3500" s="2" t="inlineStr"/>
    </row>
    <row r="3501" ht="15" customHeight="1">
      <c r="A3501" t="inlineStr">
        <is>
          <t>A 10970-2021</t>
        </is>
      </c>
      <c r="B3501" s="1" t="n">
        <v>44260</v>
      </c>
      <c r="C3501" s="1" t="n">
        <v>45212</v>
      </c>
      <c r="D3501" t="inlineStr">
        <is>
          <t>VÄSTERNORRLANDS LÄN</t>
        </is>
      </c>
      <c r="E3501" t="inlineStr">
        <is>
          <t>ÖRNSKÖLDSVIK</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11050-2021</t>
        </is>
      </c>
      <c r="B3502" s="1" t="n">
        <v>44260</v>
      </c>
      <c r="C3502" s="1" t="n">
        <v>45212</v>
      </c>
      <c r="D3502" t="inlineStr">
        <is>
          <t>VÄSTERNORRLANDS LÄN</t>
        </is>
      </c>
      <c r="E3502" t="inlineStr">
        <is>
          <t>ÖRNSKÖLDSVIK</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11362-2021</t>
        </is>
      </c>
      <c r="B3503" s="1" t="n">
        <v>44263</v>
      </c>
      <c r="C3503" s="1" t="n">
        <v>45212</v>
      </c>
      <c r="D3503" t="inlineStr">
        <is>
          <t>VÄSTERNORRLANDS LÄN</t>
        </is>
      </c>
      <c r="E3503" t="inlineStr">
        <is>
          <t>HÄRNÖSAND</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11406-2021</t>
        </is>
      </c>
      <c r="B3504" s="1" t="n">
        <v>44263</v>
      </c>
      <c r="C3504" s="1" t="n">
        <v>45212</v>
      </c>
      <c r="D3504" t="inlineStr">
        <is>
          <t>VÄSTERNORRLANDS LÄN</t>
        </is>
      </c>
      <c r="E3504" t="inlineStr">
        <is>
          <t>ÖRNSKÖLDSVIK</t>
        </is>
      </c>
      <c r="G3504" t="n">
        <v>5.3</v>
      </c>
      <c r="H3504" t="n">
        <v>0</v>
      </c>
      <c r="I3504" t="n">
        <v>0</v>
      </c>
      <c r="J3504" t="n">
        <v>0</v>
      </c>
      <c r="K3504" t="n">
        <v>0</v>
      </c>
      <c r="L3504" t="n">
        <v>0</v>
      </c>
      <c r="M3504" t="n">
        <v>0</v>
      </c>
      <c r="N3504" t="n">
        <v>0</v>
      </c>
      <c r="O3504" t="n">
        <v>0</v>
      </c>
      <c r="P3504" t="n">
        <v>0</v>
      </c>
      <c r="Q3504" t="n">
        <v>0</v>
      </c>
      <c r="R3504" s="2" t="inlineStr"/>
    </row>
    <row r="3505" ht="15" customHeight="1">
      <c r="A3505" t="inlineStr">
        <is>
          <t>A 11429-2021</t>
        </is>
      </c>
      <c r="B3505" s="1" t="n">
        <v>44263</v>
      </c>
      <c r="C3505" s="1" t="n">
        <v>45212</v>
      </c>
      <c r="D3505" t="inlineStr">
        <is>
          <t>VÄSTERNORRLANDS LÄN</t>
        </is>
      </c>
      <c r="E3505" t="inlineStr">
        <is>
          <t>ÖRNSKÖLDSVIK</t>
        </is>
      </c>
      <c r="F3505" t="inlineStr">
        <is>
          <t>SCA</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11482-2021</t>
        </is>
      </c>
      <c r="B3506" s="1" t="n">
        <v>44263</v>
      </c>
      <c r="C3506" s="1" t="n">
        <v>45212</v>
      </c>
      <c r="D3506" t="inlineStr">
        <is>
          <t>VÄSTERNORRLANDS LÄN</t>
        </is>
      </c>
      <c r="E3506" t="inlineStr">
        <is>
          <t>HÄRNÖSAND</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11473-2021</t>
        </is>
      </c>
      <c r="B3507" s="1" t="n">
        <v>44263</v>
      </c>
      <c r="C3507" s="1" t="n">
        <v>45212</v>
      </c>
      <c r="D3507" t="inlineStr">
        <is>
          <t>VÄSTERNORRLANDS LÄN</t>
        </is>
      </c>
      <c r="E3507" t="inlineStr">
        <is>
          <t>HÄRNÖSAND</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11696-2021</t>
        </is>
      </c>
      <c r="B3508" s="1" t="n">
        <v>44264</v>
      </c>
      <c r="C3508" s="1" t="n">
        <v>45212</v>
      </c>
      <c r="D3508" t="inlineStr">
        <is>
          <t>VÄSTERNORRLANDS LÄN</t>
        </is>
      </c>
      <c r="E3508" t="inlineStr">
        <is>
          <t>SUNDSVALL</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11710-2021</t>
        </is>
      </c>
      <c r="B3509" s="1" t="n">
        <v>44264</v>
      </c>
      <c r="C3509" s="1" t="n">
        <v>45212</v>
      </c>
      <c r="D3509" t="inlineStr">
        <is>
          <t>VÄSTERNORRLANDS LÄN</t>
        </is>
      </c>
      <c r="E3509" t="inlineStr">
        <is>
          <t>SOLLEFTEÅ</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11717-2021</t>
        </is>
      </c>
      <c r="B3510" s="1" t="n">
        <v>44264</v>
      </c>
      <c r="C3510" s="1" t="n">
        <v>45212</v>
      </c>
      <c r="D3510" t="inlineStr">
        <is>
          <t>VÄSTERNORRLANDS LÄN</t>
        </is>
      </c>
      <c r="E3510" t="inlineStr">
        <is>
          <t>KRAMFORS</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11763-2021</t>
        </is>
      </c>
      <c r="B3511" s="1" t="n">
        <v>44265</v>
      </c>
      <c r="C3511" s="1" t="n">
        <v>45212</v>
      </c>
      <c r="D3511" t="inlineStr">
        <is>
          <t>VÄSTERNORRLANDS LÄN</t>
        </is>
      </c>
      <c r="E3511" t="inlineStr">
        <is>
          <t>ÅNGE</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11779-2021</t>
        </is>
      </c>
      <c r="B3512" s="1" t="n">
        <v>44265</v>
      </c>
      <c r="C3512" s="1" t="n">
        <v>45212</v>
      </c>
      <c r="D3512" t="inlineStr">
        <is>
          <t>VÄSTERNORRLANDS LÄN</t>
        </is>
      </c>
      <c r="E3512" t="inlineStr">
        <is>
          <t>ÖRNSKÖLDSVIK</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12278-2021</t>
        </is>
      </c>
      <c r="B3513" s="1" t="n">
        <v>44266</v>
      </c>
      <c r="C3513" s="1" t="n">
        <v>45212</v>
      </c>
      <c r="D3513" t="inlineStr">
        <is>
          <t>VÄSTERNORRLANDS LÄN</t>
        </is>
      </c>
      <c r="E3513" t="inlineStr">
        <is>
          <t>SOLLEFTEÅ</t>
        </is>
      </c>
      <c r="F3513" t="inlineStr">
        <is>
          <t>SCA</t>
        </is>
      </c>
      <c r="G3513" t="n">
        <v>2.7</v>
      </c>
      <c r="H3513" t="n">
        <v>0</v>
      </c>
      <c r="I3513" t="n">
        <v>0</v>
      </c>
      <c r="J3513" t="n">
        <v>0</v>
      </c>
      <c r="K3513" t="n">
        <v>0</v>
      </c>
      <c r="L3513" t="n">
        <v>0</v>
      </c>
      <c r="M3513" t="n">
        <v>0</v>
      </c>
      <c r="N3513" t="n">
        <v>0</v>
      </c>
      <c r="O3513" t="n">
        <v>0</v>
      </c>
      <c r="P3513" t="n">
        <v>0</v>
      </c>
      <c r="Q3513" t="n">
        <v>0</v>
      </c>
      <c r="R3513" s="2" t="inlineStr"/>
    </row>
    <row r="3514" ht="15" customHeight="1">
      <c r="A3514" t="inlineStr">
        <is>
          <t>A 12113-2021</t>
        </is>
      </c>
      <c r="B3514" s="1" t="n">
        <v>44266</v>
      </c>
      <c r="C3514" s="1" t="n">
        <v>45212</v>
      </c>
      <c r="D3514" t="inlineStr">
        <is>
          <t>VÄSTERNORRLANDS LÄN</t>
        </is>
      </c>
      <c r="E3514" t="inlineStr">
        <is>
          <t>ÖRNSKÖLDSVIK</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12073-2021</t>
        </is>
      </c>
      <c r="B3515" s="1" t="n">
        <v>44266</v>
      </c>
      <c r="C3515" s="1" t="n">
        <v>45212</v>
      </c>
      <c r="D3515" t="inlineStr">
        <is>
          <t>VÄSTERNORRLANDS LÄN</t>
        </is>
      </c>
      <c r="E3515" t="inlineStr">
        <is>
          <t>ÖRNSKÖLDSVIK</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12277-2021</t>
        </is>
      </c>
      <c r="B3516" s="1" t="n">
        <v>44266</v>
      </c>
      <c r="C3516" s="1" t="n">
        <v>45212</v>
      </c>
      <c r="D3516" t="inlineStr">
        <is>
          <t>VÄSTERNORRLANDS LÄN</t>
        </is>
      </c>
      <c r="E3516" t="inlineStr">
        <is>
          <t>SOLLEFTEÅ</t>
        </is>
      </c>
      <c r="F3516" t="inlineStr">
        <is>
          <t>SCA</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12040-2021</t>
        </is>
      </c>
      <c r="B3517" s="1" t="n">
        <v>44266</v>
      </c>
      <c r="C3517" s="1" t="n">
        <v>45212</v>
      </c>
      <c r="D3517" t="inlineStr">
        <is>
          <t>VÄSTERNORRLANDS LÄN</t>
        </is>
      </c>
      <c r="E3517" t="inlineStr">
        <is>
          <t>KRAMFORS</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12315-2021</t>
        </is>
      </c>
      <c r="B3518" s="1" t="n">
        <v>44267</v>
      </c>
      <c r="C3518" s="1" t="n">
        <v>45212</v>
      </c>
      <c r="D3518" t="inlineStr">
        <is>
          <t>VÄSTERNORRLANDS LÄN</t>
        </is>
      </c>
      <c r="E3518" t="inlineStr">
        <is>
          <t>KRAMFORS</t>
        </is>
      </c>
      <c r="G3518" t="n">
        <v>14.4</v>
      </c>
      <c r="H3518" t="n">
        <v>0</v>
      </c>
      <c r="I3518" t="n">
        <v>0</v>
      </c>
      <c r="J3518" t="n">
        <v>0</v>
      </c>
      <c r="K3518" t="n">
        <v>0</v>
      </c>
      <c r="L3518" t="n">
        <v>0</v>
      </c>
      <c r="M3518" t="n">
        <v>0</v>
      </c>
      <c r="N3518" t="n">
        <v>0</v>
      </c>
      <c r="O3518" t="n">
        <v>0</v>
      </c>
      <c r="P3518" t="n">
        <v>0</v>
      </c>
      <c r="Q3518" t="n">
        <v>0</v>
      </c>
      <c r="R3518" s="2" t="inlineStr"/>
    </row>
    <row r="3519" ht="15" customHeight="1">
      <c r="A3519" t="inlineStr">
        <is>
          <t>A 12307-2021</t>
        </is>
      </c>
      <c r="B3519" s="1" t="n">
        <v>44267</v>
      </c>
      <c r="C3519" s="1" t="n">
        <v>45212</v>
      </c>
      <c r="D3519" t="inlineStr">
        <is>
          <t>VÄSTERNORRLANDS LÄN</t>
        </is>
      </c>
      <c r="E3519" t="inlineStr">
        <is>
          <t>KRAMFORS</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12647-2021</t>
        </is>
      </c>
      <c r="B3520" s="1" t="n">
        <v>44270</v>
      </c>
      <c r="C3520" s="1" t="n">
        <v>45212</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12851-2021</t>
        </is>
      </c>
      <c r="B3521" s="1" t="n">
        <v>44270</v>
      </c>
      <c r="C3521" s="1" t="n">
        <v>45212</v>
      </c>
      <c r="D3521" t="inlineStr">
        <is>
          <t>VÄSTERNORRLANDS LÄN</t>
        </is>
      </c>
      <c r="E3521" t="inlineStr">
        <is>
          <t>ÖRNSKÖLDSVIK</t>
        </is>
      </c>
      <c r="G3521" t="n">
        <v>0.2</v>
      </c>
      <c r="H3521" t="n">
        <v>0</v>
      </c>
      <c r="I3521" t="n">
        <v>0</v>
      </c>
      <c r="J3521" t="n">
        <v>0</v>
      </c>
      <c r="K3521" t="n">
        <v>0</v>
      </c>
      <c r="L3521" t="n">
        <v>0</v>
      </c>
      <c r="M3521" t="n">
        <v>0</v>
      </c>
      <c r="N3521" t="n">
        <v>0</v>
      </c>
      <c r="O3521" t="n">
        <v>0</v>
      </c>
      <c r="P3521" t="n">
        <v>0</v>
      </c>
      <c r="Q3521" t="n">
        <v>0</v>
      </c>
      <c r="R3521" s="2" t="inlineStr"/>
    </row>
    <row r="3522" ht="15" customHeight="1">
      <c r="A3522" t="inlineStr">
        <is>
          <t>A 13038-2021</t>
        </is>
      </c>
      <c r="B3522" s="1" t="n">
        <v>44271</v>
      </c>
      <c r="C3522" s="1" t="n">
        <v>45212</v>
      </c>
      <c r="D3522" t="inlineStr">
        <is>
          <t>VÄSTERNORRLANDS LÄN</t>
        </is>
      </c>
      <c r="E3522" t="inlineStr">
        <is>
          <t>SUNDSVALL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13149-2021</t>
        </is>
      </c>
      <c r="B3523" s="1" t="n">
        <v>44272</v>
      </c>
      <c r="C3523" s="1" t="n">
        <v>45212</v>
      </c>
      <c r="D3523" t="inlineStr">
        <is>
          <t>VÄSTERNORRLANDS LÄN</t>
        </is>
      </c>
      <c r="E3523" t="inlineStr">
        <is>
          <t>ÅNGE</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13189-2021</t>
        </is>
      </c>
      <c r="B3524" s="1" t="n">
        <v>44272</v>
      </c>
      <c r="C3524" s="1" t="n">
        <v>45212</v>
      </c>
      <c r="D3524" t="inlineStr">
        <is>
          <t>VÄSTERNORRLANDS LÄN</t>
        </is>
      </c>
      <c r="E3524" t="inlineStr">
        <is>
          <t>KRAMFORS</t>
        </is>
      </c>
      <c r="G3524" t="n">
        <v>21.6</v>
      </c>
      <c r="H3524" t="n">
        <v>0</v>
      </c>
      <c r="I3524" t="n">
        <v>0</v>
      </c>
      <c r="J3524" t="n">
        <v>0</v>
      </c>
      <c r="K3524" t="n">
        <v>0</v>
      </c>
      <c r="L3524" t="n">
        <v>0</v>
      </c>
      <c r="M3524" t="n">
        <v>0</v>
      </c>
      <c r="N3524" t="n">
        <v>0</v>
      </c>
      <c r="O3524" t="n">
        <v>0</v>
      </c>
      <c r="P3524" t="n">
        <v>0</v>
      </c>
      <c r="Q3524" t="n">
        <v>0</v>
      </c>
      <c r="R3524" s="2" t="inlineStr"/>
    </row>
    <row r="3525" ht="15" customHeight="1">
      <c r="A3525" t="inlineStr">
        <is>
          <t>A 13501-2021</t>
        </is>
      </c>
      <c r="B3525" s="1" t="n">
        <v>44273</v>
      </c>
      <c r="C3525" s="1" t="n">
        <v>45212</v>
      </c>
      <c r="D3525" t="inlineStr">
        <is>
          <t>VÄSTERNORRLANDS LÄN</t>
        </is>
      </c>
      <c r="E3525" t="inlineStr">
        <is>
          <t>ÅNGE</t>
        </is>
      </c>
      <c r="G3525" t="n">
        <v>0.4</v>
      </c>
      <c r="H3525" t="n">
        <v>0</v>
      </c>
      <c r="I3525" t="n">
        <v>0</v>
      </c>
      <c r="J3525" t="n">
        <v>0</v>
      </c>
      <c r="K3525" t="n">
        <v>0</v>
      </c>
      <c r="L3525" t="n">
        <v>0</v>
      </c>
      <c r="M3525" t="n">
        <v>0</v>
      </c>
      <c r="N3525" t="n">
        <v>0</v>
      </c>
      <c r="O3525" t="n">
        <v>0</v>
      </c>
      <c r="P3525" t="n">
        <v>0</v>
      </c>
      <c r="Q3525" t="n">
        <v>0</v>
      </c>
      <c r="R3525" s="2" t="inlineStr"/>
    </row>
    <row r="3526" ht="15" customHeight="1">
      <c r="A3526" t="inlineStr">
        <is>
          <t>A 13627-2021</t>
        </is>
      </c>
      <c r="B3526" s="1" t="n">
        <v>44273</v>
      </c>
      <c r="C3526" s="1" t="n">
        <v>45212</v>
      </c>
      <c r="D3526" t="inlineStr">
        <is>
          <t>VÄSTERNORRLANDS LÄN</t>
        </is>
      </c>
      <c r="E3526" t="inlineStr">
        <is>
          <t>ÖRNSKÖLDSVIK</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13510-2021</t>
        </is>
      </c>
      <c r="B3527" s="1" t="n">
        <v>44273</v>
      </c>
      <c r="C3527" s="1" t="n">
        <v>45212</v>
      </c>
      <c r="D3527" t="inlineStr">
        <is>
          <t>VÄSTERNORRLANDS LÄN</t>
        </is>
      </c>
      <c r="E3527" t="inlineStr">
        <is>
          <t>ÅNGE</t>
        </is>
      </c>
      <c r="G3527" t="n">
        <v>0.4</v>
      </c>
      <c r="H3527" t="n">
        <v>0</v>
      </c>
      <c r="I3527" t="n">
        <v>0</v>
      </c>
      <c r="J3527" t="n">
        <v>0</v>
      </c>
      <c r="K3527" t="n">
        <v>0</v>
      </c>
      <c r="L3527" t="n">
        <v>0</v>
      </c>
      <c r="M3527" t="n">
        <v>0</v>
      </c>
      <c r="N3527" t="n">
        <v>0</v>
      </c>
      <c r="O3527" t="n">
        <v>0</v>
      </c>
      <c r="P3527" t="n">
        <v>0</v>
      </c>
      <c r="Q3527" t="n">
        <v>0</v>
      </c>
      <c r="R3527" s="2" t="inlineStr"/>
    </row>
    <row r="3528" ht="15" customHeight="1">
      <c r="A3528" t="inlineStr">
        <is>
          <t>A 13479-2021</t>
        </is>
      </c>
      <c r="B3528" s="1" t="n">
        <v>44273</v>
      </c>
      <c r="C3528" s="1" t="n">
        <v>45212</v>
      </c>
      <c r="D3528" t="inlineStr">
        <is>
          <t>VÄSTERNORRLANDS LÄN</t>
        </is>
      </c>
      <c r="E3528" t="inlineStr">
        <is>
          <t>ÅNGE</t>
        </is>
      </c>
      <c r="G3528" t="n">
        <v>0.1</v>
      </c>
      <c r="H3528" t="n">
        <v>0</v>
      </c>
      <c r="I3528" t="n">
        <v>0</v>
      </c>
      <c r="J3528" t="n">
        <v>0</v>
      </c>
      <c r="K3528" t="n">
        <v>0</v>
      </c>
      <c r="L3528" t="n">
        <v>0</v>
      </c>
      <c r="M3528" t="n">
        <v>0</v>
      </c>
      <c r="N3528" t="n">
        <v>0</v>
      </c>
      <c r="O3528" t="n">
        <v>0</v>
      </c>
      <c r="P3528" t="n">
        <v>0</v>
      </c>
      <c r="Q3528" t="n">
        <v>0</v>
      </c>
      <c r="R3528" s="2" t="inlineStr"/>
    </row>
    <row r="3529" ht="15" customHeight="1">
      <c r="A3529" t="inlineStr">
        <is>
          <t>A 13522-2021</t>
        </is>
      </c>
      <c r="B3529" s="1" t="n">
        <v>44273</v>
      </c>
      <c r="C3529" s="1" t="n">
        <v>45212</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13638-2021</t>
        </is>
      </c>
      <c r="B3530" s="1" t="n">
        <v>44274</v>
      </c>
      <c r="C3530" s="1" t="n">
        <v>45212</v>
      </c>
      <c r="D3530" t="inlineStr">
        <is>
          <t>VÄSTERNORRLANDS LÄN</t>
        </is>
      </c>
      <c r="E3530" t="inlineStr">
        <is>
          <t>ÖRNSKÖLDSVIK</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13645-2021</t>
        </is>
      </c>
      <c r="B3531" s="1" t="n">
        <v>44274</v>
      </c>
      <c r="C3531" s="1" t="n">
        <v>45212</v>
      </c>
      <c r="D3531" t="inlineStr">
        <is>
          <t>VÄSTERNORRLANDS LÄN</t>
        </is>
      </c>
      <c r="E3531" t="inlineStr">
        <is>
          <t>ÖRNSKÖLDSVIK</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13624-2021</t>
        </is>
      </c>
      <c r="B3532" s="1" t="n">
        <v>44274</v>
      </c>
      <c r="C3532" s="1" t="n">
        <v>45212</v>
      </c>
      <c r="D3532" t="inlineStr">
        <is>
          <t>VÄSTERNORRLANDS LÄN</t>
        </is>
      </c>
      <c r="E3532" t="inlineStr">
        <is>
          <t>ÖRNSKÖLDSVIK</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14231-2021</t>
        </is>
      </c>
      <c r="B3533" s="1" t="n">
        <v>44277</v>
      </c>
      <c r="C3533" s="1" t="n">
        <v>45212</v>
      </c>
      <c r="D3533" t="inlineStr">
        <is>
          <t>VÄSTERNORRLANDS LÄN</t>
        </is>
      </c>
      <c r="E3533" t="inlineStr">
        <is>
          <t>SUNDSVALL</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13987-2021</t>
        </is>
      </c>
      <c r="B3534" s="1" t="n">
        <v>44277</v>
      </c>
      <c r="C3534" s="1" t="n">
        <v>45212</v>
      </c>
      <c r="D3534" t="inlineStr">
        <is>
          <t>VÄSTERNORRLANDS LÄN</t>
        </is>
      </c>
      <c r="E3534" t="inlineStr">
        <is>
          <t>SUNDSVALL</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14113-2021</t>
        </is>
      </c>
      <c r="B3535" s="1" t="n">
        <v>44277</v>
      </c>
      <c r="C3535" s="1" t="n">
        <v>45212</v>
      </c>
      <c r="D3535" t="inlineStr">
        <is>
          <t>VÄSTERNORRLANDS LÄN</t>
        </is>
      </c>
      <c r="E3535" t="inlineStr">
        <is>
          <t>SUNDSVALL</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14254-2021</t>
        </is>
      </c>
      <c r="B3536" s="1" t="n">
        <v>44278</v>
      </c>
      <c r="C3536" s="1" t="n">
        <v>45212</v>
      </c>
      <c r="D3536" t="inlineStr">
        <is>
          <t>VÄSTERNORRLANDS LÄN</t>
        </is>
      </c>
      <c r="E3536" t="inlineStr">
        <is>
          <t>KRAMFORS</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14733-2021</t>
        </is>
      </c>
      <c r="B3537" s="1" t="n">
        <v>44280</v>
      </c>
      <c r="C3537" s="1" t="n">
        <v>45212</v>
      </c>
      <c r="D3537" t="inlineStr">
        <is>
          <t>VÄSTERNORRLANDS LÄN</t>
        </is>
      </c>
      <c r="E3537" t="inlineStr">
        <is>
          <t>SOLLEFTEÅ</t>
        </is>
      </c>
      <c r="G3537" t="n">
        <v>5.3</v>
      </c>
      <c r="H3537" t="n">
        <v>0</v>
      </c>
      <c r="I3537" t="n">
        <v>0</v>
      </c>
      <c r="J3537" t="n">
        <v>0</v>
      </c>
      <c r="K3537" t="n">
        <v>0</v>
      </c>
      <c r="L3537" t="n">
        <v>0</v>
      </c>
      <c r="M3537" t="n">
        <v>0</v>
      </c>
      <c r="N3537" t="n">
        <v>0</v>
      </c>
      <c r="O3537" t="n">
        <v>0</v>
      </c>
      <c r="P3537" t="n">
        <v>0</v>
      </c>
      <c r="Q3537" t="n">
        <v>0</v>
      </c>
      <c r="R3537" s="2" t="inlineStr"/>
    </row>
    <row r="3538" ht="15" customHeight="1">
      <c r="A3538" t="inlineStr">
        <is>
          <t>A 14812-2021</t>
        </is>
      </c>
      <c r="B3538" s="1" t="n">
        <v>44280</v>
      </c>
      <c r="C3538" s="1" t="n">
        <v>45212</v>
      </c>
      <c r="D3538" t="inlineStr">
        <is>
          <t>VÄSTERNORRLANDS LÄN</t>
        </is>
      </c>
      <c r="E3538" t="inlineStr">
        <is>
          <t>ÅNGE</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14705-2021</t>
        </is>
      </c>
      <c r="B3539" s="1" t="n">
        <v>44280</v>
      </c>
      <c r="C3539" s="1" t="n">
        <v>45212</v>
      </c>
      <c r="D3539" t="inlineStr">
        <is>
          <t>VÄSTERNORRLANDS LÄN</t>
        </is>
      </c>
      <c r="E3539" t="inlineStr">
        <is>
          <t>KRAMFORS</t>
        </is>
      </c>
      <c r="G3539" t="n">
        <v>4.1</v>
      </c>
      <c r="H3539" t="n">
        <v>0</v>
      </c>
      <c r="I3539" t="n">
        <v>0</v>
      </c>
      <c r="J3539" t="n">
        <v>0</v>
      </c>
      <c r="K3539" t="n">
        <v>0</v>
      </c>
      <c r="L3539" t="n">
        <v>0</v>
      </c>
      <c r="M3539" t="n">
        <v>0</v>
      </c>
      <c r="N3539" t="n">
        <v>0</v>
      </c>
      <c r="O3539" t="n">
        <v>0</v>
      </c>
      <c r="P3539" t="n">
        <v>0</v>
      </c>
      <c r="Q3539" t="n">
        <v>0</v>
      </c>
      <c r="R3539" s="2" t="inlineStr"/>
    </row>
    <row r="3540" ht="15" customHeight="1">
      <c r="A3540" t="inlineStr">
        <is>
          <t>A 15098-2021</t>
        </is>
      </c>
      <c r="B3540" s="1" t="n">
        <v>44281</v>
      </c>
      <c r="C3540" s="1" t="n">
        <v>45212</v>
      </c>
      <c r="D3540" t="inlineStr">
        <is>
          <t>VÄSTERNORRLANDS LÄN</t>
        </is>
      </c>
      <c r="E3540" t="inlineStr">
        <is>
          <t>SOLLEFTEÅ</t>
        </is>
      </c>
      <c r="F3540" t="inlineStr">
        <is>
          <t>SCA</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15071-2021</t>
        </is>
      </c>
      <c r="B3541" s="1" t="n">
        <v>44281</v>
      </c>
      <c r="C3541" s="1" t="n">
        <v>45212</v>
      </c>
      <c r="D3541" t="inlineStr">
        <is>
          <t>VÄSTERNORRLANDS LÄN</t>
        </is>
      </c>
      <c r="E3541" t="inlineStr">
        <is>
          <t>ÖRNSKÖLDSVIK</t>
        </is>
      </c>
      <c r="G3541" t="n">
        <v>17.3</v>
      </c>
      <c r="H3541" t="n">
        <v>0</v>
      </c>
      <c r="I3541" t="n">
        <v>0</v>
      </c>
      <c r="J3541" t="n">
        <v>0</v>
      </c>
      <c r="K3541" t="n">
        <v>0</v>
      </c>
      <c r="L3541" t="n">
        <v>0</v>
      </c>
      <c r="M3541" t="n">
        <v>0</v>
      </c>
      <c r="N3541" t="n">
        <v>0</v>
      </c>
      <c r="O3541" t="n">
        <v>0</v>
      </c>
      <c r="P3541" t="n">
        <v>0</v>
      </c>
      <c r="Q3541" t="n">
        <v>0</v>
      </c>
      <c r="R3541" s="2" t="inlineStr"/>
    </row>
    <row r="3542" ht="15" customHeight="1">
      <c r="A3542" t="inlineStr">
        <is>
          <t>A 15294-2021</t>
        </is>
      </c>
      <c r="B3542" s="1" t="n">
        <v>44284</v>
      </c>
      <c r="C3542" s="1" t="n">
        <v>45212</v>
      </c>
      <c r="D3542" t="inlineStr">
        <is>
          <t>VÄSTERNORRLANDS LÄN</t>
        </is>
      </c>
      <c r="E3542" t="inlineStr">
        <is>
          <t>ÖRNSKÖLDSVIK</t>
        </is>
      </c>
      <c r="G3542" t="n">
        <v>18.4</v>
      </c>
      <c r="H3542" t="n">
        <v>0</v>
      </c>
      <c r="I3542" t="n">
        <v>0</v>
      </c>
      <c r="J3542" t="n">
        <v>0</v>
      </c>
      <c r="K3542" t="n">
        <v>0</v>
      </c>
      <c r="L3542" t="n">
        <v>0</v>
      </c>
      <c r="M3542" t="n">
        <v>0</v>
      </c>
      <c r="N3542" t="n">
        <v>0</v>
      </c>
      <c r="O3542" t="n">
        <v>0</v>
      </c>
      <c r="P3542" t="n">
        <v>0</v>
      </c>
      <c r="Q3542" t="n">
        <v>0</v>
      </c>
      <c r="R3542" s="2" t="inlineStr"/>
    </row>
    <row r="3543" ht="15" customHeight="1">
      <c r="A3543" t="inlineStr">
        <is>
          <t>A 15262-2021</t>
        </is>
      </c>
      <c r="B3543" s="1" t="n">
        <v>44284</v>
      </c>
      <c r="C3543" s="1" t="n">
        <v>45212</v>
      </c>
      <c r="D3543" t="inlineStr">
        <is>
          <t>VÄSTERNORRLANDS LÄN</t>
        </is>
      </c>
      <c r="E3543" t="inlineStr">
        <is>
          <t>KRAMFORS</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15303-2021</t>
        </is>
      </c>
      <c r="B3544" s="1" t="n">
        <v>44284</v>
      </c>
      <c r="C3544" s="1" t="n">
        <v>45212</v>
      </c>
      <c r="D3544" t="inlineStr">
        <is>
          <t>VÄSTERNORRLANDS LÄN</t>
        </is>
      </c>
      <c r="E3544" t="inlineStr">
        <is>
          <t>ÖRNSKÖLDSVIK</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15393-2021</t>
        </is>
      </c>
      <c r="B3545" s="1" t="n">
        <v>44285</v>
      </c>
      <c r="C3545" s="1" t="n">
        <v>45212</v>
      </c>
      <c r="D3545" t="inlineStr">
        <is>
          <t>VÄSTERNORRLANDS LÄN</t>
        </is>
      </c>
      <c r="E3545" t="inlineStr">
        <is>
          <t>ÖRNSKÖLDSVIK</t>
        </is>
      </c>
      <c r="G3545" t="n">
        <v>23.1</v>
      </c>
      <c r="H3545" t="n">
        <v>0</v>
      </c>
      <c r="I3545" t="n">
        <v>0</v>
      </c>
      <c r="J3545" t="n">
        <v>0</v>
      </c>
      <c r="K3545" t="n">
        <v>0</v>
      </c>
      <c r="L3545" t="n">
        <v>0</v>
      </c>
      <c r="M3545" t="n">
        <v>0</v>
      </c>
      <c r="N3545" t="n">
        <v>0</v>
      </c>
      <c r="O3545" t="n">
        <v>0</v>
      </c>
      <c r="P3545" t="n">
        <v>0</v>
      </c>
      <c r="Q3545" t="n">
        <v>0</v>
      </c>
      <c r="R3545" s="2" t="inlineStr"/>
    </row>
    <row r="3546" ht="15" customHeight="1">
      <c r="A3546" t="inlineStr">
        <is>
          <t>A 15461-2021</t>
        </is>
      </c>
      <c r="B3546" s="1" t="n">
        <v>44285</v>
      </c>
      <c r="C3546" s="1" t="n">
        <v>45212</v>
      </c>
      <c r="D3546" t="inlineStr">
        <is>
          <t>VÄSTERNORRLANDS LÄN</t>
        </is>
      </c>
      <c r="E3546" t="inlineStr">
        <is>
          <t>SOLLEFTEÅ</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15894-2021</t>
        </is>
      </c>
      <c r="B3547" s="1" t="n">
        <v>44286</v>
      </c>
      <c r="C3547" s="1" t="n">
        <v>45212</v>
      </c>
      <c r="D3547" t="inlineStr">
        <is>
          <t>VÄSTERNORRLANDS LÄN</t>
        </is>
      </c>
      <c r="E3547" t="inlineStr">
        <is>
          <t>SOLLEFTEÅ</t>
        </is>
      </c>
      <c r="F3547" t="inlineStr">
        <is>
          <t>SCA</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15769-2021</t>
        </is>
      </c>
      <c r="B3548" s="1" t="n">
        <v>44286</v>
      </c>
      <c r="C3548" s="1" t="n">
        <v>45212</v>
      </c>
      <c r="D3548" t="inlineStr">
        <is>
          <t>VÄSTERNORRLANDS LÄN</t>
        </is>
      </c>
      <c r="E3548" t="inlineStr">
        <is>
          <t>SUNDSVALL</t>
        </is>
      </c>
      <c r="F3548" t="inlineStr">
        <is>
          <t>Kommuner</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16233-2021</t>
        </is>
      </c>
      <c r="B3549" s="1" t="n">
        <v>44287</v>
      </c>
      <c r="C3549" s="1" t="n">
        <v>45212</v>
      </c>
      <c r="D3549" t="inlineStr">
        <is>
          <t>VÄSTERNORRLANDS LÄN</t>
        </is>
      </c>
      <c r="E3549" t="inlineStr">
        <is>
          <t>HÄRNÖSAND</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16354-2021</t>
        </is>
      </c>
      <c r="B3550" s="1" t="n">
        <v>44292</v>
      </c>
      <c r="C3550" s="1" t="n">
        <v>45212</v>
      </c>
      <c r="D3550" t="inlineStr">
        <is>
          <t>VÄSTERNORRLANDS LÄN</t>
        </is>
      </c>
      <c r="E3550" t="inlineStr">
        <is>
          <t>KRAMFORS</t>
        </is>
      </c>
      <c r="F3550" t="inlineStr">
        <is>
          <t>Kyrkan</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16345-2021</t>
        </is>
      </c>
      <c r="B3551" s="1" t="n">
        <v>44292</v>
      </c>
      <c r="C3551" s="1" t="n">
        <v>45212</v>
      </c>
      <c r="D3551" t="inlineStr">
        <is>
          <t>VÄSTERNORRLANDS LÄN</t>
        </is>
      </c>
      <c r="E3551" t="inlineStr">
        <is>
          <t>KRAMFORS</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16448-2021</t>
        </is>
      </c>
      <c r="B3552" s="1" t="n">
        <v>44292</v>
      </c>
      <c r="C3552" s="1" t="n">
        <v>45212</v>
      </c>
      <c r="D3552" t="inlineStr">
        <is>
          <t>VÄSTERNORRLANDS LÄN</t>
        </is>
      </c>
      <c r="E3552" t="inlineStr">
        <is>
          <t>KRAMFORS</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16334-2021</t>
        </is>
      </c>
      <c r="B3553" s="1" t="n">
        <v>44292</v>
      </c>
      <c r="C3553" s="1" t="n">
        <v>45212</v>
      </c>
      <c r="D3553" t="inlineStr">
        <is>
          <t>VÄSTERNORRLANDS LÄN</t>
        </is>
      </c>
      <c r="E3553" t="inlineStr">
        <is>
          <t>SUNDSVALL</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16424-2021</t>
        </is>
      </c>
      <c r="B3554" s="1" t="n">
        <v>44292</v>
      </c>
      <c r="C3554" s="1" t="n">
        <v>45212</v>
      </c>
      <c r="D3554" t="inlineStr">
        <is>
          <t>VÄSTERNORRLANDS LÄN</t>
        </is>
      </c>
      <c r="E3554" t="inlineStr">
        <is>
          <t>SUNDSVALL</t>
        </is>
      </c>
      <c r="G3554" t="n">
        <v>0.2</v>
      </c>
      <c r="H3554" t="n">
        <v>0</v>
      </c>
      <c r="I3554" t="n">
        <v>0</v>
      </c>
      <c r="J3554" t="n">
        <v>0</v>
      </c>
      <c r="K3554" t="n">
        <v>0</v>
      </c>
      <c r="L3554" t="n">
        <v>0</v>
      </c>
      <c r="M3554" t="n">
        <v>0</v>
      </c>
      <c r="N3554" t="n">
        <v>0</v>
      </c>
      <c r="O3554" t="n">
        <v>0</v>
      </c>
      <c r="P3554" t="n">
        <v>0</v>
      </c>
      <c r="Q3554" t="n">
        <v>0</v>
      </c>
      <c r="R3554" s="2" t="inlineStr"/>
    </row>
    <row r="3555" ht="15" customHeight="1">
      <c r="A3555" t="inlineStr">
        <is>
          <t>A 16389-2021</t>
        </is>
      </c>
      <c r="B3555" s="1" t="n">
        <v>44293</v>
      </c>
      <c r="C3555" s="1" t="n">
        <v>45212</v>
      </c>
      <c r="D3555" t="inlineStr">
        <is>
          <t>VÄSTERNORRLANDS LÄN</t>
        </is>
      </c>
      <c r="E3555" t="inlineStr">
        <is>
          <t>ÅNGE</t>
        </is>
      </c>
      <c r="G3555" t="n">
        <v>16.9</v>
      </c>
      <c r="H3555" t="n">
        <v>0</v>
      </c>
      <c r="I3555" t="n">
        <v>0</v>
      </c>
      <c r="J3555" t="n">
        <v>0</v>
      </c>
      <c r="K3555" t="n">
        <v>0</v>
      </c>
      <c r="L3555" t="n">
        <v>0</v>
      </c>
      <c r="M3555" t="n">
        <v>0</v>
      </c>
      <c r="N3555" t="n">
        <v>0</v>
      </c>
      <c r="O3555" t="n">
        <v>0</v>
      </c>
      <c r="P3555" t="n">
        <v>0</v>
      </c>
      <c r="Q3555" t="n">
        <v>0</v>
      </c>
      <c r="R3555" s="2" t="inlineStr"/>
    </row>
    <row r="3556" ht="15" customHeight="1">
      <c r="A3556" t="inlineStr">
        <is>
          <t>A 16799-2021</t>
        </is>
      </c>
      <c r="B3556" s="1" t="n">
        <v>44293</v>
      </c>
      <c r="C3556" s="1" t="n">
        <v>45212</v>
      </c>
      <c r="D3556" t="inlineStr">
        <is>
          <t>VÄSTERNORRLANDS LÄN</t>
        </is>
      </c>
      <c r="E3556" t="inlineStr">
        <is>
          <t>SOLLEFTEÅ</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16444-2021</t>
        </is>
      </c>
      <c r="B3557" s="1" t="n">
        <v>44293</v>
      </c>
      <c r="C3557" s="1" t="n">
        <v>45212</v>
      </c>
      <c r="D3557" t="inlineStr">
        <is>
          <t>VÄSTERNORRLANDS LÄN</t>
        </is>
      </c>
      <c r="E3557" t="inlineStr">
        <is>
          <t>KRAMFORS</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16475-2021</t>
        </is>
      </c>
      <c r="B3558" s="1" t="n">
        <v>44293</v>
      </c>
      <c r="C3558" s="1" t="n">
        <v>45212</v>
      </c>
      <c r="D3558" t="inlineStr">
        <is>
          <t>VÄSTERNORRLANDS LÄN</t>
        </is>
      </c>
      <c r="E3558" t="inlineStr">
        <is>
          <t>ÖRNSKÖLDSVIK</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16700-2021</t>
        </is>
      </c>
      <c r="B3559" s="1" t="n">
        <v>44293</v>
      </c>
      <c r="C3559" s="1" t="n">
        <v>45212</v>
      </c>
      <c r="D3559" t="inlineStr">
        <is>
          <t>VÄSTERNORRLANDS LÄN</t>
        </is>
      </c>
      <c r="E3559" t="inlineStr">
        <is>
          <t>SOLLEFTEÅ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16902-2021</t>
        </is>
      </c>
      <c r="B3560" s="1" t="n">
        <v>44294</v>
      </c>
      <c r="C3560" s="1" t="n">
        <v>45212</v>
      </c>
      <c r="D3560" t="inlineStr">
        <is>
          <t>VÄSTERNORRLANDS LÄN</t>
        </is>
      </c>
      <c r="E3560" t="inlineStr">
        <is>
          <t>KRAMFORS</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16905-2021</t>
        </is>
      </c>
      <c r="B3561" s="1" t="n">
        <v>44294</v>
      </c>
      <c r="C3561" s="1" t="n">
        <v>45212</v>
      </c>
      <c r="D3561" t="inlineStr">
        <is>
          <t>VÄSTERNORRLANDS LÄN</t>
        </is>
      </c>
      <c r="E3561" t="inlineStr">
        <is>
          <t>SOLLEFTEÅ</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17298-2021</t>
        </is>
      </c>
      <c r="B3562" s="1" t="n">
        <v>44298</v>
      </c>
      <c r="C3562" s="1" t="n">
        <v>45212</v>
      </c>
      <c r="D3562" t="inlineStr">
        <is>
          <t>VÄSTERNORRLANDS LÄN</t>
        </is>
      </c>
      <c r="E3562" t="inlineStr">
        <is>
          <t>ÖRNSKÖLDSVIK</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17379-2021</t>
        </is>
      </c>
      <c r="B3563" s="1" t="n">
        <v>44298</v>
      </c>
      <c r="C3563" s="1" t="n">
        <v>45212</v>
      </c>
      <c r="D3563" t="inlineStr">
        <is>
          <t>VÄSTERNORRLANDS LÄN</t>
        </is>
      </c>
      <c r="E3563" t="inlineStr">
        <is>
          <t>SUNDSVALL</t>
        </is>
      </c>
      <c r="F3563" t="inlineStr">
        <is>
          <t>SCA</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17289-2021</t>
        </is>
      </c>
      <c r="B3564" s="1" t="n">
        <v>44298</v>
      </c>
      <c r="C3564" s="1" t="n">
        <v>45212</v>
      </c>
      <c r="D3564" t="inlineStr">
        <is>
          <t>VÄSTERNORRLANDS LÄN</t>
        </is>
      </c>
      <c r="E3564" t="inlineStr">
        <is>
          <t>ÖRNSKÖLDSVIK</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17594-2021</t>
        </is>
      </c>
      <c r="B3565" s="1" t="n">
        <v>44299</v>
      </c>
      <c r="C3565" s="1" t="n">
        <v>45212</v>
      </c>
      <c r="D3565" t="inlineStr">
        <is>
          <t>VÄSTERNORRLANDS LÄN</t>
        </is>
      </c>
      <c r="E3565" t="inlineStr">
        <is>
          <t>ÅNGE</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17643-2021</t>
        </is>
      </c>
      <c r="B3566" s="1" t="n">
        <v>44299</v>
      </c>
      <c r="C3566" s="1" t="n">
        <v>45212</v>
      </c>
      <c r="D3566" t="inlineStr">
        <is>
          <t>VÄSTERNORRLANDS LÄN</t>
        </is>
      </c>
      <c r="E3566" t="inlineStr">
        <is>
          <t>ÖRNSKÖLDSVIK</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17604-2021</t>
        </is>
      </c>
      <c r="B3567" s="1" t="n">
        <v>44299</v>
      </c>
      <c r="C3567" s="1" t="n">
        <v>45212</v>
      </c>
      <c r="D3567" t="inlineStr">
        <is>
          <t>VÄSTERNORRLANDS LÄN</t>
        </is>
      </c>
      <c r="E3567" t="inlineStr">
        <is>
          <t>SOLLEFTEÅ</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17646-2021</t>
        </is>
      </c>
      <c r="B3568" s="1" t="n">
        <v>44300</v>
      </c>
      <c r="C3568" s="1" t="n">
        <v>45212</v>
      </c>
      <c r="D3568" t="inlineStr">
        <is>
          <t>VÄSTERNORRLANDS LÄN</t>
        </is>
      </c>
      <c r="E3568" t="inlineStr">
        <is>
          <t>ÖRNSKÖLDSVIK</t>
        </is>
      </c>
      <c r="F3568" t="inlineStr">
        <is>
          <t>Holmen skog AB</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17690-2021</t>
        </is>
      </c>
      <c r="B3569" s="1" t="n">
        <v>44300</v>
      </c>
      <c r="C3569" s="1" t="n">
        <v>45212</v>
      </c>
      <c r="D3569" t="inlineStr">
        <is>
          <t>VÄSTERNORRLANDS LÄN</t>
        </is>
      </c>
      <c r="E3569" t="inlineStr">
        <is>
          <t>SUNDSVALL</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17708-2021</t>
        </is>
      </c>
      <c r="B3570" s="1" t="n">
        <v>44300</v>
      </c>
      <c r="C3570" s="1" t="n">
        <v>45212</v>
      </c>
      <c r="D3570" t="inlineStr">
        <is>
          <t>VÄSTERNORRLANDS LÄN</t>
        </is>
      </c>
      <c r="E3570" t="inlineStr">
        <is>
          <t>ÖRNSKÖLDSVIK</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18049-2021</t>
        </is>
      </c>
      <c r="B3571" s="1" t="n">
        <v>44301</v>
      </c>
      <c r="C3571" s="1" t="n">
        <v>45212</v>
      </c>
      <c r="D3571" t="inlineStr">
        <is>
          <t>VÄSTERNORRLANDS LÄN</t>
        </is>
      </c>
      <c r="E3571" t="inlineStr">
        <is>
          <t>HÄRNÖSAND</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18060-2021</t>
        </is>
      </c>
      <c r="B3572" s="1" t="n">
        <v>44301</v>
      </c>
      <c r="C3572" s="1" t="n">
        <v>45212</v>
      </c>
      <c r="D3572" t="inlineStr">
        <is>
          <t>VÄSTERNORRLANDS LÄN</t>
        </is>
      </c>
      <c r="E3572" t="inlineStr">
        <is>
          <t>HÄRNÖSAND</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18070-2021</t>
        </is>
      </c>
      <c r="B3573" s="1" t="n">
        <v>44301</v>
      </c>
      <c r="C3573" s="1" t="n">
        <v>45212</v>
      </c>
      <c r="D3573" t="inlineStr">
        <is>
          <t>VÄSTERNORRLANDS LÄN</t>
        </is>
      </c>
      <c r="E3573" t="inlineStr">
        <is>
          <t>HÄRNÖSAND</t>
        </is>
      </c>
      <c r="G3573" t="n">
        <v>0.3</v>
      </c>
      <c r="H3573" t="n">
        <v>0</v>
      </c>
      <c r="I3573" t="n">
        <v>0</v>
      </c>
      <c r="J3573" t="n">
        <v>0</v>
      </c>
      <c r="K3573" t="n">
        <v>0</v>
      </c>
      <c r="L3573" t="n">
        <v>0</v>
      </c>
      <c r="M3573" t="n">
        <v>0</v>
      </c>
      <c r="N3573" t="n">
        <v>0</v>
      </c>
      <c r="O3573" t="n">
        <v>0</v>
      </c>
      <c r="P3573" t="n">
        <v>0</v>
      </c>
      <c r="Q3573" t="n">
        <v>0</v>
      </c>
      <c r="R3573" s="2" t="inlineStr"/>
    </row>
    <row r="3574" ht="15" customHeight="1">
      <c r="A3574" t="inlineStr">
        <is>
          <t>A 18088-2021</t>
        </is>
      </c>
      <c r="B3574" s="1" t="n">
        <v>44301</v>
      </c>
      <c r="C3574" s="1" t="n">
        <v>45212</v>
      </c>
      <c r="D3574" t="inlineStr">
        <is>
          <t>VÄSTERNORRLANDS LÄN</t>
        </is>
      </c>
      <c r="E3574" t="inlineStr">
        <is>
          <t>HÄRNÖSAND</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18222-2021</t>
        </is>
      </c>
      <c r="B3575" s="1" t="n">
        <v>44302</v>
      </c>
      <c r="C3575" s="1" t="n">
        <v>45212</v>
      </c>
      <c r="D3575" t="inlineStr">
        <is>
          <t>VÄSTERNORRLANDS LÄN</t>
        </is>
      </c>
      <c r="E3575" t="inlineStr">
        <is>
          <t>KRAMFORS</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18225-2021</t>
        </is>
      </c>
      <c r="B3576" s="1" t="n">
        <v>44302</v>
      </c>
      <c r="C3576" s="1" t="n">
        <v>45212</v>
      </c>
      <c r="D3576" t="inlineStr">
        <is>
          <t>VÄSTERNORRLANDS LÄN</t>
        </is>
      </c>
      <c r="E3576" t="inlineStr">
        <is>
          <t>KRAMFORS</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18226-2021</t>
        </is>
      </c>
      <c r="B3577" s="1" t="n">
        <v>44302</v>
      </c>
      <c r="C3577" s="1" t="n">
        <v>45212</v>
      </c>
      <c r="D3577" t="inlineStr">
        <is>
          <t>VÄSTERNORRLANDS LÄN</t>
        </is>
      </c>
      <c r="E3577" t="inlineStr">
        <is>
          <t>KRAMFORS</t>
        </is>
      </c>
      <c r="G3577" t="n">
        <v>3.3</v>
      </c>
      <c r="H3577" t="n">
        <v>0</v>
      </c>
      <c r="I3577" t="n">
        <v>0</v>
      </c>
      <c r="J3577" t="n">
        <v>0</v>
      </c>
      <c r="K3577" t="n">
        <v>0</v>
      </c>
      <c r="L3577" t="n">
        <v>0</v>
      </c>
      <c r="M3577" t="n">
        <v>0</v>
      </c>
      <c r="N3577" t="n">
        <v>0</v>
      </c>
      <c r="O3577" t="n">
        <v>0</v>
      </c>
      <c r="P3577" t="n">
        <v>0</v>
      </c>
      <c r="Q3577" t="n">
        <v>0</v>
      </c>
      <c r="R3577" s="2" t="inlineStr"/>
    </row>
    <row r="3578" ht="15" customHeight="1">
      <c r="A3578" t="inlineStr">
        <is>
          <t>A 18422-2021</t>
        </is>
      </c>
      <c r="B3578" s="1" t="n">
        <v>44305</v>
      </c>
      <c r="C3578" s="1" t="n">
        <v>45212</v>
      </c>
      <c r="D3578" t="inlineStr">
        <is>
          <t>VÄSTERNORRLANDS LÄN</t>
        </is>
      </c>
      <c r="E3578" t="inlineStr">
        <is>
          <t>ÅNGE</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18379-2021</t>
        </is>
      </c>
      <c r="B3579" s="1" t="n">
        <v>44305</v>
      </c>
      <c r="C3579" s="1" t="n">
        <v>45212</v>
      </c>
      <c r="D3579" t="inlineStr">
        <is>
          <t>VÄSTERNORRLANDS LÄN</t>
        </is>
      </c>
      <c r="E3579" t="inlineStr">
        <is>
          <t>ÅNGE</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18368-2021</t>
        </is>
      </c>
      <c r="B3580" s="1" t="n">
        <v>44305</v>
      </c>
      <c r="C3580" s="1" t="n">
        <v>45212</v>
      </c>
      <c r="D3580" t="inlineStr">
        <is>
          <t>VÄSTERNORRLANDS LÄN</t>
        </is>
      </c>
      <c r="E3580" t="inlineStr">
        <is>
          <t>ÅNGE</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18672-2021</t>
        </is>
      </c>
      <c r="B3581" s="1" t="n">
        <v>44306</v>
      </c>
      <c r="C3581" s="1" t="n">
        <v>45212</v>
      </c>
      <c r="D3581" t="inlineStr">
        <is>
          <t>VÄSTERNORRLANDS LÄN</t>
        </is>
      </c>
      <c r="E3581" t="inlineStr">
        <is>
          <t>SUNDSVALL</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18741-2021</t>
        </is>
      </c>
      <c r="B3582" s="1" t="n">
        <v>44306</v>
      </c>
      <c r="C3582" s="1" t="n">
        <v>45212</v>
      </c>
      <c r="D3582" t="inlineStr">
        <is>
          <t>VÄSTERNORRLANDS LÄN</t>
        </is>
      </c>
      <c r="E3582" t="inlineStr">
        <is>
          <t>SOLLEFTEÅ</t>
        </is>
      </c>
      <c r="F3582" t="inlineStr">
        <is>
          <t>Kyrkan</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18662-2021</t>
        </is>
      </c>
      <c r="B3583" s="1" t="n">
        <v>44306</v>
      </c>
      <c r="C3583" s="1" t="n">
        <v>45212</v>
      </c>
      <c r="D3583" t="inlineStr">
        <is>
          <t>VÄSTERNORRLANDS LÄN</t>
        </is>
      </c>
      <c r="E3583" t="inlineStr">
        <is>
          <t>SOLLEFTEÅ</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18668-2021</t>
        </is>
      </c>
      <c r="B3584" s="1" t="n">
        <v>44306</v>
      </c>
      <c r="C3584" s="1" t="n">
        <v>45212</v>
      </c>
      <c r="D3584" t="inlineStr">
        <is>
          <t>VÄSTERNORRLANDS LÄN</t>
        </is>
      </c>
      <c r="E3584" t="inlineStr">
        <is>
          <t>SOLLEFTEÅ</t>
        </is>
      </c>
      <c r="G3584" t="n">
        <v>12.7</v>
      </c>
      <c r="H3584" t="n">
        <v>0</v>
      </c>
      <c r="I3584" t="n">
        <v>0</v>
      </c>
      <c r="J3584" t="n">
        <v>0</v>
      </c>
      <c r="K3584" t="n">
        <v>0</v>
      </c>
      <c r="L3584" t="n">
        <v>0</v>
      </c>
      <c r="M3584" t="n">
        <v>0</v>
      </c>
      <c r="N3584" t="n">
        <v>0</v>
      </c>
      <c r="O3584" t="n">
        <v>0</v>
      </c>
      <c r="P3584" t="n">
        <v>0</v>
      </c>
      <c r="Q3584" t="n">
        <v>0</v>
      </c>
      <c r="R3584" s="2" t="inlineStr"/>
    </row>
    <row r="3585" ht="15" customHeight="1">
      <c r="A3585" t="inlineStr">
        <is>
          <t>A 18766-2021</t>
        </is>
      </c>
      <c r="B3585" s="1" t="n">
        <v>44307</v>
      </c>
      <c r="C3585" s="1" t="n">
        <v>45212</v>
      </c>
      <c r="D3585" t="inlineStr">
        <is>
          <t>VÄSTERNORRLANDS LÄN</t>
        </is>
      </c>
      <c r="E3585" t="inlineStr">
        <is>
          <t>SOLLEFTEÅ</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18875-2021</t>
        </is>
      </c>
      <c r="B3586" s="1" t="n">
        <v>44307</v>
      </c>
      <c r="C3586" s="1" t="n">
        <v>45212</v>
      </c>
      <c r="D3586" t="inlineStr">
        <is>
          <t>VÄSTERNORRLANDS LÄN</t>
        </is>
      </c>
      <c r="E3586" t="inlineStr">
        <is>
          <t>SOLLEFTEÅ</t>
        </is>
      </c>
      <c r="F3586" t="inlineStr">
        <is>
          <t>SCA</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18761-2021</t>
        </is>
      </c>
      <c r="B3587" s="1" t="n">
        <v>44307</v>
      </c>
      <c r="C3587" s="1" t="n">
        <v>45212</v>
      </c>
      <c r="D3587" t="inlineStr">
        <is>
          <t>VÄSTERNORRLANDS LÄN</t>
        </is>
      </c>
      <c r="E3587" t="inlineStr">
        <is>
          <t>SOLLEFTEÅ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18774-2021</t>
        </is>
      </c>
      <c r="B3588" s="1" t="n">
        <v>44307</v>
      </c>
      <c r="C3588" s="1" t="n">
        <v>45212</v>
      </c>
      <c r="D3588" t="inlineStr">
        <is>
          <t>VÄSTERNORRLANDS LÄN</t>
        </is>
      </c>
      <c r="E3588" t="inlineStr">
        <is>
          <t>SUNDSVALL</t>
        </is>
      </c>
      <c r="G3588" t="n">
        <v>0.3</v>
      </c>
      <c r="H3588" t="n">
        <v>0</v>
      </c>
      <c r="I3588" t="n">
        <v>0</v>
      </c>
      <c r="J3588" t="n">
        <v>0</v>
      </c>
      <c r="K3588" t="n">
        <v>0</v>
      </c>
      <c r="L3588" t="n">
        <v>0</v>
      </c>
      <c r="M3588" t="n">
        <v>0</v>
      </c>
      <c r="N3588" t="n">
        <v>0</v>
      </c>
      <c r="O3588" t="n">
        <v>0</v>
      </c>
      <c r="P3588" t="n">
        <v>0</v>
      </c>
      <c r="Q3588" t="n">
        <v>0</v>
      </c>
      <c r="R3588" s="2" t="inlineStr"/>
    </row>
    <row r="3589" ht="15" customHeight="1">
      <c r="A3589" t="inlineStr">
        <is>
          <t>A 18867-2021</t>
        </is>
      </c>
      <c r="B3589" s="1" t="n">
        <v>44307</v>
      </c>
      <c r="C3589" s="1" t="n">
        <v>45212</v>
      </c>
      <c r="D3589" t="inlineStr">
        <is>
          <t>VÄSTERNORRLANDS LÄN</t>
        </is>
      </c>
      <c r="E3589" t="inlineStr">
        <is>
          <t>SOLLEFTEÅ</t>
        </is>
      </c>
      <c r="F3589" t="inlineStr">
        <is>
          <t>SCA</t>
        </is>
      </c>
      <c r="G3589" t="n">
        <v>2</v>
      </c>
      <c r="H3589" t="n">
        <v>0</v>
      </c>
      <c r="I3589" t="n">
        <v>0</v>
      </c>
      <c r="J3589" t="n">
        <v>0</v>
      </c>
      <c r="K3589" t="n">
        <v>0</v>
      </c>
      <c r="L3589" t="n">
        <v>0</v>
      </c>
      <c r="M3589" t="n">
        <v>0</v>
      </c>
      <c r="N3589" t="n">
        <v>0</v>
      </c>
      <c r="O3589" t="n">
        <v>0</v>
      </c>
      <c r="P3589" t="n">
        <v>0</v>
      </c>
      <c r="Q3589" t="n">
        <v>0</v>
      </c>
      <c r="R3589" s="2" t="inlineStr"/>
    </row>
    <row r="3590" ht="15" customHeight="1">
      <c r="A3590" t="inlineStr">
        <is>
          <t>A 18879-2021</t>
        </is>
      </c>
      <c r="B3590" s="1" t="n">
        <v>44307</v>
      </c>
      <c r="C3590" s="1" t="n">
        <v>45212</v>
      </c>
      <c r="D3590" t="inlineStr">
        <is>
          <t>VÄSTERNORRLANDS LÄN</t>
        </is>
      </c>
      <c r="E3590" t="inlineStr">
        <is>
          <t>SOLLEFTEÅ</t>
        </is>
      </c>
      <c r="F3590" t="inlineStr">
        <is>
          <t>SCA</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18868-2021</t>
        </is>
      </c>
      <c r="B3591" s="1" t="n">
        <v>44307</v>
      </c>
      <c r="C3591" s="1" t="n">
        <v>45212</v>
      </c>
      <c r="D3591" t="inlineStr">
        <is>
          <t>VÄSTERNORRLANDS LÄN</t>
        </is>
      </c>
      <c r="E3591" t="inlineStr">
        <is>
          <t>SOLLEFTEÅ</t>
        </is>
      </c>
      <c r="F3591" t="inlineStr">
        <is>
          <t>SCA</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18878-2021</t>
        </is>
      </c>
      <c r="B3592" s="1" t="n">
        <v>44307</v>
      </c>
      <c r="C3592" s="1" t="n">
        <v>45212</v>
      </c>
      <c r="D3592" t="inlineStr">
        <is>
          <t>VÄSTERNORRLANDS LÄN</t>
        </is>
      </c>
      <c r="E3592" t="inlineStr">
        <is>
          <t>SOLLEFTEÅ</t>
        </is>
      </c>
      <c r="F3592" t="inlineStr">
        <is>
          <t>SCA</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18889-2021</t>
        </is>
      </c>
      <c r="B3593" s="1" t="n">
        <v>44308</v>
      </c>
      <c r="C3593" s="1" t="n">
        <v>45212</v>
      </c>
      <c r="D3593" t="inlineStr">
        <is>
          <t>VÄSTERNORRLANDS LÄN</t>
        </is>
      </c>
      <c r="E3593" t="inlineStr">
        <is>
          <t>SOLLEFTEÅ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19102-2021</t>
        </is>
      </c>
      <c r="B3594" s="1" t="n">
        <v>44308</v>
      </c>
      <c r="C3594" s="1" t="n">
        <v>45212</v>
      </c>
      <c r="D3594" t="inlineStr">
        <is>
          <t>VÄSTERNORRLANDS LÄN</t>
        </is>
      </c>
      <c r="E3594" t="inlineStr">
        <is>
          <t>ÅNGE</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19510-2021</t>
        </is>
      </c>
      <c r="B3595" s="1" t="n">
        <v>44308</v>
      </c>
      <c r="C3595" s="1" t="n">
        <v>45212</v>
      </c>
      <c r="D3595" t="inlineStr">
        <is>
          <t>VÄSTERNORRLANDS LÄN</t>
        </is>
      </c>
      <c r="E3595" t="inlineStr">
        <is>
          <t>SOLLEFTEÅ</t>
        </is>
      </c>
      <c r="F3595" t="inlineStr">
        <is>
          <t>Kyrkan</t>
        </is>
      </c>
      <c r="G3595" t="n">
        <v>19.6</v>
      </c>
      <c r="H3595" t="n">
        <v>0</v>
      </c>
      <c r="I3595" t="n">
        <v>0</v>
      </c>
      <c r="J3595" t="n">
        <v>0</v>
      </c>
      <c r="K3595" t="n">
        <v>0</v>
      </c>
      <c r="L3595" t="n">
        <v>0</v>
      </c>
      <c r="M3595" t="n">
        <v>0</v>
      </c>
      <c r="N3595" t="n">
        <v>0</v>
      </c>
      <c r="O3595" t="n">
        <v>0</v>
      </c>
      <c r="P3595" t="n">
        <v>0</v>
      </c>
      <c r="Q3595" t="n">
        <v>0</v>
      </c>
      <c r="R3595" s="2" t="inlineStr"/>
    </row>
    <row r="3596" ht="15" customHeight="1">
      <c r="A3596" t="inlineStr">
        <is>
          <t>A 19079-2021</t>
        </is>
      </c>
      <c r="B3596" s="1" t="n">
        <v>44308</v>
      </c>
      <c r="C3596" s="1" t="n">
        <v>45212</v>
      </c>
      <c r="D3596" t="inlineStr">
        <is>
          <t>VÄSTERNORRLANDS LÄN</t>
        </is>
      </c>
      <c r="E3596" t="inlineStr">
        <is>
          <t>ÖRNSKÖLDSVIK</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19122-2021</t>
        </is>
      </c>
      <c r="B3597" s="1" t="n">
        <v>44308</v>
      </c>
      <c r="C3597" s="1" t="n">
        <v>45212</v>
      </c>
      <c r="D3597" t="inlineStr">
        <is>
          <t>VÄSTERNORRLANDS LÄN</t>
        </is>
      </c>
      <c r="E3597" t="inlineStr">
        <is>
          <t>KRAMFORS</t>
        </is>
      </c>
      <c r="G3597" t="n">
        <v>2.7</v>
      </c>
      <c r="H3597" t="n">
        <v>0</v>
      </c>
      <c r="I3597" t="n">
        <v>0</v>
      </c>
      <c r="J3597" t="n">
        <v>0</v>
      </c>
      <c r="K3597" t="n">
        <v>0</v>
      </c>
      <c r="L3597" t="n">
        <v>0</v>
      </c>
      <c r="M3597" t="n">
        <v>0</v>
      </c>
      <c r="N3597" t="n">
        <v>0</v>
      </c>
      <c r="O3597" t="n">
        <v>0</v>
      </c>
      <c r="P3597" t="n">
        <v>0</v>
      </c>
      <c r="Q3597" t="n">
        <v>0</v>
      </c>
      <c r="R3597" s="2" t="inlineStr"/>
    </row>
    <row r="3598" ht="15" customHeight="1">
      <c r="A3598" t="inlineStr">
        <is>
          <t>A 19128-2021</t>
        </is>
      </c>
      <c r="B3598" s="1" t="n">
        <v>44308</v>
      </c>
      <c r="C3598" s="1" t="n">
        <v>45212</v>
      </c>
      <c r="D3598" t="inlineStr">
        <is>
          <t>VÄSTERNORRLANDS LÄN</t>
        </is>
      </c>
      <c r="E3598" t="inlineStr">
        <is>
          <t>KRAMFORS</t>
        </is>
      </c>
      <c r="G3598" t="n">
        <v>6.9</v>
      </c>
      <c r="H3598" t="n">
        <v>0</v>
      </c>
      <c r="I3598" t="n">
        <v>0</v>
      </c>
      <c r="J3598" t="n">
        <v>0</v>
      </c>
      <c r="K3598" t="n">
        <v>0</v>
      </c>
      <c r="L3598" t="n">
        <v>0</v>
      </c>
      <c r="M3598" t="n">
        <v>0</v>
      </c>
      <c r="N3598" t="n">
        <v>0</v>
      </c>
      <c r="O3598" t="n">
        <v>0</v>
      </c>
      <c r="P3598" t="n">
        <v>0</v>
      </c>
      <c r="Q3598" t="n">
        <v>0</v>
      </c>
      <c r="R3598" s="2" t="inlineStr"/>
    </row>
    <row r="3599" ht="15" customHeight="1">
      <c r="A3599" t="inlineStr">
        <is>
          <t>A 19136-2021</t>
        </is>
      </c>
      <c r="B3599" s="1" t="n">
        <v>44308</v>
      </c>
      <c r="C3599" s="1" t="n">
        <v>45212</v>
      </c>
      <c r="D3599" t="inlineStr">
        <is>
          <t>VÄSTERNORRLANDS LÄN</t>
        </is>
      </c>
      <c r="E3599" t="inlineStr">
        <is>
          <t>KRAMFORS</t>
        </is>
      </c>
      <c r="G3599" t="n">
        <v>4</v>
      </c>
      <c r="H3599" t="n">
        <v>0</v>
      </c>
      <c r="I3599" t="n">
        <v>0</v>
      </c>
      <c r="J3599" t="n">
        <v>0</v>
      </c>
      <c r="K3599" t="n">
        <v>0</v>
      </c>
      <c r="L3599" t="n">
        <v>0</v>
      </c>
      <c r="M3599" t="n">
        <v>0</v>
      </c>
      <c r="N3599" t="n">
        <v>0</v>
      </c>
      <c r="O3599" t="n">
        <v>0</v>
      </c>
      <c r="P3599" t="n">
        <v>0</v>
      </c>
      <c r="Q3599" t="n">
        <v>0</v>
      </c>
      <c r="R3599" s="2" t="inlineStr"/>
    </row>
    <row r="3600" ht="15" customHeight="1">
      <c r="A3600" t="inlineStr">
        <is>
          <t>A 19208-2021</t>
        </is>
      </c>
      <c r="B3600" s="1" t="n">
        <v>44308</v>
      </c>
      <c r="C3600" s="1" t="n">
        <v>45212</v>
      </c>
      <c r="D3600" t="inlineStr">
        <is>
          <t>VÄSTERNORRLANDS LÄN</t>
        </is>
      </c>
      <c r="E3600" t="inlineStr">
        <is>
          <t>SUNDSVALL</t>
        </is>
      </c>
      <c r="G3600" t="n">
        <v>19.1</v>
      </c>
      <c r="H3600" t="n">
        <v>0</v>
      </c>
      <c r="I3600" t="n">
        <v>0</v>
      </c>
      <c r="J3600" t="n">
        <v>0</v>
      </c>
      <c r="K3600" t="n">
        <v>0</v>
      </c>
      <c r="L3600" t="n">
        <v>0</v>
      </c>
      <c r="M3600" t="n">
        <v>0</v>
      </c>
      <c r="N3600" t="n">
        <v>0</v>
      </c>
      <c r="O3600" t="n">
        <v>0</v>
      </c>
      <c r="P3600" t="n">
        <v>0</v>
      </c>
      <c r="Q3600" t="n">
        <v>0</v>
      </c>
      <c r="R3600" s="2" t="inlineStr"/>
    </row>
    <row r="3601" ht="15" customHeight="1">
      <c r="A3601" t="inlineStr">
        <is>
          <t>A 19131-2021</t>
        </is>
      </c>
      <c r="B3601" s="1" t="n">
        <v>44308</v>
      </c>
      <c r="C3601" s="1" t="n">
        <v>45212</v>
      </c>
      <c r="D3601" t="inlineStr">
        <is>
          <t>VÄSTERNORRLANDS LÄN</t>
        </is>
      </c>
      <c r="E3601" t="inlineStr">
        <is>
          <t>KRAMFORS</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19227-2021</t>
        </is>
      </c>
      <c r="B3602" s="1" t="n">
        <v>44309</v>
      </c>
      <c r="C3602" s="1" t="n">
        <v>45212</v>
      </c>
      <c r="D3602" t="inlineStr">
        <is>
          <t>VÄSTERNORRLANDS LÄN</t>
        </is>
      </c>
      <c r="E3602" t="inlineStr">
        <is>
          <t>ÖRNSKÖLDSVIK</t>
        </is>
      </c>
      <c r="F3602" t="inlineStr">
        <is>
          <t>Holmen skog AB</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19328-2021</t>
        </is>
      </c>
      <c r="B3603" s="1" t="n">
        <v>44309</v>
      </c>
      <c r="C3603" s="1" t="n">
        <v>45212</v>
      </c>
      <c r="D3603" t="inlineStr">
        <is>
          <t>VÄSTERNORRLANDS LÄN</t>
        </is>
      </c>
      <c r="E3603" t="inlineStr">
        <is>
          <t>ÖRNSKÖLDSVIK</t>
        </is>
      </c>
      <c r="F3603" t="inlineStr">
        <is>
          <t>Holmen skog AB</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19425-2021</t>
        </is>
      </c>
      <c r="B3604" s="1" t="n">
        <v>44309</v>
      </c>
      <c r="C3604" s="1" t="n">
        <v>45212</v>
      </c>
      <c r="D3604" t="inlineStr">
        <is>
          <t>VÄSTERNORRLANDS LÄN</t>
        </is>
      </c>
      <c r="E3604" t="inlineStr">
        <is>
          <t>KRAMFORS</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19220-2021</t>
        </is>
      </c>
      <c r="B3605" s="1" t="n">
        <v>44309</v>
      </c>
      <c r="C3605" s="1" t="n">
        <v>45212</v>
      </c>
      <c r="D3605" t="inlineStr">
        <is>
          <t>VÄSTERNORRLANDS LÄN</t>
        </is>
      </c>
      <c r="E3605" t="inlineStr">
        <is>
          <t>SOLLEFTEÅ</t>
        </is>
      </c>
      <c r="F3605" t="inlineStr">
        <is>
          <t>Holmen skog AB</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19236-2021</t>
        </is>
      </c>
      <c r="B3606" s="1" t="n">
        <v>44309</v>
      </c>
      <c r="C3606" s="1" t="n">
        <v>45212</v>
      </c>
      <c r="D3606" t="inlineStr">
        <is>
          <t>VÄSTERNORRLANDS LÄN</t>
        </is>
      </c>
      <c r="E3606" t="inlineStr">
        <is>
          <t>SUNDSVALL</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19321-2021</t>
        </is>
      </c>
      <c r="B3607" s="1" t="n">
        <v>44309</v>
      </c>
      <c r="C3607" s="1" t="n">
        <v>45212</v>
      </c>
      <c r="D3607" t="inlineStr">
        <is>
          <t>VÄSTERNORRLANDS LÄN</t>
        </is>
      </c>
      <c r="E3607" t="inlineStr">
        <is>
          <t>ÖRNSKÖLDSVIK</t>
        </is>
      </c>
      <c r="F3607" t="inlineStr">
        <is>
          <t>Holmen skog AB</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19516-2021</t>
        </is>
      </c>
      <c r="B3608" s="1" t="n">
        <v>44309</v>
      </c>
      <c r="C3608" s="1" t="n">
        <v>45212</v>
      </c>
      <c r="D3608" t="inlineStr">
        <is>
          <t>VÄSTERNORRLANDS LÄN</t>
        </is>
      </c>
      <c r="E3608" t="inlineStr">
        <is>
          <t>SOLLEFTEÅ</t>
        </is>
      </c>
      <c r="G3608" t="n">
        <v>15.6</v>
      </c>
      <c r="H3608" t="n">
        <v>0</v>
      </c>
      <c r="I3608" t="n">
        <v>0</v>
      </c>
      <c r="J3608" t="n">
        <v>0</v>
      </c>
      <c r="K3608" t="n">
        <v>0</v>
      </c>
      <c r="L3608" t="n">
        <v>0</v>
      </c>
      <c r="M3608" t="n">
        <v>0</v>
      </c>
      <c r="N3608" t="n">
        <v>0</v>
      </c>
      <c r="O3608" t="n">
        <v>0</v>
      </c>
      <c r="P3608" t="n">
        <v>0</v>
      </c>
      <c r="Q3608" t="n">
        <v>0</v>
      </c>
      <c r="R3608" s="2" t="inlineStr"/>
    </row>
    <row r="3609" ht="15" customHeight="1">
      <c r="A3609" t="inlineStr">
        <is>
          <t>A 19418-2021</t>
        </is>
      </c>
      <c r="B3609" s="1" t="n">
        <v>44309</v>
      </c>
      <c r="C3609" s="1" t="n">
        <v>45212</v>
      </c>
      <c r="D3609" t="inlineStr">
        <is>
          <t>VÄSTERNORRLANDS LÄN</t>
        </is>
      </c>
      <c r="E3609" t="inlineStr">
        <is>
          <t>KRAMFORS</t>
        </is>
      </c>
      <c r="G3609" t="n">
        <v>6.4</v>
      </c>
      <c r="H3609" t="n">
        <v>0</v>
      </c>
      <c r="I3609" t="n">
        <v>0</v>
      </c>
      <c r="J3609" t="n">
        <v>0</v>
      </c>
      <c r="K3609" t="n">
        <v>0</v>
      </c>
      <c r="L3609" t="n">
        <v>0</v>
      </c>
      <c r="M3609" t="n">
        <v>0</v>
      </c>
      <c r="N3609" t="n">
        <v>0</v>
      </c>
      <c r="O3609" t="n">
        <v>0</v>
      </c>
      <c r="P3609" t="n">
        <v>0</v>
      </c>
      <c r="Q3609" t="n">
        <v>0</v>
      </c>
      <c r="R3609" s="2" t="inlineStr"/>
    </row>
    <row r="3610" ht="15" customHeight="1">
      <c r="A3610" t="inlineStr">
        <is>
          <t>A 19438-2021</t>
        </is>
      </c>
      <c r="B3610" s="1" t="n">
        <v>44310</v>
      </c>
      <c r="C3610" s="1" t="n">
        <v>45212</v>
      </c>
      <c r="D3610" t="inlineStr">
        <is>
          <t>VÄSTERNORRLANDS LÄN</t>
        </is>
      </c>
      <c r="E3610" t="inlineStr">
        <is>
          <t>KRAMFORS</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19440-2021</t>
        </is>
      </c>
      <c r="B3611" s="1" t="n">
        <v>44310</v>
      </c>
      <c r="C3611" s="1" t="n">
        <v>45212</v>
      </c>
      <c r="D3611" t="inlineStr">
        <is>
          <t>VÄSTERNORRLANDS LÄN</t>
        </is>
      </c>
      <c r="E3611" t="inlineStr">
        <is>
          <t>KRAMFORS</t>
        </is>
      </c>
      <c r="G3611" t="n">
        <v>10.3</v>
      </c>
      <c r="H3611" t="n">
        <v>0</v>
      </c>
      <c r="I3611" t="n">
        <v>0</v>
      </c>
      <c r="J3611" t="n">
        <v>0</v>
      </c>
      <c r="K3611" t="n">
        <v>0</v>
      </c>
      <c r="L3611" t="n">
        <v>0</v>
      </c>
      <c r="M3611" t="n">
        <v>0</v>
      </c>
      <c r="N3611" t="n">
        <v>0</v>
      </c>
      <c r="O3611" t="n">
        <v>0</v>
      </c>
      <c r="P3611" t="n">
        <v>0</v>
      </c>
      <c r="Q3611" t="n">
        <v>0</v>
      </c>
      <c r="R3611" s="2" t="inlineStr"/>
    </row>
    <row r="3612" ht="15" customHeight="1">
      <c r="A3612" t="inlineStr">
        <is>
          <t>A 19437-2021</t>
        </is>
      </c>
      <c r="B3612" s="1" t="n">
        <v>44310</v>
      </c>
      <c r="C3612" s="1" t="n">
        <v>45212</v>
      </c>
      <c r="D3612" t="inlineStr">
        <is>
          <t>VÄSTERNORRLANDS LÄN</t>
        </is>
      </c>
      <c r="E3612" t="inlineStr">
        <is>
          <t>KRAMFORS</t>
        </is>
      </c>
      <c r="G3612" t="n">
        <v>6.7</v>
      </c>
      <c r="H3612" t="n">
        <v>0</v>
      </c>
      <c r="I3612" t="n">
        <v>0</v>
      </c>
      <c r="J3612" t="n">
        <v>0</v>
      </c>
      <c r="K3612" t="n">
        <v>0</v>
      </c>
      <c r="L3612" t="n">
        <v>0</v>
      </c>
      <c r="M3612" t="n">
        <v>0</v>
      </c>
      <c r="N3612" t="n">
        <v>0</v>
      </c>
      <c r="O3612" t="n">
        <v>0</v>
      </c>
      <c r="P3612" t="n">
        <v>0</v>
      </c>
      <c r="Q3612" t="n">
        <v>0</v>
      </c>
      <c r="R3612" s="2" t="inlineStr"/>
    </row>
    <row r="3613" ht="15" customHeight="1">
      <c r="A3613" t="inlineStr">
        <is>
          <t>A 19729-2021</t>
        </is>
      </c>
      <c r="B3613" s="1" t="n">
        <v>44312</v>
      </c>
      <c r="C3613" s="1" t="n">
        <v>45212</v>
      </c>
      <c r="D3613" t="inlineStr">
        <is>
          <t>VÄSTERNORRLANDS LÄN</t>
        </is>
      </c>
      <c r="E3613" t="inlineStr">
        <is>
          <t>SUNDSVALL</t>
        </is>
      </c>
      <c r="F3613" t="inlineStr">
        <is>
          <t>SCA</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19830-2021</t>
        </is>
      </c>
      <c r="B3614" s="1" t="n">
        <v>44312</v>
      </c>
      <c r="C3614" s="1" t="n">
        <v>45212</v>
      </c>
      <c r="D3614" t="inlineStr">
        <is>
          <t>VÄSTERNORRLANDS LÄN</t>
        </is>
      </c>
      <c r="E3614" t="inlineStr">
        <is>
          <t>SOLLEFTEÅ</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20416-2021</t>
        </is>
      </c>
      <c r="B3615" s="1" t="n">
        <v>44312</v>
      </c>
      <c r="C3615" s="1" t="n">
        <v>45212</v>
      </c>
      <c r="D3615" t="inlineStr">
        <is>
          <t>VÄSTERNORRLANDS LÄN</t>
        </is>
      </c>
      <c r="E3615" t="inlineStr">
        <is>
          <t>SUNDSVALL</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20354-2021</t>
        </is>
      </c>
      <c r="B3616" s="1" t="n">
        <v>44312</v>
      </c>
      <c r="C3616" s="1" t="n">
        <v>45212</v>
      </c>
      <c r="D3616" t="inlineStr">
        <is>
          <t>VÄSTERNORRLANDS LÄN</t>
        </is>
      </c>
      <c r="E3616" t="inlineStr">
        <is>
          <t>ÅNGE</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19923-2021</t>
        </is>
      </c>
      <c r="B3617" s="1" t="n">
        <v>44313</v>
      </c>
      <c r="C3617" s="1" t="n">
        <v>45212</v>
      </c>
      <c r="D3617" t="inlineStr">
        <is>
          <t>VÄSTERNORRLANDS LÄN</t>
        </is>
      </c>
      <c r="E3617" t="inlineStr">
        <is>
          <t>ÖRNSKÖLDSVIK</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19940-2021</t>
        </is>
      </c>
      <c r="B3618" s="1" t="n">
        <v>44313</v>
      </c>
      <c r="C3618" s="1" t="n">
        <v>45212</v>
      </c>
      <c r="D3618" t="inlineStr">
        <is>
          <t>VÄSTERNORRLANDS LÄN</t>
        </is>
      </c>
      <c r="E3618" t="inlineStr">
        <is>
          <t>ÖRNSKÖLDSVIK</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19970-2021</t>
        </is>
      </c>
      <c r="B3619" s="1" t="n">
        <v>44313</v>
      </c>
      <c r="C3619" s="1" t="n">
        <v>45212</v>
      </c>
      <c r="D3619" t="inlineStr">
        <is>
          <t>VÄSTERNORRLANDS LÄN</t>
        </is>
      </c>
      <c r="E3619" t="inlineStr">
        <is>
          <t>ÅNGE</t>
        </is>
      </c>
      <c r="F3619" t="inlineStr">
        <is>
          <t>Holmen skog AB</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20010-2021</t>
        </is>
      </c>
      <c r="B3620" s="1" t="n">
        <v>44313</v>
      </c>
      <c r="C3620" s="1" t="n">
        <v>45212</v>
      </c>
      <c r="D3620" t="inlineStr">
        <is>
          <t>VÄSTERNORRLANDS LÄN</t>
        </is>
      </c>
      <c r="E3620" t="inlineStr">
        <is>
          <t>SUNDSVALL</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19943-2021</t>
        </is>
      </c>
      <c r="B3621" s="1" t="n">
        <v>44313</v>
      </c>
      <c r="C3621" s="1" t="n">
        <v>45212</v>
      </c>
      <c r="D3621" t="inlineStr">
        <is>
          <t>VÄSTERNORRLANDS LÄN</t>
        </is>
      </c>
      <c r="E3621" t="inlineStr">
        <is>
          <t>ÖRNSKÖLDSVIK</t>
        </is>
      </c>
      <c r="G3621" t="n">
        <v>4</v>
      </c>
      <c r="H3621" t="n">
        <v>0</v>
      </c>
      <c r="I3621" t="n">
        <v>0</v>
      </c>
      <c r="J3621" t="n">
        <v>0</v>
      </c>
      <c r="K3621" t="n">
        <v>0</v>
      </c>
      <c r="L3621" t="n">
        <v>0</v>
      </c>
      <c r="M3621" t="n">
        <v>0</v>
      </c>
      <c r="N3621" t="n">
        <v>0</v>
      </c>
      <c r="O3621" t="n">
        <v>0</v>
      </c>
      <c r="P3621" t="n">
        <v>0</v>
      </c>
      <c r="Q3621" t="n">
        <v>0</v>
      </c>
      <c r="R3621" s="2" t="inlineStr"/>
    </row>
    <row r="3622" ht="15" customHeight="1">
      <c r="A3622" t="inlineStr">
        <is>
          <t>A 20011-2021</t>
        </is>
      </c>
      <c r="B3622" s="1" t="n">
        <v>44313</v>
      </c>
      <c r="C3622" s="1" t="n">
        <v>45212</v>
      </c>
      <c r="D3622" t="inlineStr">
        <is>
          <t>VÄSTERNORRLANDS LÄN</t>
        </is>
      </c>
      <c r="E3622" t="inlineStr">
        <is>
          <t>SUNDSVALL</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20123-2021</t>
        </is>
      </c>
      <c r="B3623" s="1" t="n">
        <v>44314</v>
      </c>
      <c r="C3623" s="1" t="n">
        <v>45212</v>
      </c>
      <c r="D3623" t="inlineStr">
        <is>
          <t>VÄSTERNORRLANDS LÄN</t>
        </is>
      </c>
      <c r="E3623" t="inlineStr">
        <is>
          <t>ÖRNSKÖLDSVIK</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20115-2021</t>
        </is>
      </c>
      <c r="B3624" s="1" t="n">
        <v>44314</v>
      </c>
      <c r="C3624" s="1" t="n">
        <v>45212</v>
      </c>
      <c r="D3624" t="inlineStr">
        <is>
          <t>VÄSTERNORRLANDS LÄN</t>
        </is>
      </c>
      <c r="E3624" t="inlineStr">
        <is>
          <t>ÖRNSKÖLDSVIK</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20394-2021</t>
        </is>
      </c>
      <c r="B3625" s="1" t="n">
        <v>44314</v>
      </c>
      <c r="C3625" s="1" t="n">
        <v>45212</v>
      </c>
      <c r="D3625" t="inlineStr">
        <is>
          <t>VÄSTERNORRLANDS LÄN</t>
        </is>
      </c>
      <c r="E3625" t="inlineStr">
        <is>
          <t>HÄRNÖSAND</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20186-2021</t>
        </is>
      </c>
      <c r="B3626" s="1" t="n">
        <v>44314</v>
      </c>
      <c r="C3626" s="1" t="n">
        <v>45212</v>
      </c>
      <c r="D3626" t="inlineStr">
        <is>
          <t>VÄSTERNORRLANDS LÄN</t>
        </is>
      </c>
      <c r="E3626" t="inlineStr">
        <is>
          <t>SUNDSVALL</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20296-2021</t>
        </is>
      </c>
      <c r="B3627" s="1" t="n">
        <v>44314</v>
      </c>
      <c r="C3627" s="1" t="n">
        <v>45212</v>
      </c>
      <c r="D3627" t="inlineStr">
        <is>
          <t>VÄSTERNORRLANDS LÄN</t>
        </is>
      </c>
      <c r="E3627" t="inlineStr">
        <is>
          <t>KRAMFORS</t>
        </is>
      </c>
      <c r="F3627" t="inlineStr">
        <is>
          <t>SCA</t>
        </is>
      </c>
      <c r="G3627" t="n">
        <v>5.4</v>
      </c>
      <c r="H3627" t="n">
        <v>0</v>
      </c>
      <c r="I3627" t="n">
        <v>0</v>
      </c>
      <c r="J3627" t="n">
        <v>0</v>
      </c>
      <c r="K3627" t="n">
        <v>0</v>
      </c>
      <c r="L3627" t="n">
        <v>0</v>
      </c>
      <c r="M3627" t="n">
        <v>0</v>
      </c>
      <c r="N3627" t="n">
        <v>0</v>
      </c>
      <c r="O3627" t="n">
        <v>0</v>
      </c>
      <c r="P3627" t="n">
        <v>0</v>
      </c>
      <c r="Q3627" t="n">
        <v>0</v>
      </c>
      <c r="R3627" s="2" t="inlineStr"/>
    </row>
    <row r="3628" ht="15" customHeight="1">
      <c r="A3628" t="inlineStr">
        <is>
          <t>A 20554-2021</t>
        </is>
      </c>
      <c r="B3628" s="1" t="n">
        <v>44315</v>
      </c>
      <c r="C3628" s="1" t="n">
        <v>45212</v>
      </c>
      <c r="D3628" t="inlineStr">
        <is>
          <t>VÄSTERNORRLANDS LÄN</t>
        </is>
      </c>
      <c r="E3628" t="inlineStr">
        <is>
          <t>KRAMFORS</t>
        </is>
      </c>
      <c r="F3628" t="inlineStr">
        <is>
          <t>SCA</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20328-2021</t>
        </is>
      </c>
      <c r="B3629" s="1" t="n">
        <v>44315</v>
      </c>
      <c r="C3629" s="1" t="n">
        <v>45212</v>
      </c>
      <c r="D3629" t="inlineStr">
        <is>
          <t>VÄSTERNORRLANDS LÄN</t>
        </is>
      </c>
      <c r="E3629" t="inlineStr">
        <is>
          <t>ÖRNSKÖLDSVIK</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20514-2021</t>
        </is>
      </c>
      <c r="B3630" s="1" t="n">
        <v>44315</v>
      </c>
      <c r="C3630" s="1" t="n">
        <v>45212</v>
      </c>
      <c r="D3630" t="inlineStr">
        <is>
          <t>VÄSTERNORRLANDS LÄN</t>
        </is>
      </c>
      <c r="E3630" t="inlineStr">
        <is>
          <t>SUNDSVALL</t>
        </is>
      </c>
      <c r="G3630" t="n">
        <v>6.7</v>
      </c>
      <c r="H3630" t="n">
        <v>0</v>
      </c>
      <c r="I3630" t="n">
        <v>0</v>
      </c>
      <c r="J3630" t="n">
        <v>0</v>
      </c>
      <c r="K3630" t="n">
        <v>0</v>
      </c>
      <c r="L3630" t="n">
        <v>0</v>
      </c>
      <c r="M3630" t="n">
        <v>0</v>
      </c>
      <c r="N3630" t="n">
        <v>0</v>
      </c>
      <c r="O3630" t="n">
        <v>0</v>
      </c>
      <c r="P3630" t="n">
        <v>0</v>
      </c>
      <c r="Q3630" t="n">
        <v>0</v>
      </c>
      <c r="R3630" s="2" t="inlineStr"/>
    </row>
    <row r="3631" ht="15" customHeight="1">
      <c r="A3631" t="inlineStr">
        <is>
          <t>A 20543-2021</t>
        </is>
      </c>
      <c r="B3631" s="1" t="n">
        <v>44315</v>
      </c>
      <c r="C3631" s="1" t="n">
        <v>45212</v>
      </c>
      <c r="D3631" t="inlineStr">
        <is>
          <t>VÄSTERNORRLANDS LÄN</t>
        </is>
      </c>
      <c r="E3631" t="inlineStr">
        <is>
          <t>KRAMFORS</t>
        </is>
      </c>
      <c r="F3631" t="inlineStr">
        <is>
          <t>SCA</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20487-2021</t>
        </is>
      </c>
      <c r="B3632" s="1" t="n">
        <v>44315</v>
      </c>
      <c r="C3632" s="1" t="n">
        <v>45212</v>
      </c>
      <c r="D3632" t="inlineStr">
        <is>
          <t>VÄSTERNORRLANDS LÄN</t>
        </is>
      </c>
      <c r="E3632" t="inlineStr">
        <is>
          <t>TIMRÅ</t>
        </is>
      </c>
      <c r="G3632" t="n">
        <v>8.199999999999999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20520-2021</t>
        </is>
      </c>
      <c r="B3633" s="1" t="n">
        <v>44315</v>
      </c>
      <c r="C3633" s="1" t="n">
        <v>45212</v>
      </c>
      <c r="D3633" t="inlineStr">
        <is>
          <t>VÄSTERNORRLANDS LÄN</t>
        </is>
      </c>
      <c r="E3633" t="inlineStr">
        <is>
          <t>SUNDSVALL</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20545-2021</t>
        </is>
      </c>
      <c r="B3634" s="1" t="n">
        <v>44315</v>
      </c>
      <c r="C3634" s="1" t="n">
        <v>45212</v>
      </c>
      <c r="D3634" t="inlineStr">
        <is>
          <t>VÄSTERNORRLANDS LÄN</t>
        </is>
      </c>
      <c r="E3634" t="inlineStr">
        <is>
          <t>KRAMFORS</t>
        </is>
      </c>
      <c r="F3634" t="inlineStr">
        <is>
          <t>SCA</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20679-2021</t>
        </is>
      </c>
      <c r="B3635" s="1" t="n">
        <v>44316</v>
      </c>
      <c r="C3635" s="1" t="n">
        <v>45212</v>
      </c>
      <c r="D3635" t="inlineStr">
        <is>
          <t>VÄSTERNORRLANDS LÄN</t>
        </is>
      </c>
      <c r="E3635" t="inlineStr">
        <is>
          <t>TIMRÅ</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20698-2021</t>
        </is>
      </c>
      <c r="B3636" s="1" t="n">
        <v>44316</v>
      </c>
      <c r="C3636" s="1" t="n">
        <v>45212</v>
      </c>
      <c r="D3636" t="inlineStr">
        <is>
          <t>VÄSTERNORRLANDS LÄN</t>
        </is>
      </c>
      <c r="E3636" t="inlineStr">
        <is>
          <t>SUNDSVALL</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20713-2021</t>
        </is>
      </c>
      <c r="B3637" s="1" t="n">
        <v>44316</v>
      </c>
      <c r="C3637" s="1" t="n">
        <v>45212</v>
      </c>
      <c r="D3637" t="inlineStr">
        <is>
          <t>VÄSTERNORRLANDS LÄN</t>
        </is>
      </c>
      <c r="E3637" t="inlineStr">
        <is>
          <t>SUNDSVALL</t>
        </is>
      </c>
      <c r="G3637" t="n">
        <v>3</v>
      </c>
      <c r="H3637" t="n">
        <v>0</v>
      </c>
      <c r="I3637" t="n">
        <v>0</v>
      </c>
      <c r="J3637" t="n">
        <v>0</v>
      </c>
      <c r="K3637" t="n">
        <v>0</v>
      </c>
      <c r="L3637" t="n">
        <v>0</v>
      </c>
      <c r="M3637" t="n">
        <v>0</v>
      </c>
      <c r="N3637" t="n">
        <v>0</v>
      </c>
      <c r="O3637" t="n">
        <v>0</v>
      </c>
      <c r="P3637" t="n">
        <v>0</v>
      </c>
      <c r="Q3637" t="n">
        <v>0</v>
      </c>
      <c r="R3637" s="2" t="inlineStr"/>
    </row>
    <row r="3638" ht="15" customHeight="1">
      <c r="A3638" t="inlineStr">
        <is>
          <t>A 20732-2021</t>
        </is>
      </c>
      <c r="B3638" s="1" t="n">
        <v>44316</v>
      </c>
      <c r="C3638" s="1" t="n">
        <v>45212</v>
      </c>
      <c r="D3638" t="inlineStr">
        <is>
          <t>VÄSTERNORRLANDS LÄN</t>
        </is>
      </c>
      <c r="E3638" t="inlineStr">
        <is>
          <t>TIMRÅ</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20741-2021</t>
        </is>
      </c>
      <c r="B3639" s="1" t="n">
        <v>44316</v>
      </c>
      <c r="C3639" s="1" t="n">
        <v>45212</v>
      </c>
      <c r="D3639" t="inlineStr">
        <is>
          <t>VÄSTERNORRLANDS LÄN</t>
        </is>
      </c>
      <c r="E3639" t="inlineStr">
        <is>
          <t>KRAMFORS</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20837-2021</t>
        </is>
      </c>
      <c r="B3640" s="1" t="n">
        <v>44318</v>
      </c>
      <c r="C3640" s="1" t="n">
        <v>45212</v>
      </c>
      <c r="D3640" t="inlineStr">
        <is>
          <t>VÄSTERNORRLANDS LÄN</t>
        </is>
      </c>
      <c r="E3640" t="inlineStr">
        <is>
          <t>ÖRNSKÖLDSVIK</t>
        </is>
      </c>
      <c r="G3640" t="n">
        <v>5.2</v>
      </c>
      <c r="H3640" t="n">
        <v>0</v>
      </c>
      <c r="I3640" t="n">
        <v>0</v>
      </c>
      <c r="J3640" t="n">
        <v>0</v>
      </c>
      <c r="K3640" t="n">
        <v>0</v>
      </c>
      <c r="L3640" t="n">
        <v>0</v>
      </c>
      <c r="M3640" t="n">
        <v>0</v>
      </c>
      <c r="N3640" t="n">
        <v>0</v>
      </c>
      <c r="O3640" t="n">
        <v>0</v>
      </c>
      <c r="P3640" t="n">
        <v>0</v>
      </c>
      <c r="Q3640" t="n">
        <v>0</v>
      </c>
      <c r="R3640" s="2" t="inlineStr"/>
    </row>
    <row r="3641" ht="15" customHeight="1">
      <c r="A3641" t="inlineStr">
        <is>
          <t>A 21099-2021</t>
        </is>
      </c>
      <c r="B3641" s="1" t="n">
        <v>44319</v>
      </c>
      <c r="C3641" s="1" t="n">
        <v>45212</v>
      </c>
      <c r="D3641" t="inlineStr">
        <is>
          <t>VÄSTERNORRLANDS LÄN</t>
        </is>
      </c>
      <c r="E3641" t="inlineStr">
        <is>
          <t>SUNDSVALL</t>
        </is>
      </c>
      <c r="F3641" t="inlineStr">
        <is>
          <t>SCA</t>
        </is>
      </c>
      <c r="G3641" t="n">
        <v>3.9</v>
      </c>
      <c r="H3641" t="n">
        <v>0</v>
      </c>
      <c r="I3641" t="n">
        <v>0</v>
      </c>
      <c r="J3641" t="n">
        <v>0</v>
      </c>
      <c r="K3641" t="n">
        <v>0</v>
      </c>
      <c r="L3641" t="n">
        <v>0</v>
      </c>
      <c r="M3641" t="n">
        <v>0</v>
      </c>
      <c r="N3641" t="n">
        <v>0</v>
      </c>
      <c r="O3641" t="n">
        <v>0</v>
      </c>
      <c r="P3641" t="n">
        <v>0</v>
      </c>
      <c r="Q3641" t="n">
        <v>0</v>
      </c>
      <c r="R3641" s="2" t="inlineStr"/>
    </row>
    <row r="3642" ht="15" customHeight="1">
      <c r="A3642" t="inlineStr">
        <is>
          <t>A 20885-2021</t>
        </is>
      </c>
      <c r="B3642" s="1" t="n">
        <v>44319</v>
      </c>
      <c r="C3642" s="1" t="n">
        <v>45212</v>
      </c>
      <c r="D3642" t="inlineStr">
        <is>
          <t>VÄSTERNORRLANDS LÄN</t>
        </is>
      </c>
      <c r="E3642" t="inlineStr">
        <is>
          <t>ÖRNSKÖLDSVIK</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20902-2021</t>
        </is>
      </c>
      <c r="B3643" s="1" t="n">
        <v>44319</v>
      </c>
      <c r="C3643" s="1" t="n">
        <v>45212</v>
      </c>
      <c r="D3643" t="inlineStr">
        <is>
          <t>VÄSTERNORRLANDS LÄN</t>
        </is>
      </c>
      <c r="E3643" t="inlineStr">
        <is>
          <t>ÖRNSKÖLDSVIK</t>
        </is>
      </c>
      <c r="F3643" t="inlineStr">
        <is>
          <t>Holmen skog AB</t>
        </is>
      </c>
      <c r="G3643" t="n">
        <v>0.3</v>
      </c>
      <c r="H3643" t="n">
        <v>0</v>
      </c>
      <c r="I3643" t="n">
        <v>0</v>
      </c>
      <c r="J3643" t="n">
        <v>0</v>
      </c>
      <c r="K3643" t="n">
        <v>0</v>
      </c>
      <c r="L3643" t="n">
        <v>0</v>
      </c>
      <c r="M3643" t="n">
        <v>0</v>
      </c>
      <c r="N3643" t="n">
        <v>0</v>
      </c>
      <c r="O3643" t="n">
        <v>0</v>
      </c>
      <c r="P3643" t="n">
        <v>0</v>
      </c>
      <c r="Q3643" t="n">
        <v>0</v>
      </c>
      <c r="R3643" s="2" t="inlineStr"/>
    </row>
    <row r="3644" ht="15" customHeight="1">
      <c r="A3644" t="inlineStr">
        <is>
          <t>A 21198-2021</t>
        </is>
      </c>
      <c r="B3644" s="1" t="n">
        <v>44319</v>
      </c>
      <c r="C3644" s="1" t="n">
        <v>45212</v>
      </c>
      <c r="D3644" t="inlineStr">
        <is>
          <t>VÄSTERNORRLANDS LÄN</t>
        </is>
      </c>
      <c r="E3644" t="inlineStr">
        <is>
          <t>KRAMFORS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21111-2021</t>
        </is>
      </c>
      <c r="B3645" s="1" t="n">
        <v>44319</v>
      </c>
      <c r="C3645" s="1" t="n">
        <v>45212</v>
      </c>
      <c r="D3645" t="inlineStr">
        <is>
          <t>VÄSTERNORRLANDS LÄN</t>
        </is>
      </c>
      <c r="E3645" t="inlineStr">
        <is>
          <t>KRAMFORS</t>
        </is>
      </c>
      <c r="F3645" t="inlineStr">
        <is>
          <t>Kommuner</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21102-2021</t>
        </is>
      </c>
      <c r="B3646" s="1" t="n">
        <v>44319</v>
      </c>
      <c r="C3646" s="1" t="n">
        <v>45212</v>
      </c>
      <c r="D3646" t="inlineStr">
        <is>
          <t>VÄSTERNORRLANDS LÄN</t>
        </is>
      </c>
      <c r="E3646" t="inlineStr">
        <is>
          <t>SUNDSVALL</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21257-2021</t>
        </is>
      </c>
      <c r="B3647" s="1" t="n">
        <v>44320</v>
      </c>
      <c r="C3647" s="1" t="n">
        <v>45212</v>
      </c>
      <c r="D3647" t="inlineStr">
        <is>
          <t>VÄSTERNORRLANDS LÄN</t>
        </is>
      </c>
      <c r="E3647" t="inlineStr">
        <is>
          <t>HÄRNÖSAND</t>
        </is>
      </c>
      <c r="G3647" t="n">
        <v>12.8</v>
      </c>
      <c r="H3647" t="n">
        <v>0</v>
      </c>
      <c r="I3647" t="n">
        <v>0</v>
      </c>
      <c r="J3647" t="n">
        <v>0</v>
      </c>
      <c r="K3647" t="n">
        <v>0</v>
      </c>
      <c r="L3647" t="n">
        <v>0</v>
      </c>
      <c r="M3647" t="n">
        <v>0</v>
      </c>
      <c r="N3647" t="n">
        <v>0</v>
      </c>
      <c r="O3647" t="n">
        <v>0</v>
      </c>
      <c r="P3647" t="n">
        <v>0</v>
      </c>
      <c r="Q3647" t="n">
        <v>0</v>
      </c>
      <c r="R3647" s="2" t="inlineStr"/>
    </row>
    <row r="3648" ht="15" customHeight="1">
      <c r="A3648" t="inlineStr">
        <is>
          <t>A 21303-2021</t>
        </is>
      </c>
      <c r="B3648" s="1" t="n">
        <v>44320</v>
      </c>
      <c r="C3648" s="1" t="n">
        <v>45212</v>
      </c>
      <c r="D3648" t="inlineStr">
        <is>
          <t>VÄSTERNORRLANDS LÄN</t>
        </is>
      </c>
      <c r="E3648" t="inlineStr">
        <is>
          <t>ÖRNSKÖLDSVIK</t>
        </is>
      </c>
      <c r="F3648" t="inlineStr">
        <is>
          <t>Holmen skog AB</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21360-2021</t>
        </is>
      </c>
      <c r="B3649" s="1" t="n">
        <v>44320</v>
      </c>
      <c r="C3649" s="1" t="n">
        <v>45212</v>
      </c>
      <c r="D3649" t="inlineStr">
        <is>
          <t>VÄSTERNORRLANDS LÄN</t>
        </is>
      </c>
      <c r="E3649" t="inlineStr">
        <is>
          <t>SOLLEFTEÅ</t>
        </is>
      </c>
      <c r="G3649" t="n">
        <v>6.8</v>
      </c>
      <c r="H3649" t="n">
        <v>0</v>
      </c>
      <c r="I3649" t="n">
        <v>0</v>
      </c>
      <c r="J3649" t="n">
        <v>0</v>
      </c>
      <c r="K3649" t="n">
        <v>0</v>
      </c>
      <c r="L3649" t="n">
        <v>0</v>
      </c>
      <c r="M3649" t="n">
        <v>0</v>
      </c>
      <c r="N3649" t="n">
        <v>0</v>
      </c>
      <c r="O3649" t="n">
        <v>0</v>
      </c>
      <c r="P3649" t="n">
        <v>0</v>
      </c>
      <c r="Q3649" t="n">
        <v>0</v>
      </c>
      <c r="R3649" s="2" t="inlineStr"/>
    </row>
    <row r="3650" ht="15" customHeight="1">
      <c r="A3650" t="inlineStr">
        <is>
          <t>A 21501-2021</t>
        </is>
      </c>
      <c r="B3650" s="1" t="n">
        <v>44320</v>
      </c>
      <c r="C3650" s="1" t="n">
        <v>45212</v>
      </c>
      <c r="D3650" t="inlineStr">
        <is>
          <t>VÄSTERNORRLANDS LÄN</t>
        </is>
      </c>
      <c r="E3650" t="inlineStr">
        <is>
          <t>KRAMFORS</t>
        </is>
      </c>
      <c r="G3650" t="n">
        <v>3.8</v>
      </c>
      <c r="H3650" t="n">
        <v>0</v>
      </c>
      <c r="I3650" t="n">
        <v>0</v>
      </c>
      <c r="J3650" t="n">
        <v>0</v>
      </c>
      <c r="K3650" t="n">
        <v>0</v>
      </c>
      <c r="L3650" t="n">
        <v>0</v>
      </c>
      <c r="M3650" t="n">
        <v>0</v>
      </c>
      <c r="N3650" t="n">
        <v>0</v>
      </c>
      <c r="O3650" t="n">
        <v>0</v>
      </c>
      <c r="P3650" t="n">
        <v>0</v>
      </c>
      <c r="Q3650" t="n">
        <v>0</v>
      </c>
      <c r="R3650" s="2" t="inlineStr"/>
    </row>
    <row r="3651" ht="15" customHeight="1">
      <c r="A3651" t="inlineStr">
        <is>
          <t>A 21189-2021</t>
        </is>
      </c>
      <c r="B3651" s="1" t="n">
        <v>44320</v>
      </c>
      <c r="C3651" s="1" t="n">
        <v>45212</v>
      </c>
      <c r="D3651" t="inlineStr">
        <is>
          <t>VÄSTERNORRLANDS LÄN</t>
        </is>
      </c>
      <c r="E3651" t="inlineStr">
        <is>
          <t>ÅNGE</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21304-2021</t>
        </is>
      </c>
      <c r="B3652" s="1" t="n">
        <v>44320</v>
      </c>
      <c r="C3652" s="1" t="n">
        <v>45212</v>
      </c>
      <c r="D3652" t="inlineStr">
        <is>
          <t>VÄSTERNORRLANDS LÄN</t>
        </is>
      </c>
      <c r="E3652" t="inlineStr">
        <is>
          <t>ÖRNSKÖLDSVIK</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21268-2021</t>
        </is>
      </c>
      <c r="B3653" s="1" t="n">
        <v>44320</v>
      </c>
      <c r="C3653" s="1" t="n">
        <v>45212</v>
      </c>
      <c r="D3653" t="inlineStr">
        <is>
          <t>VÄSTERNORRLANDS LÄN</t>
        </is>
      </c>
      <c r="E3653" t="inlineStr">
        <is>
          <t>HÄRNÖSAND</t>
        </is>
      </c>
      <c r="G3653" t="n">
        <v>12.5</v>
      </c>
      <c r="H3653" t="n">
        <v>0</v>
      </c>
      <c r="I3653" t="n">
        <v>0</v>
      </c>
      <c r="J3653" t="n">
        <v>0</v>
      </c>
      <c r="K3653" t="n">
        <v>0</v>
      </c>
      <c r="L3653" t="n">
        <v>0</v>
      </c>
      <c r="M3653" t="n">
        <v>0</v>
      </c>
      <c r="N3653" t="n">
        <v>0</v>
      </c>
      <c r="O3653" t="n">
        <v>0</v>
      </c>
      <c r="P3653" t="n">
        <v>0</v>
      </c>
      <c r="Q3653" t="n">
        <v>0</v>
      </c>
      <c r="R3653" s="2" t="inlineStr"/>
    </row>
    <row r="3654" ht="15" customHeight="1">
      <c r="A3654" t="inlineStr">
        <is>
          <t>A 21370-2021</t>
        </is>
      </c>
      <c r="B3654" s="1" t="n">
        <v>44320</v>
      </c>
      <c r="C3654" s="1" t="n">
        <v>45212</v>
      </c>
      <c r="D3654" t="inlineStr">
        <is>
          <t>VÄSTERNORRLANDS LÄN</t>
        </is>
      </c>
      <c r="E3654" t="inlineStr">
        <is>
          <t>SUNDSVALL</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21427-2021</t>
        </is>
      </c>
      <c r="B3655" s="1" t="n">
        <v>44320</v>
      </c>
      <c r="C3655" s="1" t="n">
        <v>45212</v>
      </c>
      <c r="D3655" t="inlineStr">
        <is>
          <t>VÄSTERNORRLANDS LÄN</t>
        </is>
      </c>
      <c r="E3655" t="inlineStr">
        <is>
          <t>SUNDSVALL</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21301-2021</t>
        </is>
      </c>
      <c r="B3656" s="1" t="n">
        <v>44320</v>
      </c>
      <c r="C3656" s="1" t="n">
        <v>45212</v>
      </c>
      <c r="D3656" t="inlineStr">
        <is>
          <t>VÄSTERNORRLANDS LÄN</t>
        </is>
      </c>
      <c r="E3656" t="inlineStr">
        <is>
          <t>ÖRNSKÖLDSVIK</t>
        </is>
      </c>
      <c r="F3656" t="inlineStr">
        <is>
          <t>Holmen skog AB</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21358-2021</t>
        </is>
      </c>
      <c r="B3657" s="1" t="n">
        <v>44320</v>
      </c>
      <c r="C3657" s="1" t="n">
        <v>45212</v>
      </c>
      <c r="D3657" t="inlineStr">
        <is>
          <t>VÄSTERNORRLANDS LÄN</t>
        </is>
      </c>
      <c r="E3657" t="inlineStr">
        <is>
          <t>SOLLEFTEÅ</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21531-2021</t>
        </is>
      </c>
      <c r="B3658" s="1" t="n">
        <v>44321</v>
      </c>
      <c r="C3658" s="1" t="n">
        <v>45212</v>
      </c>
      <c r="D3658" t="inlineStr">
        <is>
          <t>VÄSTERNORRLANDS LÄN</t>
        </is>
      </c>
      <c r="E3658" t="inlineStr">
        <is>
          <t>HÄRNÖSAND</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22266-2021</t>
        </is>
      </c>
      <c r="B3659" s="1" t="n">
        <v>44321</v>
      </c>
      <c r="C3659" s="1" t="n">
        <v>45212</v>
      </c>
      <c r="D3659" t="inlineStr">
        <is>
          <t>VÄSTERNORRLANDS LÄN</t>
        </is>
      </c>
      <c r="E3659" t="inlineStr">
        <is>
          <t>HÄRNÖSAND</t>
        </is>
      </c>
      <c r="G3659" t="n">
        <v>37.5</v>
      </c>
      <c r="H3659" t="n">
        <v>0</v>
      </c>
      <c r="I3659" t="n">
        <v>0</v>
      </c>
      <c r="J3659" t="n">
        <v>0</v>
      </c>
      <c r="K3659" t="n">
        <v>0</v>
      </c>
      <c r="L3659" t="n">
        <v>0</v>
      </c>
      <c r="M3659" t="n">
        <v>0</v>
      </c>
      <c r="N3659" t="n">
        <v>0</v>
      </c>
      <c r="O3659" t="n">
        <v>0</v>
      </c>
      <c r="P3659" t="n">
        <v>0</v>
      </c>
      <c r="Q3659" t="n">
        <v>0</v>
      </c>
      <c r="R3659" s="2" t="inlineStr"/>
    </row>
    <row r="3660" ht="15" customHeight="1">
      <c r="A3660" t="inlineStr">
        <is>
          <t>A 21401-2021</t>
        </is>
      </c>
      <c r="B3660" s="1" t="n">
        <v>44321</v>
      </c>
      <c r="C3660" s="1" t="n">
        <v>45212</v>
      </c>
      <c r="D3660" t="inlineStr">
        <is>
          <t>VÄSTERNORRLANDS LÄN</t>
        </is>
      </c>
      <c r="E3660" t="inlineStr">
        <is>
          <t>ÖRNSKÖLDSVIK</t>
        </is>
      </c>
      <c r="G3660" t="n">
        <v>15.2</v>
      </c>
      <c r="H3660" t="n">
        <v>0</v>
      </c>
      <c r="I3660" t="n">
        <v>0</v>
      </c>
      <c r="J3660" t="n">
        <v>0</v>
      </c>
      <c r="K3660" t="n">
        <v>0</v>
      </c>
      <c r="L3660" t="n">
        <v>0</v>
      </c>
      <c r="M3660" t="n">
        <v>0</v>
      </c>
      <c r="N3660" t="n">
        <v>0</v>
      </c>
      <c r="O3660" t="n">
        <v>0</v>
      </c>
      <c r="P3660" t="n">
        <v>0</v>
      </c>
      <c r="Q3660" t="n">
        <v>0</v>
      </c>
      <c r="R3660" s="2" t="inlineStr"/>
    </row>
    <row r="3661" ht="15" customHeight="1">
      <c r="A3661" t="inlineStr">
        <is>
          <t>A 21434-2021</t>
        </is>
      </c>
      <c r="B3661" s="1" t="n">
        <v>44321</v>
      </c>
      <c r="C3661" s="1" t="n">
        <v>45212</v>
      </c>
      <c r="D3661" t="inlineStr">
        <is>
          <t>VÄSTERNORRLANDS LÄN</t>
        </is>
      </c>
      <c r="E3661" t="inlineStr">
        <is>
          <t>ÖRNSKÖLDSVIK</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21532-2021</t>
        </is>
      </c>
      <c r="B3662" s="1" t="n">
        <v>44321</v>
      </c>
      <c r="C3662" s="1" t="n">
        <v>45212</v>
      </c>
      <c r="D3662" t="inlineStr">
        <is>
          <t>VÄSTERNORRLANDS LÄN</t>
        </is>
      </c>
      <c r="E3662" t="inlineStr">
        <is>
          <t>SOLLEFTEÅ</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21619-2021</t>
        </is>
      </c>
      <c r="B3663" s="1" t="n">
        <v>44321</v>
      </c>
      <c r="C3663" s="1" t="n">
        <v>45212</v>
      </c>
      <c r="D3663" t="inlineStr">
        <is>
          <t>VÄSTERNORRLANDS LÄN</t>
        </is>
      </c>
      <c r="E3663" t="inlineStr">
        <is>
          <t>HÄRNÖSAND</t>
        </is>
      </c>
      <c r="G3663" t="n">
        <v>45.6</v>
      </c>
      <c r="H3663" t="n">
        <v>0</v>
      </c>
      <c r="I3663" t="n">
        <v>0</v>
      </c>
      <c r="J3663" t="n">
        <v>0</v>
      </c>
      <c r="K3663" t="n">
        <v>0</v>
      </c>
      <c r="L3663" t="n">
        <v>0</v>
      </c>
      <c r="M3663" t="n">
        <v>0</v>
      </c>
      <c r="N3663" t="n">
        <v>0</v>
      </c>
      <c r="O3663" t="n">
        <v>0</v>
      </c>
      <c r="P3663" t="n">
        <v>0</v>
      </c>
      <c r="Q3663" t="n">
        <v>0</v>
      </c>
      <c r="R3663" s="2" t="inlineStr"/>
    </row>
    <row r="3664" ht="15" customHeight="1">
      <c r="A3664" t="inlineStr">
        <is>
          <t>A 21630-2021</t>
        </is>
      </c>
      <c r="B3664" s="1" t="n">
        <v>44321</v>
      </c>
      <c r="C3664" s="1" t="n">
        <v>45212</v>
      </c>
      <c r="D3664" t="inlineStr">
        <is>
          <t>VÄSTERNORRLANDS LÄN</t>
        </is>
      </c>
      <c r="E3664" t="inlineStr">
        <is>
          <t>ÖRNSKÖLDSVIK</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21542-2021</t>
        </is>
      </c>
      <c r="B3665" s="1" t="n">
        <v>44321</v>
      </c>
      <c r="C3665" s="1" t="n">
        <v>45212</v>
      </c>
      <c r="D3665" t="inlineStr">
        <is>
          <t>VÄSTERNORRLANDS LÄN</t>
        </is>
      </c>
      <c r="E3665" t="inlineStr">
        <is>
          <t>HÄRNÖSAND</t>
        </is>
      </c>
      <c r="G3665" t="n">
        <v>6.7</v>
      </c>
      <c r="H3665" t="n">
        <v>0</v>
      </c>
      <c r="I3665" t="n">
        <v>0</v>
      </c>
      <c r="J3665" t="n">
        <v>0</v>
      </c>
      <c r="K3665" t="n">
        <v>0</v>
      </c>
      <c r="L3665" t="n">
        <v>0</v>
      </c>
      <c r="M3665" t="n">
        <v>0</v>
      </c>
      <c r="N3665" t="n">
        <v>0</v>
      </c>
      <c r="O3665" t="n">
        <v>0</v>
      </c>
      <c r="P3665" t="n">
        <v>0</v>
      </c>
      <c r="Q3665" t="n">
        <v>0</v>
      </c>
      <c r="R3665" s="2" t="inlineStr"/>
    </row>
    <row r="3666" ht="15" customHeight="1">
      <c r="A3666" t="inlineStr">
        <is>
          <t>A 21644-2021</t>
        </is>
      </c>
      <c r="B3666" s="1" t="n">
        <v>44321</v>
      </c>
      <c r="C3666" s="1" t="n">
        <v>45212</v>
      </c>
      <c r="D3666" t="inlineStr">
        <is>
          <t>VÄSTERNORRLANDS LÄN</t>
        </is>
      </c>
      <c r="E3666" t="inlineStr">
        <is>
          <t>KRAMFORS</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22662-2021</t>
        </is>
      </c>
      <c r="B3667" s="1" t="n">
        <v>44321</v>
      </c>
      <c r="C3667" s="1" t="n">
        <v>45212</v>
      </c>
      <c r="D3667" t="inlineStr">
        <is>
          <t>VÄSTERNORRLANDS LÄN</t>
        </is>
      </c>
      <c r="E3667" t="inlineStr">
        <is>
          <t>HÄRNÖSAND</t>
        </is>
      </c>
      <c r="G3667" t="n">
        <v>12.7</v>
      </c>
      <c r="H3667" t="n">
        <v>0</v>
      </c>
      <c r="I3667" t="n">
        <v>0</v>
      </c>
      <c r="J3667" t="n">
        <v>0</v>
      </c>
      <c r="K3667" t="n">
        <v>0</v>
      </c>
      <c r="L3667" t="n">
        <v>0</v>
      </c>
      <c r="M3667" t="n">
        <v>0</v>
      </c>
      <c r="N3667" t="n">
        <v>0</v>
      </c>
      <c r="O3667" t="n">
        <v>0</v>
      </c>
      <c r="P3667" t="n">
        <v>0</v>
      </c>
      <c r="Q3667" t="n">
        <v>0</v>
      </c>
      <c r="R3667" s="2" t="inlineStr"/>
    </row>
    <row r="3668" ht="15" customHeight="1">
      <c r="A3668" t="inlineStr">
        <is>
          <t>A 21711-2021</t>
        </is>
      </c>
      <c r="B3668" s="1" t="n">
        <v>44322</v>
      </c>
      <c r="C3668" s="1" t="n">
        <v>45212</v>
      </c>
      <c r="D3668" t="inlineStr">
        <is>
          <t>VÄSTERNORRLANDS LÄN</t>
        </is>
      </c>
      <c r="E3668" t="inlineStr">
        <is>
          <t>SOLLEFTEÅ</t>
        </is>
      </c>
      <c r="F3668" t="inlineStr">
        <is>
          <t>Kyrkan</t>
        </is>
      </c>
      <c r="G3668" t="n">
        <v>22.2</v>
      </c>
      <c r="H3668" t="n">
        <v>0</v>
      </c>
      <c r="I3668" t="n">
        <v>0</v>
      </c>
      <c r="J3668" t="n">
        <v>0</v>
      </c>
      <c r="K3668" t="n">
        <v>0</v>
      </c>
      <c r="L3668" t="n">
        <v>0</v>
      </c>
      <c r="M3668" t="n">
        <v>0</v>
      </c>
      <c r="N3668" t="n">
        <v>0</v>
      </c>
      <c r="O3668" t="n">
        <v>0</v>
      </c>
      <c r="P3668" t="n">
        <v>0</v>
      </c>
      <c r="Q3668" t="n">
        <v>0</v>
      </c>
      <c r="R3668" s="2" t="inlineStr"/>
    </row>
    <row r="3669" ht="15" customHeight="1">
      <c r="A3669" t="inlineStr">
        <is>
          <t>A 21960-2021</t>
        </is>
      </c>
      <c r="B3669" s="1" t="n">
        <v>44323</v>
      </c>
      <c r="C3669" s="1" t="n">
        <v>45212</v>
      </c>
      <c r="D3669" t="inlineStr">
        <is>
          <t>VÄSTERNORRLANDS LÄN</t>
        </is>
      </c>
      <c r="E3669" t="inlineStr">
        <is>
          <t>ÅNGE</t>
        </is>
      </c>
      <c r="F3669" t="inlineStr">
        <is>
          <t>Holmen skog AB</t>
        </is>
      </c>
      <c r="G3669" t="n">
        <v>6.8</v>
      </c>
      <c r="H3669" t="n">
        <v>0</v>
      </c>
      <c r="I3669" t="n">
        <v>0</v>
      </c>
      <c r="J3669" t="n">
        <v>0</v>
      </c>
      <c r="K3669" t="n">
        <v>0</v>
      </c>
      <c r="L3669" t="n">
        <v>0</v>
      </c>
      <c r="M3669" t="n">
        <v>0</v>
      </c>
      <c r="N3669" t="n">
        <v>0</v>
      </c>
      <c r="O3669" t="n">
        <v>0</v>
      </c>
      <c r="P3669" t="n">
        <v>0</v>
      </c>
      <c r="Q3669" t="n">
        <v>0</v>
      </c>
      <c r="R3669" s="2" t="inlineStr"/>
    </row>
    <row r="3670" ht="15" customHeight="1">
      <c r="A3670" t="inlineStr">
        <is>
          <t>A 22441-2021</t>
        </is>
      </c>
      <c r="B3670" s="1" t="n">
        <v>44323</v>
      </c>
      <c r="C3670" s="1" t="n">
        <v>45212</v>
      </c>
      <c r="D3670" t="inlineStr">
        <is>
          <t>VÄSTERNORRLANDS LÄN</t>
        </is>
      </c>
      <c r="E3670" t="inlineStr">
        <is>
          <t>SOLLEFTEÅ</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22317-2021</t>
        </is>
      </c>
      <c r="B3671" s="1" t="n">
        <v>44323</v>
      </c>
      <c r="C3671" s="1" t="n">
        <v>45212</v>
      </c>
      <c r="D3671" t="inlineStr">
        <is>
          <t>VÄSTERNORRLANDS LÄN</t>
        </is>
      </c>
      <c r="E3671" t="inlineStr">
        <is>
          <t>KRAMFORS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22447-2021</t>
        </is>
      </c>
      <c r="B3672" s="1" t="n">
        <v>44323</v>
      </c>
      <c r="C3672" s="1" t="n">
        <v>45212</v>
      </c>
      <c r="D3672" t="inlineStr">
        <is>
          <t>VÄSTERNORRLANDS LÄN</t>
        </is>
      </c>
      <c r="E3672" t="inlineStr">
        <is>
          <t>SOLLEFTEÅ</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22862-2021</t>
        </is>
      </c>
      <c r="B3673" s="1" t="n">
        <v>44326</v>
      </c>
      <c r="C3673" s="1" t="n">
        <v>45212</v>
      </c>
      <c r="D3673" t="inlineStr">
        <is>
          <t>VÄSTERNORRLANDS LÄN</t>
        </is>
      </c>
      <c r="E3673" t="inlineStr">
        <is>
          <t>SOLLEFTEÅ</t>
        </is>
      </c>
      <c r="F3673" t="inlineStr">
        <is>
          <t>Kommuner</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22253-2021</t>
        </is>
      </c>
      <c r="B3674" s="1" t="n">
        <v>44326</v>
      </c>
      <c r="C3674" s="1" t="n">
        <v>45212</v>
      </c>
      <c r="D3674" t="inlineStr">
        <is>
          <t>VÄSTERNORRLANDS LÄN</t>
        </is>
      </c>
      <c r="E3674" t="inlineStr">
        <is>
          <t>ÖRNSKÖLDSVIK</t>
        </is>
      </c>
      <c r="F3674" t="inlineStr">
        <is>
          <t>Holmen skog AB</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22420-2021</t>
        </is>
      </c>
      <c r="B3675" s="1" t="n">
        <v>44326</v>
      </c>
      <c r="C3675" s="1" t="n">
        <v>45212</v>
      </c>
      <c r="D3675" t="inlineStr">
        <is>
          <t>VÄSTERNORRLANDS LÄN</t>
        </is>
      </c>
      <c r="E3675" t="inlineStr">
        <is>
          <t>SUNDSVALL</t>
        </is>
      </c>
      <c r="F3675" t="inlineStr">
        <is>
          <t>Kyrkan</t>
        </is>
      </c>
      <c r="G3675" t="n">
        <v>21.9</v>
      </c>
      <c r="H3675" t="n">
        <v>0</v>
      </c>
      <c r="I3675" t="n">
        <v>0</v>
      </c>
      <c r="J3675" t="n">
        <v>0</v>
      </c>
      <c r="K3675" t="n">
        <v>0</v>
      </c>
      <c r="L3675" t="n">
        <v>0</v>
      </c>
      <c r="M3675" t="n">
        <v>0</v>
      </c>
      <c r="N3675" t="n">
        <v>0</v>
      </c>
      <c r="O3675" t="n">
        <v>0</v>
      </c>
      <c r="P3675" t="n">
        <v>0</v>
      </c>
      <c r="Q3675" t="n">
        <v>0</v>
      </c>
      <c r="R3675" s="2" t="inlineStr"/>
    </row>
    <row r="3676" ht="15" customHeight="1">
      <c r="A3676" t="inlineStr">
        <is>
          <t>A 22928-2021</t>
        </is>
      </c>
      <c r="B3676" s="1" t="n">
        <v>44326</v>
      </c>
      <c r="C3676" s="1" t="n">
        <v>45212</v>
      </c>
      <c r="D3676" t="inlineStr">
        <is>
          <t>VÄSTERNORRLANDS LÄN</t>
        </is>
      </c>
      <c r="E3676" t="inlineStr">
        <is>
          <t>ÖRNSKÖLDSVIK</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22336-2021</t>
        </is>
      </c>
      <c r="B3677" s="1" t="n">
        <v>44326</v>
      </c>
      <c r="C3677" s="1" t="n">
        <v>45212</v>
      </c>
      <c r="D3677" t="inlineStr">
        <is>
          <t>VÄSTERNORRLANDS LÄN</t>
        </is>
      </c>
      <c r="E3677" t="inlineStr">
        <is>
          <t>SUNDSVALL</t>
        </is>
      </c>
      <c r="G3677" t="n">
        <v>0.4</v>
      </c>
      <c r="H3677" t="n">
        <v>0</v>
      </c>
      <c r="I3677" t="n">
        <v>0</v>
      </c>
      <c r="J3677" t="n">
        <v>0</v>
      </c>
      <c r="K3677" t="n">
        <v>0</v>
      </c>
      <c r="L3677" t="n">
        <v>0</v>
      </c>
      <c r="M3677" t="n">
        <v>0</v>
      </c>
      <c r="N3677" t="n">
        <v>0</v>
      </c>
      <c r="O3677" t="n">
        <v>0</v>
      </c>
      <c r="P3677" t="n">
        <v>0</v>
      </c>
      <c r="Q3677" t="n">
        <v>0</v>
      </c>
      <c r="R3677" s="2" t="inlineStr"/>
    </row>
    <row r="3678" ht="15" customHeight="1">
      <c r="A3678" t="inlineStr">
        <is>
          <t>A 22395-2021</t>
        </is>
      </c>
      <c r="B3678" s="1" t="n">
        <v>44326</v>
      </c>
      <c r="C3678" s="1" t="n">
        <v>45212</v>
      </c>
      <c r="D3678" t="inlineStr">
        <is>
          <t>VÄSTERNORRLANDS LÄN</t>
        </is>
      </c>
      <c r="E3678" t="inlineStr">
        <is>
          <t>SUNDSVALL</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22597-2021</t>
        </is>
      </c>
      <c r="B3679" s="1" t="n">
        <v>44326</v>
      </c>
      <c r="C3679" s="1" t="n">
        <v>45212</v>
      </c>
      <c r="D3679" t="inlineStr">
        <is>
          <t>VÄSTERNORRLANDS LÄN</t>
        </is>
      </c>
      <c r="E3679" t="inlineStr">
        <is>
          <t>ÅNGE</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22224-2021</t>
        </is>
      </c>
      <c r="B3680" s="1" t="n">
        <v>44326</v>
      </c>
      <c r="C3680" s="1" t="n">
        <v>45212</v>
      </c>
      <c r="D3680" t="inlineStr">
        <is>
          <t>VÄSTERNORRLANDS LÄN</t>
        </is>
      </c>
      <c r="E3680" t="inlineStr">
        <is>
          <t>SOLLEFTEÅ</t>
        </is>
      </c>
      <c r="F3680" t="inlineStr">
        <is>
          <t>Kommuner</t>
        </is>
      </c>
      <c r="G3680" t="n">
        <v>2.3</v>
      </c>
      <c r="H3680" t="n">
        <v>0</v>
      </c>
      <c r="I3680" t="n">
        <v>0</v>
      </c>
      <c r="J3680" t="n">
        <v>0</v>
      </c>
      <c r="K3680" t="n">
        <v>0</v>
      </c>
      <c r="L3680" t="n">
        <v>0</v>
      </c>
      <c r="M3680" t="n">
        <v>0</v>
      </c>
      <c r="N3680" t="n">
        <v>0</v>
      </c>
      <c r="O3680" t="n">
        <v>0</v>
      </c>
      <c r="P3680" t="n">
        <v>0</v>
      </c>
      <c r="Q3680" t="n">
        <v>0</v>
      </c>
      <c r="R3680" s="2" t="inlineStr"/>
    </row>
    <row r="3681" ht="15" customHeight="1">
      <c r="A3681" t="inlineStr">
        <is>
          <t>A 22237-2021</t>
        </is>
      </c>
      <c r="B3681" s="1" t="n">
        <v>44326</v>
      </c>
      <c r="C3681" s="1" t="n">
        <v>45212</v>
      </c>
      <c r="D3681" t="inlineStr">
        <is>
          <t>VÄSTERNORRLANDS LÄN</t>
        </is>
      </c>
      <c r="E3681" t="inlineStr">
        <is>
          <t>ÅNGE</t>
        </is>
      </c>
      <c r="G3681" t="n">
        <v>3.7</v>
      </c>
      <c r="H3681" t="n">
        <v>0</v>
      </c>
      <c r="I3681" t="n">
        <v>0</v>
      </c>
      <c r="J3681" t="n">
        <v>0</v>
      </c>
      <c r="K3681" t="n">
        <v>0</v>
      </c>
      <c r="L3681" t="n">
        <v>0</v>
      </c>
      <c r="M3681" t="n">
        <v>0</v>
      </c>
      <c r="N3681" t="n">
        <v>0</v>
      </c>
      <c r="O3681" t="n">
        <v>0</v>
      </c>
      <c r="P3681" t="n">
        <v>0</v>
      </c>
      <c r="Q3681" t="n">
        <v>0</v>
      </c>
      <c r="R3681" s="2" t="inlineStr"/>
    </row>
    <row r="3682" ht="15" customHeight="1">
      <c r="A3682" t="inlineStr">
        <is>
          <t>A 22351-2021</t>
        </is>
      </c>
      <c r="B3682" s="1" t="n">
        <v>44326</v>
      </c>
      <c r="C3682" s="1" t="n">
        <v>45212</v>
      </c>
      <c r="D3682" t="inlineStr">
        <is>
          <t>VÄSTERNORRLANDS LÄN</t>
        </is>
      </c>
      <c r="E3682" t="inlineStr">
        <is>
          <t>ÖRNSKÖLDSVIK</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22806-2021</t>
        </is>
      </c>
      <c r="B3683" s="1" t="n">
        <v>44327</v>
      </c>
      <c r="C3683" s="1" t="n">
        <v>45212</v>
      </c>
      <c r="D3683" t="inlineStr">
        <is>
          <t>VÄSTERNORRLANDS LÄN</t>
        </is>
      </c>
      <c r="E3683" t="inlineStr">
        <is>
          <t>ÖRNSKÖLDSVIK</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22934-2021</t>
        </is>
      </c>
      <c r="B3684" s="1" t="n">
        <v>44328</v>
      </c>
      <c r="C3684" s="1" t="n">
        <v>45212</v>
      </c>
      <c r="D3684" t="inlineStr">
        <is>
          <t>VÄSTERNORRLANDS LÄN</t>
        </is>
      </c>
      <c r="E3684" t="inlineStr">
        <is>
          <t>SOLLEFTEÅ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23002-2021</t>
        </is>
      </c>
      <c r="B3685" s="1" t="n">
        <v>44328</v>
      </c>
      <c r="C3685" s="1" t="n">
        <v>45212</v>
      </c>
      <c r="D3685" t="inlineStr">
        <is>
          <t>VÄSTERNORRLANDS LÄN</t>
        </is>
      </c>
      <c r="E3685" t="inlineStr">
        <is>
          <t>ÖRNSKÖLDSVIK</t>
        </is>
      </c>
      <c r="F3685" t="inlineStr">
        <is>
          <t>Holmen skog AB</t>
        </is>
      </c>
      <c r="G3685" t="n">
        <v>2.4</v>
      </c>
      <c r="H3685" t="n">
        <v>0</v>
      </c>
      <c r="I3685" t="n">
        <v>0</v>
      </c>
      <c r="J3685" t="n">
        <v>0</v>
      </c>
      <c r="K3685" t="n">
        <v>0</v>
      </c>
      <c r="L3685" t="n">
        <v>0</v>
      </c>
      <c r="M3685" t="n">
        <v>0</v>
      </c>
      <c r="N3685" t="n">
        <v>0</v>
      </c>
      <c r="O3685" t="n">
        <v>0</v>
      </c>
      <c r="P3685" t="n">
        <v>0</v>
      </c>
      <c r="Q3685" t="n">
        <v>0</v>
      </c>
      <c r="R3685" s="2" t="inlineStr"/>
    </row>
    <row r="3686" ht="15" customHeight="1">
      <c r="A3686" t="inlineStr">
        <is>
          <t>A 22910-2021</t>
        </is>
      </c>
      <c r="B3686" s="1" t="n">
        <v>44328</v>
      </c>
      <c r="C3686" s="1" t="n">
        <v>45212</v>
      </c>
      <c r="D3686" t="inlineStr">
        <is>
          <t>VÄSTERNORRLANDS LÄN</t>
        </is>
      </c>
      <c r="E3686" t="inlineStr">
        <is>
          <t>KRAMFORS</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23001-2021</t>
        </is>
      </c>
      <c r="B3687" s="1" t="n">
        <v>44328</v>
      </c>
      <c r="C3687" s="1" t="n">
        <v>45212</v>
      </c>
      <c r="D3687" t="inlineStr">
        <is>
          <t>VÄSTERNORRLANDS LÄN</t>
        </is>
      </c>
      <c r="E3687" t="inlineStr">
        <is>
          <t>ÖRNSKÖLDSVIK</t>
        </is>
      </c>
      <c r="F3687" t="inlineStr">
        <is>
          <t>Holmen skog AB</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23000-2021</t>
        </is>
      </c>
      <c r="B3688" s="1" t="n">
        <v>44328</v>
      </c>
      <c r="C3688" s="1" t="n">
        <v>45212</v>
      </c>
      <c r="D3688" t="inlineStr">
        <is>
          <t>VÄSTERNORRLANDS LÄN</t>
        </is>
      </c>
      <c r="E3688" t="inlineStr">
        <is>
          <t>ÖRNSKÖLDSVIK</t>
        </is>
      </c>
      <c r="F3688" t="inlineStr">
        <is>
          <t>Holmen skog AB</t>
        </is>
      </c>
      <c r="G3688" t="n">
        <v>7.1</v>
      </c>
      <c r="H3688" t="n">
        <v>0</v>
      </c>
      <c r="I3688" t="n">
        <v>0</v>
      </c>
      <c r="J3688" t="n">
        <v>0</v>
      </c>
      <c r="K3688" t="n">
        <v>0</v>
      </c>
      <c r="L3688" t="n">
        <v>0</v>
      </c>
      <c r="M3688" t="n">
        <v>0</v>
      </c>
      <c r="N3688" t="n">
        <v>0</v>
      </c>
      <c r="O3688" t="n">
        <v>0</v>
      </c>
      <c r="P3688" t="n">
        <v>0</v>
      </c>
      <c r="Q3688" t="n">
        <v>0</v>
      </c>
      <c r="R3688" s="2" t="inlineStr"/>
    </row>
    <row r="3689" ht="15" customHeight="1">
      <c r="A3689" t="inlineStr">
        <is>
          <t>A 23018-2021</t>
        </is>
      </c>
      <c r="B3689" s="1" t="n">
        <v>44328</v>
      </c>
      <c r="C3689" s="1" t="n">
        <v>45212</v>
      </c>
      <c r="D3689" t="inlineStr">
        <is>
          <t>VÄSTERNORRLANDS LÄN</t>
        </is>
      </c>
      <c r="E3689" t="inlineStr">
        <is>
          <t>ÅNGE</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23207-2021</t>
        </is>
      </c>
      <c r="B3690" s="1" t="n">
        <v>44333</v>
      </c>
      <c r="C3690" s="1" t="n">
        <v>45212</v>
      </c>
      <c r="D3690" t="inlineStr">
        <is>
          <t>VÄSTERNORRLANDS LÄN</t>
        </is>
      </c>
      <c r="E3690" t="inlineStr">
        <is>
          <t>ÖRNSKÖLDSVIK</t>
        </is>
      </c>
      <c r="F3690" t="inlineStr">
        <is>
          <t>Holmen skog AB</t>
        </is>
      </c>
      <c r="G3690" t="n">
        <v>3.2</v>
      </c>
      <c r="H3690" t="n">
        <v>0</v>
      </c>
      <c r="I3690" t="n">
        <v>0</v>
      </c>
      <c r="J3690" t="n">
        <v>0</v>
      </c>
      <c r="K3690" t="n">
        <v>0</v>
      </c>
      <c r="L3690" t="n">
        <v>0</v>
      </c>
      <c r="M3690" t="n">
        <v>0</v>
      </c>
      <c r="N3690" t="n">
        <v>0</v>
      </c>
      <c r="O3690" t="n">
        <v>0</v>
      </c>
      <c r="P3690" t="n">
        <v>0</v>
      </c>
      <c r="Q3690" t="n">
        <v>0</v>
      </c>
      <c r="R3690" s="2" t="inlineStr"/>
    </row>
    <row r="3691" ht="15" customHeight="1">
      <c r="A3691" t="inlineStr">
        <is>
          <t>A 23394-2021</t>
        </is>
      </c>
      <c r="B3691" s="1" t="n">
        <v>44333</v>
      </c>
      <c r="C3691" s="1" t="n">
        <v>45212</v>
      </c>
      <c r="D3691" t="inlineStr">
        <is>
          <t>VÄSTERNORRLANDS LÄN</t>
        </is>
      </c>
      <c r="E3691" t="inlineStr">
        <is>
          <t>SOLLEFTEÅ</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23480-2021</t>
        </is>
      </c>
      <c r="B3692" s="1" t="n">
        <v>44333</v>
      </c>
      <c r="C3692" s="1" t="n">
        <v>45212</v>
      </c>
      <c r="D3692" t="inlineStr">
        <is>
          <t>VÄSTERNORRLANDS LÄN</t>
        </is>
      </c>
      <c r="E3692" t="inlineStr">
        <is>
          <t>SUNDSVALL</t>
        </is>
      </c>
      <c r="F3692" t="inlineStr">
        <is>
          <t>SCA</t>
        </is>
      </c>
      <c r="G3692" t="n">
        <v>10.5</v>
      </c>
      <c r="H3692" t="n">
        <v>0</v>
      </c>
      <c r="I3692" t="n">
        <v>0</v>
      </c>
      <c r="J3692" t="n">
        <v>0</v>
      </c>
      <c r="K3692" t="n">
        <v>0</v>
      </c>
      <c r="L3692" t="n">
        <v>0</v>
      </c>
      <c r="M3692" t="n">
        <v>0</v>
      </c>
      <c r="N3692" t="n">
        <v>0</v>
      </c>
      <c r="O3692" t="n">
        <v>0</v>
      </c>
      <c r="P3692" t="n">
        <v>0</v>
      </c>
      <c r="Q3692" t="n">
        <v>0</v>
      </c>
      <c r="R3692" s="2" t="inlineStr"/>
    </row>
    <row r="3693" ht="15" customHeight="1">
      <c r="A3693" t="inlineStr">
        <is>
          <t>A 23483-2021</t>
        </is>
      </c>
      <c r="B3693" s="1" t="n">
        <v>44333</v>
      </c>
      <c r="C3693" s="1" t="n">
        <v>45212</v>
      </c>
      <c r="D3693" t="inlineStr">
        <is>
          <t>VÄSTERNORRLANDS LÄN</t>
        </is>
      </c>
      <c r="E3693" t="inlineStr">
        <is>
          <t>KRAMFORS</t>
        </is>
      </c>
      <c r="F3693" t="inlineStr">
        <is>
          <t>SCA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23673-2021</t>
        </is>
      </c>
      <c r="B3694" s="1" t="n">
        <v>44334</v>
      </c>
      <c r="C3694" s="1" t="n">
        <v>45212</v>
      </c>
      <c r="D3694" t="inlineStr">
        <is>
          <t>VÄSTERNORRLANDS LÄN</t>
        </is>
      </c>
      <c r="E3694" t="inlineStr">
        <is>
          <t>ÖRNSKÖLDSVIK</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23611-2021</t>
        </is>
      </c>
      <c r="B3695" s="1" t="n">
        <v>44334</v>
      </c>
      <c r="C3695" s="1" t="n">
        <v>45212</v>
      </c>
      <c r="D3695" t="inlineStr">
        <is>
          <t>VÄSTERNORRLANDS LÄN</t>
        </is>
      </c>
      <c r="E3695" t="inlineStr">
        <is>
          <t>TIMRÅ</t>
        </is>
      </c>
      <c r="G3695" t="n">
        <v>13.7</v>
      </c>
      <c r="H3695" t="n">
        <v>0</v>
      </c>
      <c r="I3695" t="n">
        <v>0</v>
      </c>
      <c r="J3695" t="n">
        <v>0</v>
      </c>
      <c r="K3695" t="n">
        <v>0</v>
      </c>
      <c r="L3695" t="n">
        <v>0</v>
      </c>
      <c r="M3695" t="n">
        <v>0</v>
      </c>
      <c r="N3695" t="n">
        <v>0</v>
      </c>
      <c r="O3695" t="n">
        <v>0</v>
      </c>
      <c r="P3695" t="n">
        <v>0</v>
      </c>
      <c r="Q3695" t="n">
        <v>0</v>
      </c>
      <c r="R3695" s="2" t="inlineStr"/>
    </row>
    <row r="3696" ht="15" customHeight="1">
      <c r="A3696" t="inlineStr">
        <is>
          <t>A 23753-2021</t>
        </is>
      </c>
      <c r="B3696" s="1" t="n">
        <v>44334</v>
      </c>
      <c r="C3696" s="1" t="n">
        <v>45212</v>
      </c>
      <c r="D3696" t="inlineStr">
        <is>
          <t>VÄSTERNORRLANDS LÄN</t>
        </is>
      </c>
      <c r="E3696" t="inlineStr">
        <is>
          <t>SOLLEFTEÅ</t>
        </is>
      </c>
      <c r="G3696" t="n">
        <v>14.8</v>
      </c>
      <c r="H3696" t="n">
        <v>0</v>
      </c>
      <c r="I3696" t="n">
        <v>0</v>
      </c>
      <c r="J3696" t="n">
        <v>0</v>
      </c>
      <c r="K3696" t="n">
        <v>0</v>
      </c>
      <c r="L3696" t="n">
        <v>0</v>
      </c>
      <c r="M3696" t="n">
        <v>0</v>
      </c>
      <c r="N3696" t="n">
        <v>0</v>
      </c>
      <c r="O3696" t="n">
        <v>0</v>
      </c>
      <c r="P3696" t="n">
        <v>0</v>
      </c>
      <c r="Q3696" t="n">
        <v>0</v>
      </c>
      <c r="R3696" s="2" t="inlineStr"/>
    </row>
    <row r="3697" ht="15" customHeight="1">
      <c r="A3697" t="inlineStr">
        <is>
          <t>A 23574-2021</t>
        </is>
      </c>
      <c r="B3697" s="1" t="n">
        <v>44334</v>
      </c>
      <c r="C3697" s="1" t="n">
        <v>45212</v>
      </c>
      <c r="D3697" t="inlineStr">
        <is>
          <t>VÄSTERNORRLANDS LÄN</t>
        </is>
      </c>
      <c r="E3697" t="inlineStr">
        <is>
          <t>ÖRNSKÖLDSVIK</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23639-2021</t>
        </is>
      </c>
      <c r="B3698" s="1" t="n">
        <v>44334</v>
      </c>
      <c r="C3698" s="1" t="n">
        <v>45212</v>
      </c>
      <c r="D3698" t="inlineStr">
        <is>
          <t>VÄSTERNORRLANDS LÄN</t>
        </is>
      </c>
      <c r="E3698" t="inlineStr">
        <is>
          <t>SOLLEFTEÅ</t>
        </is>
      </c>
      <c r="F3698" t="inlineStr">
        <is>
          <t>Kyrkan</t>
        </is>
      </c>
      <c r="G3698" t="n">
        <v>5.4</v>
      </c>
      <c r="H3698" t="n">
        <v>0</v>
      </c>
      <c r="I3698" t="n">
        <v>0</v>
      </c>
      <c r="J3698" t="n">
        <v>0</v>
      </c>
      <c r="K3698" t="n">
        <v>0</v>
      </c>
      <c r="L3698" t="n">
        <v>0</v>
      </c>
      <c r="M3698" t="n">
        <v>0</v>
      </c>
      <c r="N3698" t="n">
        <v>0</v>
      </c>
      <c r="O3698" t="n">
        <v>0</v>
      </c>
      <c r="P3698" t="n">
        <v>0</v>
      </c>
      <c r="Q3698" t="n">
        <v>0</v>
      </c>
      <c r="R3698" s="2" t="inlineStr"/>
    </row>
    <row r="3699" ht="15" customHeight="1">
      <c r="A3699" t="inlineStr">
        <is>
          <t>A 23689-2021</t>
        </is>
      </c>
      <c r="B3699" s="1" t="n">
        <v>44334</v>
      </c>
      <c r="C3699" s="1" t="n">
        <v>45212</v>
      </c>
      <c r="D3699" t="inlineStr">
        <is>
          <t>VÄSTERNORRLANDS LÄN</t>
        </is>
      </c>
      <c r="E3699" t="inlineStr">
        <is>
          <t>SOLLEFTEÅ</t>
        </is>
      </c>
      <c r="G3699" t="n">
        <v>14.9</v>
      </c>
      <c r="H3699" t="n">
        <v>0</v>
      </c>
      <c r="I3699" t="n">
        <v>0</v>
      </c>
      <c r="J3699" t="n">
        <v>0</v>
      </c>
      <c r="K3699" t="n">
        <v>0</v>
      </c>
      <c r="L3699" t="n">
        <v>0</v>
      </c>
      <c r="M3699" t="n">
        <v>0</v>
      </c>
      <c r="N3699" t="n">
        <v>0</v>
      </c>
      <c r="O3699" t="n">
        <v>0</v>
      </c>
      <c r="P3699" t="n">
        <v>0</v>
      </c>
      <c r="Q3699" t="n">
        <v>0</v>
      </c>
      <c r="R3699" s="2" t="inlineStr"/>
    </row>
    <row r="3700" ht="15" customHeight="1">
      <c r="A3700" t="inlineStr">
        <is>
          <t>A 23755-2021</t>
        </is>
      </c>
      <c r="B3700" s="1" t="n">
        <v>44334</v>
      </c>
      <c r="C3700" s="1" t="n">
        <v>45212</v>
      </c>
      <c r="D3700" t="inlineStr">
        <is>
          <t>VÄSTERNORRLANDS LÄN</t>
        </is>
      </c>
      <c r="E3700" t="inlineStr">
        <is>
          <t>KRAMFORS</t>
        </is>
      </c>
      <c r="G3700" t="n">
        <v>11.2</v>
      </c>
      <c r="H3700" t="n">
        <v>0</v>
      </c>
      <c r="I3700" t="n">
        <v>0</v>
      </c>
      <c r="J3700" t="n">
        <v>0</v>
      </c>
      <c r="K3700" t="n">
        <v>0</v>
      </c>
      <c r="L3700" t="n">
        <v>0</v>
      </c>
      <c r="M3700" t="n">
        <v>0</v>
      </c>
      <c r="N3700" t="n">
        <v>0</v>
      </c>
      <c r="O3700" t="n">
        <v>0</v>
      </c>
      <c r="P3700" t="n">
        <v>0</v>
      </c>
      <c r="Q3700" t="n">
        <v>0</v>
      </c>
      <c r="R3700" s="2" t="inlineStr"/>
    </row>
    <row r="3701" ht="15" customHeight="1">
      <c r="A3701" t="inlineStr">
        <is>
          <t>A 23950-2021</t>
        </is>
      </c>
      <c r="B3701" s="1" t="n">
        <v>44335</v>
      </c>
      <c r="C3701" s="1" t="n">
        <v>45212</v>
      </c>
      <c r="D3701" t="inlineStr">
        <is>
          <t>VÄSTERNORRLANDS LÄN</t>
        </is>
      </c>
      <c r="E3701" t="inlineStr">
        <is>
          <t>ÖRNSKÖLDSVIK</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23951-2021</t>
        </is>
      </c>
      <c r="B3702" s="1" t="n">
        <v>44335</v>
      </c>
      <c r="C3702" s="1" t="n">
        <v>45212</v>
      </c>
      <c r="D3702" t="inlineStr">
        <is>
          <t>VÄSTERNORRLANDS LÄN</t>
        </is>
      </c>
      <c r="E3702" t="inlineStr">
        <is>
          <t>SUNDSVALL</t>
        </is>
      </c>
      <c r="G3702" t="n">
        <v>3.3</v>
      </c>
      <c r="H3702" t="n">
        <v>0</v>
      </c>
      <c r="I3702" t="n">
        <v>0</v>
      </c>
      <c r="J3702" t="n">
        <v>0</v>
      </c>
      <c r="K3702" t="n">
        <v>0</v>
      </c>
      <c r="L3702" t="n">
        <v>0</v>
      </c>
      <c r="M3702" t="n">
        <v>0</v>
      </c>
      <c r="N3702" t="n">
        <v>0</v>
      </c>
      <c r="O3702" t="n">
        <v>0</v>
      </c>
      <c r="P3702" t="n">
        <v>0</v>
      </c>
      <c r="Q3702" t="n">
        <v>0</v>
      </c>
      <c r="R3702" s="2" t="inlineStr"/>
    </row>
    <row r="3703" ht="15" customHeight="1">
      <c r="A3703" t="inlineStr">
        <is>
          <t>A 24255-2021</t>
        </is>
      </c>
      <c r="B3703" s="1" t="n">
        <v>44336</v>
      </c>
      <c r="C3703" s="1" t="n">
        <v>45212</v>
      </c>
      <c r="D3703" t="inlineStr">
        <is>
          <t>VÄSTERNORRLANDS LÄN</t>
        </is>
      </c>
      <c r="E3703" t="inlineStr">
        <is>
          <t>KRAMFORS</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24164-2021</t>
        </is>
      </c>
      <c r="B3704" s="1" t="n">
        <v>44336</v>
      </c>
      <c r="C3704" s="1" t="n">
        <v>45212</v>
      </c>
      <c r="D3704" t="inlineStr">
        <is>
          <t>VÄSTERNORRLANDS LÄN</t>
        </is>
      </c>
      <c r="E3704" t="inlineStr">
        <is>
          <t>ÖRNSKÖLDSVIK</t>
        </is>
      </c>
      <c r="F3704" t="inlineStr">
        <is>
          <t>Holmen skog AB</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24243-2021</t>
        </is>
      </c>
      <c r="B3705" s="1" t="n">
        <v>44336</v>
      </c>
      <c r="C3705" s="1" t="n">
        <v>45212</v>
      </c>
      <c r="D3705" t="inlineStr">
        <is>
          <t>VÄSTERNORRLANDS LÄN</t>
        </is>
      </c>
      <c r="E3705" t="inlineStr">
        <is>
          <t>SOLLEFTEÅ</t>
        </is>
      </c>
      <c r="F3705" t="inlineStr">
        <is>
          <t>SCA</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24311-2021</t>
        </is>
      </c>
      <c r="B3706" s="1" t="n">
        <v>44336</v>
      </c>
      <c r="C3706" s="1" t="n">
        <v>45212</v>
      </c>
      <c r="D3706" t="inlineStr">
        <is>
          <t>VÄSTERNORRLANDS LÄN</t>
        </is>
      </c>
      <c r="E3706" t="inlineStr">
        <is>
          <t>ÖRNSKÖLDSVIK</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24233-2021</t>
        </is>
      </c>
      <c r="B3707" s="1" t="n">
        <v>44336</v>
      </c>
      <c r="C3707" s="1" t="n">
        <v>45212</v>
      </c>
      <c r="D3707" t="inlineStr">
        <is>
          <t>VÄSTERNORRLANDS LÄN</t>
        </is>
      </c>
      <c r="E3707" t="inlineStr">
        <is>
          <t>ÅNGE</t>
        </is>
      </c>
      <c r="G3707" t="n">
        <v>3.2</v>
      </c>
      <c r="H3707" t="n">
        <v>0</v>
      </c>
      <c r="I3707" t="n">
        <v>0</v>
      </c>
      <c r="J3707" t="n">
        <v>0</v>
      </c>
      <c r="K3707" t="n">
        <v>0</v>
      </c>
      <c r="L3707" t="n">
        <v>0</v>
      </c>
      <c r="M3707" t="n">
        <v>0</v>
      </c>
      <c r="N3707" t="n">
        <v>0</v>
      </c>
      <c r="O3707" t="n">
        <v>0</v>
      </c>
      <c r="P3707" t="n">
        <v>0</v>
      </c>
      <c r="Q3707" t="n">
        <v>0</v>
      </c>
      <c r="R3707" s="2" t="inlineStr"/>
    </row>
    <row r="3708" ht="15" customHeight="1">
      <c r="A3708" t="inlineStr">
        <is>
          <t>A 24068-2021</t>
        </is>
      </c>
      <c r="B3708" s="1" t="n">
        <v>44336</v>
      </c>
      <c r="C3708" s="1" t="n">
        <v>45212</v>
      </c>
      <c r="D3708" t="inlineStr">
        <is>
          <t>VÄSTERNORRLANDS LÄN</t>
        </is>
      </c>
      <c r="E3708" t="inlineStr">
        <is>
          <t>SUNDSVALL</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24277-2021</t>
        </is>
      </c>
      <c r="B3709" s="1" t="n">
        <v>44336</v>
      </c>
      <c r="C3709" s="1" t="n">
        <v>45212</v>
      </c>
      <c r="D3709" t="inlineStr">
        <is>
          <t>VÄSTERNORRLANDS LÄN</t>
        </is>
      </c>
      <c r="E3709" t="inlineStr">
        <is>
          <t>ÖRNSKÖLDSVIK</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24309-2021</t>
        </is>
      </c>
      <c r="B3710" s="1" t="n">
        <v>44336</v>
      </c>
      <c r="C3710" s="1" t="n">
        <v>45212</v>
      </c>
      <c r="D3710" t="inlineStr">
        <is>
          <t>VÄSTERNORRLANDS LÄN</t>
        </is>
      </c>
      <c r="E3710" t="inlineStr">
        <is>
          <t>ÖRNSKÖLDSVIK</t>
        </is>
      </c>
      <c r="G3710" t="n">
        <v>0.2</v>
      </c>
      <c r="H3710" t="n">
        <v>0</v>
      </c>
      <c r="I3710" t="n">
        <v>0</v>
      </c>
      <c r="J3710" t="n">
        <v>0</v>
      </c>
      <c r="K3710" t="n">
        <v>0</v>
      </c>
      <c r="L3710" t="n">
        <v>0</v>
      </c>
      <c r="M3710" t="n">
        <v>0</v>
      </c>
      <c r="N3710" t="n">
        <v>0</v>
      </c>
      <c r="O3710" t="n">
        <v>0</v>
      </c>
      <c r="P3710" t="n">
        <v>0</v>
      </c>
      <c r="Q3710" t="n">
        <v>0</v>
      </c>
      <c r="R3710" s="2" t="inlineStr"/>
    </row>
    <row r="3711" ht="15" customHeight="1">
      <c r="A3711" t="inlineStr">
        <is>
          <t>A 24731-2021</t>
        </is>
      </c>
      <c r="B3711" s="1" t="n">
        <v>44340</v>
      </c>
      <c r="C3711" s="1" t="n">
        <v>45212</v>
      </c>
      <c r="D3711" t="inlineStr">
        <is>
          <t>VÄSTERNORRLANDS LÄN</t>
        </is>
      </c>
      <c r="E3711" t="inlineStr">
        <is>
          <t>SOLLEFTEÅ</t>
        </is>
      </c>
      <c r="G3711" t="n">
        <v>5.3</v>
      </c>
      <c r="H3711" t="n">
        <v>0</v>
      </c>
      <c r="I3711" t="n">
        <v>0</v>
      </c>
      <c r="J3711" t="n">
        <v>0</v>
      </c>
      <c r="K3711" t="n">
        <v>0</v>
      </c>
      <c r="L3711" t="n">
        <v>0</v>
      </c>
      <c r="M3711" t="n">
        <v>0</v>
      </c>
      <c r="N3711" t="n">
        <v>0</v>
      </c>
      <c r="O3711" t="n">
        <v>0</v>
      </c>
      <c r="P3711" t="n">
        <v>0</v>
      </c>
      <c r="Q3711" t="n">
        <v>0</v>
      </c>
      <c r="R3711" s="2" t="inlineStr"/>
    </row>
    <row r="3712" ht="15" customHeight="1">
      <c r="A3712" t="inlineStr">
        <is>
          <t>A 24831-2021</t>
        </is>
      </c>
      <c r="B3712" s="1" t="n">
        <v>44340</v>
      </c>
      <c r="C3712" s="1" t="n">
        <v>45212</v>
      </c>
      <c r="D3712" t="inlineStr">
        <is>
          <t>VÄSTERNORRLANDS LÄN</t>
        </is>
      </c>
      <c r="E3712" t="inlineStr">
        <is>
          <t>ÅNGE</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24720-2021</t>
        </is>
      </c>
      <c r="B3713" s="1" t="n">
        <v>44340</v>
      </c>
      <c r="C3713" s="1" t="n">
        <v>45212</v>
      </c>
      <c r="D3713" t="inlineStr">
        <is>
          <t>VÄSTERNORRLANDS LÄN</t>
        </is>
      </c>
      <c r="E3713" t="inlineStr">
        <is>
          <t>SOLLEFTEÅ</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24819-2021</t>
        </is>
      </c>
      <c r="B3714" s="1" t="n">
        <v>44340</v>
      </c>
      <c r="C3714" s="1" t="n">
        <v>45212</v>
      </c>
      <c r="D3714" t="inlineStr">
        <is>
          <t>VÄSTERNORRLANDS LÄN</t>
        </is>
      </c>
      <c r="E3714" t="inlineStr">
        <is>
          <t>ÅNGE</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24853-2021</t>
        </is>
      </c>
      <c r="B3715" s="1" t="n">
        <v>44340</v>
      </c>
      <c r="C3715" s="1" t="n">
        <v>45212</v>
      </c>
      <c r="D3715" t="inlineStr">
        <is>
          <t>VÄSTERNORRLANDS LÄN</t>
        </is>
      </c>
      <c r="E3715" t="inlineStr">
        <is>
          <t>SUNDSVALL</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25095-2021</t>
        </is>
      </c>
      <c r="B3716" s="1" t="n">
        <v>44341</v>
      </c>
      <c r="C3716" s="1" t="n">
        <v>45212</v>
      </c>
      <c r="D3716" t="inlineStr">
        <is>
          <t>VÄSTERNORRLANDS LÄN</t>
        </is>
      </c>
      <c r="E3716" t="inlineStr">
        <is>
          <t>ÖRNSKÖLDSVIK</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25152-2021</t>
        </is>
      </c>
      <c r="B3717" s="1" t="n">
        <v>44341</v>
      </c>
      <c r="C3717" s="1" t="n">
        <v>45212</v>
      </c>
      <c r="D3717" t="inlineStr">
        <is>
          <t>VÄSTERNORRLANDS LÄN</t>
        </is>
      </c>
      <c r="E3717" t="inlineStr">
        <is>
          <t>SOLLEFTEÅ</t>
        </is>
      </c>
      <c r="F3717" t="inlineStr">
        <is>
          <t>SCA</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24953-2021</t>
        </is>
      </c>
      <c r="B3718" s="1" t="n">
        <v>44341</v>
      </c>
      <c r="C3718" s="1" t="n">
        <v>45212</v>
      </c>
      <c r="D3718" t="inlineStr">
        <is>
          <t>VÄSTERNORRLANDS LÄN</t>
        </is>
      </c>
      <c r="E3718" t="inlineStr">
        <is>
          <t>ÅNGE</t>
        </is>
      </c>
      <c r="G3718" t="n">
        <v>6.1</v>
      </c>
      <c r="H3718" t="n">
        <v>0</v>
      </c>
      <c r="I3718" t="n">
        <v>0</v>
      </c>
      <c r="J3718" t="n">
        <v>0</v>
      </c>
      <c r="K3718" t="n">
        <v>0</v>
      </c>
      <c r="L3718" t="n">
        <v>0</v>
      </c>
      <c r="M3718" t="n">
        <v>0</v>
      </c>
      <c r="N3718" t="n">
        <v>0</v>
      </c>
      <c r="O3718" t="n">
        <v>0</v>
      </c>
      <c r="P3718" t="n">
        <v>0</v>
      </c>
      <c r="Q3718" t="n">
        <v>0</v>
      </c>
      <c r="R3718" s="2" t="inlineStr"/>
    </row>
    <row r="3719" ht="15" customHeight="1">
      <c r="A3719" t="inlineStr">
        <is>
          <t>A 25025-2021</t>
        </is>
      </c>
      <c r="B3719" s="1" t="n">
        <v>44341</v>
      </c>
      <c r="C3719" s="1" t="n">
        <v>45212</v>
      </c>
      <c r="D3719" t="inlineStr">
        <is>
          <t>VÄSTERNORRLANDS LÄN</t>
        </is>
      </c>
      <c r="E3719" t="inlineStr">
        <is>
          <t>ÖRNSKÖLDSVIK</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25093-2021</t>
        </is>
      </c>
      <c r="B3720" s="1" t="n">
        <v>44341</v>
      </c>
      <c r="C3720" s="1" t="n">
        <v>45212</v>
      </c>
      <c r="D3720" t="inlineStr">
        <is>
          <t>VÄSTERNORRLANDS LÄN</t>
        </is>
      </c>
      <c r="E3720" t="inlineStr">
        <is>
          <t>ÖRNSKÖLDSVIK</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25148-2021</t>
        </is>
      </c>
      <c r="B3721" s="1" t="n">
        <v>44341</v>
      </c>
      <c r="C3721" s="1" t="n">
        <v>45212</v>
      </c>
      <c r="D3721" t="inlineStr">
        <is>
          <t>VÄSTERNORRLANDS LÄN</t>
        </is>
      </c>
      <c r="E3721" t="inlineStr">
        <is>
          <t>SUNDSVALL</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25183-2021</t>
        </is>
      </c>
      <c r="B3722" s="1" t="n">
        <v>44341</v>
      </c>
      <c r="C3722" s="1" t="n">
        <v>45212</v>
      </c>
      <c r="D3722" t="inlineStr">
        <is>
          <t>VÄSTERNORRLANDS LÄN</t>
        </is>
      </c>
      <c r="E3722" t="inlineStr">
        <is>
          <t>SOLLEFTEÅ</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24991-2021</t>
        </is>
      </c>
      <c r="B3723" s="1" t="n">
        <v>44341</v>
      </c>
      <c r="C3723" s="1" t="n">
        <v>45212</v>
      </c>
      <c r="D3723" t="inlineStr">
        <is>
          <t>VÄSTERNORRLANDS LÄN</t>
        </is>
      </c>
      <c r="E3723" t="inlineStr">
        <is>
          <t>KRAMFORS</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25045-2021</t>
        </is>
      </c>
      <c r="B3724" s="1" t="n">
        <v>44341</v>
      </c>
      <c r="C3724" s="1" t="n">
        <v>45212</v>
      </c>
      <c r="D3724" t="inlineStr">
        <is>
          <t>VÄSTERNORRLANDS LÄN</t>
        </is>
      </c>
      <c r="E3724" t="inlineStr">
        <is>
          <t>ÖRNSKÖLDSVIK</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25080-2021</t>
        </is>
      </c>
      <c r="B3725" s="1" t="n">
        <v>44341</v>
      </c>
      <c r="C3725" s="1" t="n">
        <v>45212</v>
      </c>
      <c r="D3725" t="inlineStr">
        <is>
          <t>VÄSTERNORRLANDS LÄN</t>
        </is>
      </c>
      <c r="E3725" t="inlineStr">
        <is>
          <t>ÖRNSKÖLDSVIK</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25156-2021</t>
        </is>
      </c>
      <c r="B3726" s="1" t="n">
        <v>44341</v>
      </c>
      <c r="C3726" s="1" t="n">
        <v>45212</v>
      </c>
      <c r="D3726" t="inlineStr">
        <is>
          <t>VÄSTERNORRLANDS LÄN</t>
        </is>
      </c>
      <c r="E3726" t="inlineStr">
        <is>
          <t>SOLLEFTEÅ</t>
        </is>
      </c>
      <c r="F3726" t="inlineStr">
        <is>
          <t>SCA</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25020-2021</t>
        </is>
      </c>
      <c r="B3727" s="1" t="n">
        <v>44341</v>
      </c>
      <c r="C3727" s="1" t="n">
        <v>45212</v>
      </c>
      <c r="D3727" t="inlineStr">
        <is>
          <t>VÄSTERNORRLANDS LÄN</t>
        </is>
      </c>
      <c r="E3727" t="inlineStr">
        <is>
          <t>ÅNGE</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25089-2021</t>
        </is>
      </c>
      <c r="B3728" s="1" t="n">
        <v>44341</v>
      </c>
      <c r="C3728" s="1" t="n">
        <v>45212</v>
      </c>
      <c r="D3728" t="inlineStr">
        <is>
          <t>VÄSTERNORRLANDS LÄN</t>
        </is>
      </c>
      <c r="E3728" t="inlineStr">
        <is>
          <t>ÖRNSKÖLDSVIK</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25147-2021</t>
        </is>
      </c>
      <c r="B3729" s="1" t="n">
        <v>44341</v>
      </c>
      <c r="C3729" s="1" t="n">
        <v>45212</v>
      </c>
      <c r="D3729" t="inlineStr">
        <is>
          <t>VÄSTERNORRLANDS LÄN</t>
        </is>
      </c>
      <c r="E3729" t="inlineStr">
        <is>
          <t>SUNDSVALL</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25171-2021</t>
        </is>
      </c>
      <c r="B3730" s="1" t="n">
        <v>44341</v>
      </c>
      <c r="C3730" s="1" t="n">
        <v>45212</v>
      </c>
      <c r="D3730" t="inlineStr">
        <is>
          <t>VÄSTERNORRLANDS LÄN</t>
        </is>
      </c>
      <c r="E3730" t="inlineStr">
        <is>
          <t>ÖRNSKÖLDSVIK</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25560-2021</t>
        </is>
      </c>
      <c r="B3731" s="1" t="n">
        <v>44342</v>
      </c>
      <c r="C3731" s="1" t="n">
        <v>45212</v>
      </c>
      <c r="D3731" t="inlineStr">
        <is>
          <t>VÄSTERNORRLANDS LÄN</t>
        </is>
      </c>
      <c r="E3731" t="inlineStr">
        <is>
          <t>ÖRNSKÖLDSVIK</t>
        </is>
      </c>
      <c r="G3731" t="n">
        <v>2.8</v>
      </c>
      <c r="H3731" t="n">
        <v>0</v>
      </c>
      <c r="I3731" t="n">
        <v>0</v>
      </c>
      <c r="J3731" t="n">
        <v>0</v>
      </c>
      <c r="K3731" t="n">
        <v>0</v>
      </c>
      <c r="L3731" t="n">
        <v>0</v>
      </c>
      <c r="M3731" t="n">
        <v>0</v>
      </c>
      <c r="N3731" t="n">
        <v>0</v>
      </c>
      <c r="O3731" t="n">
        <v>0</v>
      </c>
      <c r="P3731" t="n">
        <v>0</v>
      </c>
      <c r="Q3731" t="n">
        <v>0</v>
      </c>
      <c r="R3731" s="2" t="inlineStr"/>
    </row>
    <row r="3732" ht="15" customHeight="1">
      <c r="A3732" t="inlineStr">
        <is>
          <t>A 25178-2021</t>
        </is>
      </c>
      <c r="B3732" s="1" t="n">
        <v>44342</v>
      </c>
      <c r="C3732" s="1" t="n">
        <v>45212</v>
      </c>
      <c r="D3732" t="inlineStr">
        <is>
          <t>VÄSTERNORRLANDS LÄN</t>
        </is>
      </c>
      <c r="E3732" t="inlineStr">
        <is>
          <t>ÖRNSKÖLDSVIK</t>
        </is>
      </c>
      <c r="F3732" t="inlineStr">
        <is>
          <t>Holmen skog AB</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25321-2021</t>
        </is>
      </c>
      <c r="B3733" s="1" t="n">
        <v>44342</v>
      </c>
      <c r="C3733" s="1" t="n">
        <v>45212</v>
      </c>
      <c r="D3733" t="inlineStr">
        <is>
          <t>VÄSTERNORRLANDS LÄN</t>
        </is>
      </c>
      <c r="E3733" t="inlineStr">
        <is>
          <t>ÖRNSKÖLDSVIK</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25345-2021</t>
        </is>
      </c>
      <c r="B3734" s="1" t="n">
        <v>44342</v>
      </c>
      <c r="C3734" s="1" t="n">
        <v>45212</v>
      </c>
      <c r="D3734" t="inlineStr">
        <is>
          <t>VÄSTERNORRLANDS LÄN</t>
        </is>
      </c>
      <c r="E3734" t="inlineStr">
        <is>
          <t>SOLLEFTEÅ</t>
        </is>
      </c>
      <c r="G3734" t="n">
        <v>0.2</v>
      </c>
      <c r="H3734" t="n">
        <v>0</v>
      </c>
      <c r="I3734" t="n">
        <v>0</v>
      </c>
      <c r="J3734" t="n">
        <v>0</v>
      </c>
      <c r="K3734" t="n">
        <v>0</v>
      </c>
      <c r="L3734" t="n">
        <v>0</v>
      </c>
      <c r="M3734" t="n">
        <v>0</v>
      </c>
      <c r="N3734" t="n">
        <v>0</v>
      </c>
      <c r="O3734" t="n">
        <v>0</v>
      </c>
      <c r="P3734" t="n">
        <v>0</v>
      </c>
      <c r="Q3734" t="n">
        <v>0</v>
      </c>
      <c r="R3734" s="2" t="inlineStr"/>
    </row>
    <row r="3735" ht="15" customHeight="1">
      <c r="A3735" t="inlineStr">
        <is>
          <t>A 25484-2021</t>
        </is>
      </c>
      <c r="B3735" s="1" t="n">
        <v>44342</v>
      </c>
      <c r="C3735" s="1" t="n">
        <v>45212</v>
      </c>
      <c r="D3735" t="inlineStr">
        <is>
          <t>VÄSTERNORRLANDS LÄN</t>
        </is>
      </c>
      <c r="E3735" t="inlineStr">
        <is>
          <t>SUNDSVALL</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25522-2021</t>
        </is>
      </c>
      <c r="B3736" s="1" t="n">
        <v>44342</v>
      </c>
      <c r="C3736" s="1" t="n">
        <v>45212</v>
      </c>
      <c r="D3736" t="inlineStr">
        <is>
          <t>VÄSTERNORRLANDS LÄN</t>
        </is>
      </c>
      <c r="E3736" t="inlineStr">
        <is>
          <t>SOLLEFTEÅ</t>
        </is>
      </c>
      <c r="F3736" t="inlineStr">
        <is>
          <t>SCA</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25329-2021</t>
        </is>
      </c>
      <c r="B3737" s="1" t="n">
        <v>44342</v>
      </c>
      <c r="C3737" s="1" t="n">
        <v>45212</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25489-2021</t>
        </is>
      </c>
      <c r="B3738" s="1" t="n">
        <v>44342</v>
      </c>
      <c r="C3738" s="1" t="n">
        <v>45212</v>
      </c>
      <c r="D3738" t="inlineStr">
        <is>
          <t>VÄSTERNORRLANDS LÄN</t>
        </is>
      </c>
      <c r="E3738" t="inlineStr">
        <is>
          <t>ÖRNSKÖLDSVIK</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25562-2021</t>
        </is>
      </c>
      <c r="B3739" s="1" t="n">
        <v>44343</v>
      </c>
      <c r="C3739" s="1" t="n">
        <v>45212</v>
      </c>
      <c r="D3739" t="inlineStr">
        <is>
          <t>VÄSTERNORRLANDS LÄN</t>
        </is>
      </c>
      <c r="E3739" t="inlineStr">
        <is>
          <t>KRAMFORS</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25609-2021</t>
        </is>
      </c>
      <c r="B3740" s="1" t="n">
        <v>44343</v>
      </c>
      <c r="C3740" s="1" t="n">
        <v>45212</v>
      </c>
      <c r="D3740" t="inlineStr">
        <is>
          <t>VÄSTERNORRLANDS LÄN</t>
        </is>
      </c>
      <c r="E3740" t="inlineStr">
        <is>
          <t>ÖRNSKÖLDSVIK</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25592-2021</t>
        </is>
      </c>
      <c r="B3741" s="1" t="n">
        <v>44343</v>
      </c>
      <c r="C3741" s="1" t="n">
        <v>45212</v>
      </c>
      <c r="D3741" t="inlineStr">
        <is>
          <t>VÄSTERNORRLANDS LÄN</t>
        </is>
      </c>
      <c r="E3741" t="inlineStr">
        <is>
          <t>KRAMFORS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25705-2021</t>
        </is>
      </c>
      <c r="B3742" s="1" t="n">
        <v>44343</v>
      </c>
      <c r="C3742" s="1" t="n">
        <v>45212</v>
      </c>
      <c r="D3742" t="inlineStr">
        <is>
          <t>VÄSTERNORRLANDS LÄN</t>
        </is>
      </c>
      <c r="E3742" t="inlineStr">
        <is>
          <t>ÖRNSKÖLDSVIK</t>
        </is>
      </c>
      <c r="G3742" t="n">
        <v>0.2</v>
      </c>
      <c r="H3742" t="n">
        <v>0</v>
      </c>
      <c r="I3742" t="n">
        <v>0</v>
      </c>
      <c r="J3742" t="n">
        <v>0</v>
      </c>
      <c r="K3742" t="n">
        <v>0</v>
      </c>
      <c r="L3742" t="n">
        <v>0</v>
      </c>
      <c r="M3742" t="n">
        <v>0</v>
      </c>
      <c r="N3742" t="n">
        <v>0</v>
      </c>
      <c r="O3742" t="n">
        <v>0</v>
      </c>
      <c r="P3742" t="n">
        <v>0</v>
      </c>
      <c r="Q3742" t="n">
        <v>0</v>
      </c>
      <c r="R3742" s="2" t="inlineStr"/>
    </row>
    <row r="3743" ht="15" customHeight="1">
      <c r="A3743" t="inlineStr">
        <is>
          <t>A 25748-2021</t>
        </is>
      </c>
      <c r="B3743" s="1" t="n">
        <v>44343</v>
      </c>
      <c r="C3743" s="1" t="n">
        <v>45212</v>
      </c>
      <c r="D3743" t="inlineStr">
        <is>
          <t>VÄSTERNORRLANDS LÄN</t>
        </is>
      </c>
      <c r="E3743" t="inlineStr">
        <is>
          <t>SUNDSVALL</t>
        </is>
      </c>
      <c r="F3743" t="inlineStr">
        <is>
          <t>Kyrkan</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25672-2021</t>
        </is>
      </c>
      <c r="B3744" s="1" t="n">
        <v>44343</v>
      </c>
      <c r="C3744" s="1" t="n">
        <v>45212</v>
      </c>
      <c r="D3744" t="inlineStr">
        <is>
          <t>VÄSTERNORRLANDS LÄN</t>
        </is>
      </c>
      <c r="E3744" t="inlineStr">
        <is>
          <t>ÖRNSKÖLDSVIK</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25747-2021</t>
        </is>
      </c>
      <c r="B3745" s="1" t="n">
        <v>44343</v>
      </c>
      <c r="C3745" s="1" t="n">
        <v>45212</v>
      </c>
      <c r="D3745" t="inlineStr">
        <is>
          <t>VÄSTERNORRLANDS LÄN</t>
        </is>
      </c>
      <c r="E3745" t="inlineStr">
        <is>
          <t>SUNDSVALL</t>
        </is>
      </c>
      <c r="F3745" t="inlineStr">
        <is>
          <t>Kyrkan</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25989-2021</t>
        </is>
      </c>
      <c r="B3746" s="1" t="n">
        <v>44344</v>
      </c>
      <c r="C3746" s="1" t="n">
        <v>45212</v>
      </c>
      <c r="D3746" t="inlineStr">
        <is>
          <t>VÄSTERNORRLANDS LÄN</t>
        </is>
      </c>
      <c r="E3746" t="inlineStr">
        <is>
          <t>SOLLEFTEÅ</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25999-2021</t>
        </is>
      </c>
      <c r="B3747" s="1" t="n">
        <v>44344</v>
      </c>
      <c r="C3747" s="1" t="n">
        <v>45212</v>
      </c>
      <c r="D3747" t="inlineStr">
        <is>
          <t>VÄSTERNORRLANDS LÄN</t>
        </is>
      </c>
      <c r="E3747" t="inlineStr">
        <is>
          <t>SOLLEFTEÅ</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26108-2021</t>
        </is>
      </c>
      <c r="B3748" s="1" t="n">
        <v>44344</v>
      </c>
      <c r="C3748" s="1" t="n">
        <v>45212</v>
      </c>
      <c r="D3748" t="inlineStr">
        <is>
          <t>VÄSTERNORRLANDS LÄN</t>
        </is>
      </c>
      <c r="E3748" t="inlineStr">
        <is>
          <t>SUNDSVALL</t>
        </is>
      </c>
      <c r="G3748" t="n">
        <v>5.1</v>
      </c>
      <c r="H3748" t="n">
        <v>0</v>
      </c>
      <c r="I3748" t="n">
        <v>0</v>
      </c>
      <c r="J3748" t="n">
        <v>0</v>
      </c>
      <c r="K3748" t="n">
        <v>0</v>
      </c>
      <c r="L3748" t="n">
        <v>0</v>
      </c>
      <c r="M3748" t="n">
        <v>0</v>
      </c>
      <c r="N3748" t="n">
        <v>0</v>
      </c>
      <c r="O3748" t="n">
        <v>0</v>
      </c>
      <c r="P3748" t="n">
        <v>0</v>
      </c>
      <c r="Q3748" t="n">
        <v>0</v>
      </c>
      <c r="R3748" s="2" t="inlineStr"/>
    </row>
    <row r="3749" ht="15" customHeight="1">
      <c r="A3749" t="inlineStr">
        <is>
          <t>A 25877-2021</t>
        </is>
      </c>
      <c r="B3749" s="1" t="n">
        <v>44344</v>
      </c>
      <c r="C3749" s="1" t="n">
        <v>45212</v>
      </c>
      <c r="D3749" t="inlineStr">
        <is>
          <t>VÄSTERNORRLANDS LÄN</t>
        </is>
      </c>
      <c r="E3749" t="inlineStr">
        <is>
          <t>SOLLEFTEÅ</t>
        </is>
      </c>
      <c r="G3749" t="n">
        <v>4.2</v>
      </c>
      <c r="H3749" t="n">
        <v>0</v>
      </c>
      <c r="I3749" t="n">
        <v>0</v>
      </c>
      <c r="J3749" t="n">
        <v>0</v>
      </c>
      <c r="K3749" t="n">
        <v>0</v>
      </c>
      <c r="L3749" t="n">
        <v>0</v>
      </c>
      <c r="M3749" t="n">
        <v>0</v>
      </c>
      <c r="N3749" t="n">
        <v>0</v>
      </c>
      <c r="O3749" t="n">
        <v>0</v>
      </c>
      <c r="P3749" t="n">
        <v>0</v>
      </c>
      <c r="Q3749" t="n">
        <v>0</v>
      </c>
      <c r="R3749" s="2" t="inlineStr"/>
    </row>
    <row r="3750" ht="15" customHeight="1">
      <c r="A3750" t="inlineStr">
        <is>
          <t>A 26089-2021</t>
        </is>
      </c>
      <c r="B3750" s="1" t="n">
        <v>44344</v>
      </c>
      <c r="C3750" s="1" t="n">
        <v>45212</v>
      </c>
      <c r="D3750" t="inlineStr">
        <is>
          <t>VÄSTERNORRLANDS LÄN</t>
        </is>
      </c>
      <c r="E3750" t="inlineStr">
        <is>
          <t>SUNDSVALL</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26175-2021</t>
        </is>
      </c>
      <c r="B3751" s="1" t="n">
        <v>44344</v>
      </c>
      <c r="C3751" s="1" t="n">
        <v>45212</v>
      </c>
      <c r="D3751" t="inlineStr">
        <is>
          <t>VÄSTERNORRLANDS LÄN</t>
        </is>
      </c>
      <c r="E3751" t="inlineStr">
        <is>
          <t>ÖRNSKÖLDSVIK</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25985-2021</t>
        </is>
      </c>
      <c r="B3752" s="1" t="n">
        <v>44344</v>
      </c>
      <c r="C3752" s="1" t="n">
        <v>45212</v>
      </c>
      <c r="D3752" t="inlineStr">
        <is>
          <t>VÄSTERNORRLANDS LÄN</t>
        </is>
      </c>
      <c r="E3752" t="inlineStr">
        <is>
          <t>KRAMFORS</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26021-2021</t>
        </is>
      </c>
      <c r="B3753" s="1" t="n">
        <v>44344</v>
      </c>
      <c r="C3753" s="1" t="n">
        <v>45212</v>
      </c>
      <c r="D3753" t="inlineStr">
        <is>
          <t>VÄSTERNORRLANDS LÄN</t>
        </is>
      </c>
      <c r="E3753" t="inlineStr">
        <is>
          <t>ÖRNSKÖLDSVIK</t>
        </is>
      </c>
      <c r="F3753" t="inlineStr">
        <is>
          <t>Holmen skog AB</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26349-2021</t>
        </is>
      </c>
      <c r="B3754" s="1" t="n">
        <v>44347</v>
      </c>
      <c r="C3754" s="1" t="n">
        <v>45212</v>
      </c>
      <c r="D3754" t="inlineStr">
        <is>
          <t>VÄSTERNORRLANDS LÄN</t>
        </is>
      </c>
      <c r="E3754" t="inlineStr">
        <is>
          <t>ÖRNSKÖLDSVIK</t>
        </is>
      </c>
      <c r="F3754" t="inlineStr">
        <is>
          <t>Holmen skog AB</t>
        </is>
      </c>
      <c r="G3754" t="n">
        <v>2.1</v>
      </c>
      <c r="H3754" t="n">
        <v>0</v>
      </c>
      <c r="I3754" t="n">
        <v>0</v>
      </c>
      <c r="J3754" t="n">
        <v>0</v>
      </c>
      <c r="K3754" t="n">
        <v>0</v>
      </c>
      <c r="L3754" t="n">
        <v>0</v>
      </c>
      <c r="M3754" t="n">
        <v>0</v>
      </c>
      <c r="N3754" t="n">
        <v>0</v>
      </c>
      <c r="O3754" t="n">
        <v>0</v>
      </c>
      <c r="P3754" t="n">
        <v>0</v>
      </c>
      <c r="Q3754" t="n">
        <v>0</v>
      </c>
      <c r="R3754" s="2" t="inlineStr"/>
    </row>
    <row r="3755" ht="15" customHeight="1">
      <c r="A3755" t="inlineStr">
        <is>
          <t>A 26406-2021</t>
        </is>
      </c>
      <c r="B3755" s="1" t="n">
        <v>44347</v>
      </c>
      <c r="C3755" s="1" t="n">
        <v>45212</v>
      </c>
      <c r="D3755" t="inlineStr">
        <is>
          <t>VÄSTERNORRLANDS LÄN</t>
        </is>
      </c>
      <c r="E3755" t="inlineStr">
        <is>
          <t>SOLLEFTEÅ</t>
        </is>
      </c>
      <c r="F3755" t="inlineStr">
        <is>
          <t>SCA</t>
        </is>
      </c>
      <c r="G3755" t="n">
        <v>12.2</v>
      </c>
      <c r="H3755" t="n">
        <v>0</v>
      </c>
      <c r="I3755" t="n">
        <v>0</v>
      </c>
      <c r="J3755" t="n">
        <v>0</v>
      </c>
      <c r="K3755" t="n">
        <v>0</v>
      </c>
      <c r="L3755" t="n">
        <v>0</v>
      </c>
      <c r="M3755" t="n">
        <v>0</v>
      </c>
      <c r="N3755" t="n">
        <v>0</v>
      </c>
      <c r="O3755" t="n">
        <v>0</v>
      </c>
      <c r="P3755" t="n">
        <v>0</v>
      </c>
      <c r="Q3755" t="n">
        <v>0</v>
      </c>
      <c r="R3755" s="2" t="inlineStr"/>
    </row>
    <row r="3756" ht="15" customHeight="1">
      <c r="A3756" t="inlineStr">
        <is>
          <t>A 26313-2021</t>
        </is>
      </c>
      <c r="B3756" s="1" t="n">
        <v>44347</v>
      </c>
      <c r="C3756" s="1" t="n">
        <v>45212</v>
      </c>
      <c r="D3756" t="inlineStr">
        <is>
          <t>VÄSTERNORRLANDS LÄN</t>
        </is>
      </c>
      <c r="E3756" t="inlineStr">
        <is>
          <t>ÖRNSKÖLDSVIK</t>
        </is>
      </c>
      <c r="F3756" t="inlineStr">
        <is>
          <t>Holmen skog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26424-2021</t>
        </is>
      </c>
      <c r="B3757" s="1" t="n">
        <v>44347</v>
      </c>
      <c r="C3757" s="1" t="n">
        <v>45212</v>
      </c>
      <c r="D3757" t="inlineStr">
        <is>
          <t>VÄSTERNORRLANDS LÄN</t>
        </is>
      </c>
      <c r="E3757" t="inlineStr">
        <is>
          <t>SUNDSVALL</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26190-2021</t>
        </is>
      </c>
      <c r="B3758" s="1" t="n">
        <v>44347</v>
      </c>
      <c r="C3758" s="1" t="n">
        <v>45212</v>
      </c>
      <c r="D3758" t="inlineStr">
        <is>
          <t>VÄSTERNORRLANDS LÄN</t>
        </is>
      </c>
      <c r="E3758" t="inlineStr">
        <is>
          <t>ÖRNSKÖLDSVIK</t>
        </is>
      </c>
      <c r="F3758" t="inlineStr">
        <is>
          <t>Holmen skog AB</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26193-2021</t>
        </is>
      </c>
      <c r="B3759" s="1" t="n">
        <v>44347</v>
      </c>
      <c r="C3759" s="1" t="n">
        <v>45212</v>
      </c>
      <c r="D3759" t="inlineStr">
        <is>
          <t>VÄSTERNORRLANDS LÄN</t>
        </is>
      </c>
      <c r="E3759" t="inlineStr">
        <is>
          <t>ÅNGE</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26276-2021</t>
        </is>
      </c>
      <c r="B3760" s="1" t="n">
        <v>44347</v>
      </c>
      <c r="C3760" s="1" t="n">
        <v>45212</v>
      </c>
      <c r="D3760" t="inlineStr">
        <is>
          <t>VÄSTERNORRLANDS LÄN</t>
        </is>
      </c>
      <c r="E3760" t="inlineStr">
        <is>
          <t>HÄRNÖSAND</t>
        </is>
      </c>
      <c r="G3760" t="n">
        <v>9</v>
      </c>
      <c r="H3760" t="n">
        <v>0</v>
      </c>
      <c r="I3760" t="n">
        <v>0</v>
      </c>
      <c r="J3760" t="n">
        <v>0</v>
      </c>
      <c r="K3760" t="n">
        <v>0</v>
      </c>
      <c r="L3760" t="n">
        <v>0</v>
      </c>
      <c r="M3760" t="n">
        <v>0</v>
      </c>
      <c r="N3760" t="n">
        <v>0</v>
      </c>
      <c r="O3760" t="n">
        <v>0</v>
      </c>
      <c r="P3760" t="n">
        <v>0</v>
      </c>
      <c r="Q3760" t="n">
        <v>0</v>
      </c>
      <c r="R3760" s="2" t="inlineStr"/>
    </row>
    <row r="3761" ht="15" customHeight="1">
      <c r="A3761" t="inlineStr">
        <is>
          <t>A 26320-2021</t>
        </is>
      </c>
      <c r="B3761" s="1" t="n">
        <v>44347</v>
      </c>
      <c r="C3761" s="1" t="n">
        <v>45212</v>
      </c>
      <c r="D3761" t="inlineStr">
        <is>
          <t>VÄSTERNORRLANDS LÄN</t>
        </is>
      </c>
      <c r="E3761" t="inlineStr">
        <is>
          <t>KRAMFORS</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26396-2021</t>
        </is>
      </c>
      <c r="B3762" s="1" t="n">
        <v>44347</v>
      </c>
      <c r="C3762" s="1" t="n">
        <v>45212</v>
      </c>
      <c r="D3762" t="inlineStr">
        <is>
          <t>VÄSTERNORRLANDS LÄN</t>
        </is>
      </c>
      <c r="E3762" t="inlineStr">
        <is>
          <t>SUNDSVALL</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26481-2021</t>
        </is>
      </c>
      <c r="B3763" s="1" t="n">
        <v>44347</v>
      </c>
      <c r="C3763" s="1" t="n">
        <v>45212</v>
      </c>
      <c r="D3763" t="inlineStr">
        <is>
          <t>VÄSTERNORRLANDS LÄN</t>
        </is>
      </c>
      <c r="E3763" t="inlineStr">
        <is>
          <t>ÖRNSKÖLDSVIK</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26559-2021</t>
        </is>
      </c>
      <c r="B3764" s="1" t="n">
        <v>44348</v>
      </c>
      <c r="C3764" s="1" t="n">
        <v>45212</v>
      </c>
      <c r="D3764" t="inlineStr">
        <is>
          <t>VÄSTERNORRLANDS LÄN</t>
        </is>
      </c>
      <c r="E3764" t="inlineStr">
        <is>
          <t>SOLLEFTEÅ</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26471-2021</t>
        </is>
      </c>
      <c r="B3765" s="1" t="n">
        <v>44348</v>
      </c>
      <c r="C3765" s="1" t="n">
        <v>45212</v>
      </c>
      <c r="D3765" t="inlineStr">
        <is>
          <t>VÄSTERNORRLANDS LÄN</t>
        </is>
      </c>
      <c r="E3765" t="inlineStr">
        <is>
          <t>ÖRNSKÖLDSVIK</t>
        </is>
      </c>
      <c r="F3765" t="inlineStr">
        <is>
          <t>Holmen skog AB</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26498-2021</t>
        </is>
      </c>
      <c r="B3766" s="1" t="n">
        <v>44348</v>
      </c>
      <c r="C3766" s="1" t="n">
        <v>45212</v>
      </c>
      <c r="D3766" t="inlineStr">
        <is>
          <t>VÄSTERNORRLANDS LÄN</t>
        </is>
      </c>
      <c r="E3766" t="inlineStr">
        <is>
          <t>SOLLEFTEÅ</t>
        </is>
      </c>
      <c r="G3766" t="n">
        <v>7.8</v>
      </c>
      <c r="H3766" t="n">
        <v>0</v>
      </c>
      <c r="I3766" t="n">
        <v>0</v>
      </c>
      <c r="J3766" t="n">
        <v>0</v>
      </c>
      <c r="K3766" t="n">
        <v>0</v>
      </c>
      <c r="L3766" t="n">
        <v>0</v>
      </c>
      <c r="M3766" t="n">
        <v>0</v>
      </c>
      <c r="N3766" t="n">
        <v>0</v>
      </c>
      <c r="O3766" t="n">
        <v>0</v>
      </c>
      <c r="P3766" t="n">
        <v>0</v>
      </c>
      <c r="Q3766" t="n">
        <v>0</v>
      </c>
      <c r="R3766" s="2" t="inlineStr"/>
    </row>
    <row r="3767" ht="15" customHeight="1">
      <c r="A3767" t="inlineStr">
        <is>
          <t>A 26588-2021</t>
        </is>
      </c>
      <c r="B3767" s="1" t="n">
        <v>44348</v>
      </c>
      <c r="C3767" s="1" t="n">
        <v>45212</v>
      </c>
      <c r="D3767" t="inlineStr">
        <is>
          <t>VÄSTERNORRLANDS LÄN</t>
        </is>
      </c>
      <c r="E3767" t="inlineStr">
        <is>
          <t>TIMRÅ</t>
        </is>
      </c>
      <c r="F3767" t="inlineStr">
        <is>
          <t>Kyrkan</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26921-2021</t>
        </is>
      </c>
      <c r="B3768" s="1" t="n">
        <v>44349</v>
      </c>
      <c r="C3768" s="1" t="n">
        <v>45212</v>
      </c>
      <c r="D3768" t="inlineStr">
        <is>
          <t>VÄSTERNORRLANDS LÄN</t>
        </is>
      </c>
      <c r="E3768" t="inlineStr">
        <is>
          <t>TIMRÅ</t>
        </is>
      </c>
      <c r="G3768" t="n">
        <v>6.6</v>
      </c>
      <c r="H3768" t="n">
        <v>0</v>
      </c>
      <c r="I3768" t="n">
        <v>0</v>
      </c>
      <c r="J3768" t="n">
        <v>0</v>
      </c>
      <c r="K3768" t="n">
        <v>0</v>
      </c>
      <c r="L3768" t="n">
        <v>0</v>
      </c>
      <c r="M3768" t="n">
        <v>0</v>
      </c>
      <c r="N3768" t="n">
        <v>0</v>
      </c>
      <c r="O3768" t="n">
        <v>0</v>
      </c>
      <c r="P3768" t="n">
        <v>0</v>
      </c>
      <c r="Q3768" t="n">
        <v>0</v>
      </c>
      <c r="R3768" s="2" t="inlineStr"/>
    </row>
    <row r="3769" ht="15" customHeight="1">
      <c r="A3769" t="inlineStr">
        <is>
          <t>A 26814-2021</t>
        </is>
      </c>
      <c r="B3769" s="1" t="n">
        <v>44349</v>
      </c>
      <c r="C3769" s="1" t="n">
        <v>45212</v>
      </c>
      <c r="D3769" t="inlineStr">
        <is>
          <t>VÄSTERNORRLANDS LÄN</t>
        </is>
      </c>
      <c r="E3769" t="inlineStr">
        <is>
          <t>KRAMFORS</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26832-2021</t>
        </is>
      </c>
      <c r="B3770" s="1" t="n">
        <v>44349</v>
      </c>
      <c r="C3770" s="1" t="n">
        <v>45212</v>
      </c>
      <c r="D3770" t="inlineStr">
        <is>
          <t>VÄSTERNORRLANDS LÄN</t>
        </is>
      </c>
      <c r="E3770" t="inlineStr">
        <is>
          <t>KRAMFORS</t>
        </is>
      </c>
      <c r="G3770" t="n">
        <v>0.2</v>
      </c>
      <c r="H3770" t="n">
        <v>0</v>
      </c>
      <c r="I3770" t="n">
        <v>0</v>
      </c>
      <c r="J3770" t="n">
        <v>0</v>
      </c>
      <c r="K3770" t="n">
        <v>0</v>
      </c>
      <c r="L3770" t="n">
        <v>0</v>
      </c>
      <c r="M3770" t="n">
        <v>0</v>
      </c>
      <c r="N3770" t="n">
        <v>0</v>
      </c>
      <c r="O3770" t="n">
        <v>0</v>
      </c>
      <c r="P3770" t="n">
        <v>0</v>
      </c>
      <c r="Q3770" t="n">
        <v>0</v>
      </c>
      <c r="R3770" s="2" t="inlineStr"/>
    </row>
    <row r="3771" ht="15" customHeight="1">
      <c r="A3771" t="inlineStr">
        <is>
          <t>A 26936-2021</t>
        </is>
      </c>
      <c r="B3771" s="1" t="n">
        <v>44349</v>
      </c>
      <c r="C3771" s="1" t="n">
        <v>45212</v>
      </c>
      <c r="D3771" t="inlineStr">
        <is>
          <t>VÄSTERNORRLANDS LÄN</t>
        </is>
      </c>
      <c r="E3771" t="inlineStr">
        <is>
          <t>TIMRÅ</t>
        </is>
      </c>
      <c r="G3771" t="n">
        <v>4.1</v>
      </c>
      <c r="H3771" t="n">
        <v>0</v>
      </c>
      <c r="I3771" t="n">
        <v>0</v>
      </c>
      <c r="J3771" t="n">
        <v>0</v>
      </c>
      <c r="K3771" t="n">
        <v>0</v>
      </c>
      <c r="L3771" t="n">
        <v>0</v>
      </c>
      <c r="M3771" t="n">
        <v>0</v>
      </c>
      <c r="N3771" t="n">
        <v>0</v>
      </c>
      <c r="O3771" t="n">
        <v>0</v>
      </c>
      <c r="P3771" t="n">
        <v>0</v>
      </c>
      <c r="Q3771" t="n">
        <v>0</v>
      </c>
      <c r="R3771" s="2" t="inlineStr"/>
    </row>
    <row r="3772" ht="15" customHeight="1">
      <c r="A3772" t="inlineStr">
        <is>
          <t>A 27015-2021</t>
        </is>
      </c>
      <c r="B3772" s="1" t="n">
        <v>44349</v>
      </c>
      <c r="C3772" s="1" t="n">
        <v>45212</v>
      </c>
      <c r="D3772" t="inlineStr">
        <is>
          <t>VÄSTERNORRLANDS LÄN</t>
        </is>
      </c>
      <c r="E3772" t="inlineStr">
        <is>
          <t>SUNDSVALL</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26839-2021</t>
        </is>
      </c>
      <c r="B3773" s="1" t="n">
        <v>44349</v>
      </c>
      <c r="C3773" s="1" t="n">
        <v>45212</v>
      </c>
      <c r="D3773" t="inlineStr">
        <is>
          <t>VÄSTERNORRLANDS LÄN</t>
        </is>
      </c>
      <c r="E3773" t="inlineStr">
        <is>
          <t>KRAMFORS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26950-2021</t>
        </is>
      </c>
      <c r="B3774" s="1" t="n">
        <v>44349</v>
      </c>
      <c r="C3774" s="1" t="n">
        <v>45212</v>
      </c>
      <c r="D3774" t="inlineStr">
        <is>
          <t>VÄSTERNORRLANDS LÄN</t>
        </is>
      </c>
      <c r="E3774" t="inlineStr">
        <is>
          <t>SUNDSVALL</t>
        </is>
      </c>
      <c r="G3774" t="n">
        <v>2.5</v>
      </c>
      <c r="H3774" t="n">
        <v>0</v>
      </c>
      <c r="I3774" t="n">
        <v>0</v>
      </c>
      <c r="J3774" t="n">
        <v>0</v>
      </c>
      <c r="K3774" t="n">
        <v>0</v>
      </c>
      <c r="L3774" t="n">
        <v>0</v>
      </c>
      <c r="M3774" t="n">
        <v>0</v>
      </c>
      <c r="N3774" t="n">
        <v>0</v>
      </c>
      <c r="O3774" t="n">
        <v>0</v>
      </c>
      <c r="P3774" t="n">
        <v>0</v>
      </c>
      <c r="Q3774" t="n">
        <v>0</v>
      </c>
      <c r="R3774" s="2" t="inlineStr"/>
    </row>
    <row r="3775" ht="15" customHeight="1">
      <c r="A3775" t="inlineStr">
        <is>
          <t>A 26849-2021</t>
        </is>
      </c>
      <c r="B3775" s="1" t="n">
        <v>44349</v>
      </c>
      <c r="C3775" s="1" t="n">
        <v>45212</v>
      </c>
      <c r="D3775" t="inlineStr">
        <is>
          <t>VÄSTERNORRLANDS LÄN</t>
        </is>
      </c>
      <c r="E3775" t="inlineStr">
        <is>
          <t>ÖRNSKÖLDSVIK</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27238-2021</t>
        </is>
      </c>
      <c r="B3776" s="1" t="n">
        <v>44350</v>
      </c>
      <c r="C3776" s="1" t="n">
        <v>45212</v>
      </c>
      <c r="D3776" t="inlineStr">
        <is>
          <t>VÄSTERNORRLANDS LÄN</t>
        </is>
      </c>
      <c r="E3776" t="inlineStr">
        <is>
          <t>SUNDSVALL</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27076-2021</t>
        </is>
      </c>
      <c r="B3777" s="1" t="n">
        <v>44350</v>
      </c>
      <c r="C3777" s="1" t="n">
        <v>45212</v>
      </c>
      <c r="D3777" t="inlineStr">
        <is>
          <t>VÄSTERNORRLANDS LÄN</t>
        </is>
      </c>
      <c r="E3777" t="inlineStr">
        <is>
          <t>ÖRNSKÖLDSVIK</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27170-2021</t>
        </is>
      </c>
      <c r="B3778" s="1" t="n">
        <v>44350</v>
      </c>
      <c r="C3778" s="1" t="n">
        <v>45212</v>
      </c>
      <c r="D3778" t="inlineStr">
        <is>
          <t>VÄSTERNORRLANDS LÄN</t>
        </is>
      </c>
      <c r="E3778" t="inlineStr">
        <is>
          <t>SUNDSVALL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27243-2021</t>
        </is>
      </c>
      <c r="B3779" s="1" t="n">
        <v>44350</v>
      </c>
      <c r="C3779" s="1" t="n">
        <v>45212</v>
      </c>
      <c r="D3779" t="inlineStr">
        <is>
          <t>VÄSTERNORRLANDS LÄN</t>
        </is>
      </c>
      <c r="E3779" t="inlineStr">
        <is>
          <t>TIMRÅ</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27297-2021</t>
        </is>
      </c>
      <c r="B3780" s="1" t="n">
        <v>44351</v>
      </c>
      <c r="C3780" s="1" t="n">
        <v>45212</v>
      </c>
      <c r="D3780" t="inlineStr">
        <is>
          <t>VÄSTERNORRLANDS LÄN</t>
        </is>
      </c>
      <c r="E3780" t="inlineStr">
        <is>
          <t>ÖRNSKÖLDSVIK</t>
        </is>
      </c>
      <c r="F3780" t="inlineStr">
        <is>
          <t>Holmen skog AB</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27407-2021</t>
        </is>
      </c>
      <c r="B3781" s="1" t="n">
        <v>44351</v>
      </c>
      <c r="C3781" s="1" t="n">
        <v>45212</v>
      </c>
      <c r="D3781" t="inlineStr">
        <is>
          <t>VÄSTERNORRLANDS LÄN</t>
        </is>
      </c>
      <c r="E3781" t="inlineStr">
        <is>
          <t>ÖRNSKÖLDSVIK</t>
        </is>
      </c>
      <c r="F3781" t="inlineStr">
        <is>
          <t>Holmen skog AB</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27633-2021</t>
        </is>
      </c>
      <c r="B3782" s="1" t="n">
        <v>44351</v>
      </c>
      <c r="C3782" s="1" t="n">
        <v>45212</v>
      </c>
      <c r="D3782" t="inlineStr">
        <is>
          <t>VÄSTERNORRLANDS LÄN</t>
        </is>
      </c>
      <c r="E3782" t="inlineStr">
        <is>
          <t>ÖRNSKÖLDSVIK</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27398-2021</t>
        </is>
      </c>
      <c r="B3783" s="1" t="n">
        <v>44351</v>
      </c>
      <c r="C3783" s="1" t="n">
        <v>45212</v>
      </c>
      <c r="D3783" t="inlineStr">
        <is>
          <t>VÄSTERNORRLANDS LÄN</t>
        </is>
      </c>
      <c r="E3783" t="inlineStr">
        <is>
          <t>ÖRNSKÖLDSVIK</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27490-2021</t>
        </is>
      </c>
      <c r="B3784" s="1" t="n">
        <v>44351</v>
      </c>
      <c r="C3784" s="1" t="n">
        <v>45212</v>
      </c>
      <c r="D3784" t="inlineStr">
        <is>
          <t>VÄSTERNORRLANDS LÄN</t>
        </is>
      </c>
      <c r="E3784" t="inlineStr">
        <is>
          <t>ÖRNSKÖLDSVIK</t>
        </is>
      </c>
      <c r="F3784" t="inlineStr">
        <is>
          <t>Holmen skog AB</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27519-2021</t>
        </is>
      </c>
      <c r="B3785" s="1" t="n">
        <v>44351</v>
      </c>
      <c r="C3785" s="1" t="n">
        <v>45212</v>
      </c>
      <c r="D3785" t="inlineStr">
        <is>
          <t>VÄSTERNORRLANDS LÄN</t>
        </is>
      </c>
      <c r="E3785" t="inlineStr">
        <is>
          <t>ÖRNSKÖLDSVIK</t>
        </is>
      </c>
      <c r="F3785" t="inlineStr">
        <is>
          <t>Holmen skog AB</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27809-2021</t>
        </is>
      </c>
      <c r="B3786" s="1" t="n">
        <v>44354</v>
      </c>
      <c r="C3786" s="1" t="n">
        <v>45212</v>
      </c>
      <c r="D3786" t="inlineStr">
        <is>
          <t>VÄSTERNORRLANDS LÄN</t>
        </is>
      </c>
      <c r="E3786" t="inlineStr">
        <is>
          <t>SOLLEFTEÅ</t>
        </is>
      </c>
      <c r="F3786" t="inlineStr">
        <is>
          <t>Holmen skog AB</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27954-2021</t>
        </is>
      </c>
      <c r="B3787" s="1" t="n">
        <v>44354</v>
      </c>
      <c r="C3787" s="1" t="n">
        <v>45212</v>
      </c>
      <c r="D3787" t="inlineStr">
        <is>
          <t>VÄSTERNORRLANDS LÄN</t>
        </is>
      </c>
      <c r="E3787" t="inlineStr">
        <is>
          <t>ÅNGE</t>
        </is>
      </c>
      <c r="G3787" t="n">
        <v>9.800000000000001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27959-2021</t>
        </is>
      </c>
      <c r="B3788" s="1" t="n">
        <v>44354</v>
      </c>
      <c r="C3788" s="1" t="n">
        <v>45212</v>
      </c>
      <c r="D3788" t="inlineStr">
        <is>
          <t>VÄSTERNORRLANDS LÄN</t>
        </is>
      </c>
      <c r="E3788" t="inlineStr">
        <is>
          <t>SUNDSVALL</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27842-2021</t>
        </is>
      </c>
      <c r="B3789" s="1" t="n">
        <v>44354</v>
      </c>
      <c r="C3789" s="1" t="n">
        <v>45212</v>
      </c>
      <c r="D3789" t="inlineStr">
        <is>
          <t>VÄSTERNORRLANDS LÄN</t>
        </is>
      </c>
      <c r="E3789" t="inlineStr">
        <is>
          <t>ÖRNSKÖLDSVIK</t>
        </is>
      </c>
      <c r="G3789" t="n">
        <v>21.3</v>
      </c>
      <c r="H3789" t="n">
        <v>0</v>
      </c>
      <c r="I3789" t="n">
        <v>0</v>
      </c>
      <c r="J3789" t="n">
        <v>0</v>
      </c>
      <c r="K3789" t="n">
        <v>0</v>
      </c>
      <c r="L3789" t="n">
        <v>0</v>
      </c>
      <c r="M3789" t="n">
        <v>0</v>
      </c>
      <c r="N3789" t="n">
        <v>0</v>
      </c>
      <c r="O3789" t="n">
        <v>0</v>
      </c>
      <c r="P3789" t="n">
        <v>0</v>
      </c>
      <c r="Q3789" t="n">
        <v>0</v>
      </c>
      <c r="R3789" s="2" t="inlineStr"/>
    </row>
    <row r="3790" ht="15" customHeight="1">
      <c r="A3790" t="inlineStr">
        <is>
          <t>A 27951-2021</t>
        </is>
      </c>
      <c r="B3790" s="1" t="n">
        <v>44354</v>
      </c>
      <c r="C3790" s="1" t="n">
        <v>45212</v>
      </c>
      <c r="D3790" t="inlineStr">
        <is>
          <t>VÄSTERNORRLANDS LÄN</t>
        </is>
      </c>
      <c r="E3790" t="inlineStr">
        <is>
          <t>ÅNGE</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27957-2021</t>
        </is>
      </c>
      <c r="B3791" s="1" t="n">
        <v>44354</v>
      </c>
      <c r="C3791" s="1" t="n">
        <v>45212</v>
      </c>
      <c r="D3791" t="inlineStr">
        <is>
          <t>VÄSTERNORRLANDS LÄN</t>
        </is>
      </c>
      <c r="E3791" t="inlineStr">
        <is>
          <t>ÅNGE</t>
        </is>
      </c>
      <c r="G3791" t="n">
        <v>13.5</v>
      </c>
      <c r="H3791" t="n">
        <v>0</v>
      </c>
      <c r="I3791" t="n">
        <v>0</v>
      </c>
      <c r="J3791" t="n">
        <v>0</v>
      </c>
      <c r="K3791" t="n">
        <v>0</v>
      </c>
      <c r="L3791" t="n">
        <v>0</v>
      </c>
      <c r="M3791" t="n">
        <v>0</v>
      </c>
      <c r="N3791" t="n">
        <v>0</v>
      </c>
      <c r="O3791" t="n">
        <v>0</v>
      </c>
      <c r="P3791" t="n">
        <v>0</v>
      </c>
      <c r="Q3791" t="n">
        <v>0</v>
      </c>
      <c r="R3791" s="2" t="inlineStr"/>
    </row>
    <row r="3792" ht="15" customHeight="1">
      <c r="A3792" t="inlineStr">
        <is>
          <t>A 28264-2021</t>
        </is>
      </c>
      <c r="B3792" s="1" t="n">
        <v>44355</v>
      </c>
      <c r="C3792" s="1" t="n">
        <v>45212</v>
      </c>
      <c r="D3792" t="inlineStr">
        <is>
          <t>VÄSTERNORRLANDS LÄN</t>
        </is>
      </c>
      <c r="E3792" t="inlineStr">
        <is>
          <t>SUNDSVALL</t>
        </is>
      </c>
      <c r="G3792" t="n">
        <v>0.1</v>
      </c>
      <c r="H3792" t="n">
        <v>0</v>
      </c>
      <c r="I3792" t="n">
        <v>0</v>
      </c>
      <c r="J3792" t="n">
        <v>0</v>
      </c>
      <c r="K3792" t="n">
        <v>0</v>
      </c>
      <c r="L3792" t="n">
        <v>0</v>
      </c>
      <c r="M3792" t="n">
        <v>0</v>
      </c>
      <c r="N3792" t="n">
        <v>0</v>
      </c>
      <c r="O3792" t="n">
        <v>0</v>
      </c>
      <c r="P3792" t="n">
        <v>0</v>
      </c>
      <c r="Q3792" t="n">
        <v>0</v>
      </c>
      <c r="R3792" s="2" t="inlineStr"/>
    </row>
    <row r="3793" ht="15" customHeight="1">
      <c r="A3793" t="inlineStr">
        <is>
          <t>A 28172-2021</t>
        </is>
      </c>
      <c r="B3793" s="1" t="n">
        <v>44355</v>
      </c>
      <c r="C3793" s="1" t="n">
        <v>45212</v>
      </c>
      <c r="D3793" t="inlineStr">
        <is>
          <t>VÄSTERNORRLANDS LÄN</t>
        </is>
      </c>
      <c r="E3793" t="inlineStr">
        <is>
          <t>KRAMFORS</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28223-2021</t>
        </is>
      </c>
      <c r="B3794" s="1" t="n">
        <v>44355</v>
      </c>
      <c r="C3794" s="1" t="n">
        <v>45212</v>
      </c>
      <c r="D3794" t="inlineStr">
        <is>
          <t>VÄSTERNORRLANDS LÄN</t>
        </is>
      </c>
      <c r="E3794" t="inlineStr">
        <is>
          <t>ÖRNSKÖLDSVIK</t>
        </is>
      </c>
      <c r="G3794" t="n">
        <v>7</v>
      </c>
      <c r="H3794" t="n">
        <v>0</v>
      </c>
      <c r="I3794" t="n">
        <v>0</v>
      </c>
      <c r="J3794" t="n">
        <v>0</v>
      </c>
      <c r="K3794" t="n">
        <v>0</v>
      </c>
      <c r="L3794" t="n">
        <v>0</v>
      </c>
      <c r="M3794" t="n">
        <v>0</v>
      </c>
      <c r="N3794" t="n">
        <v>0</v>
      </c>
      <c r="O3794" t="n">
        <v>0</v>
      </c>
      <c r="P3794" t="n">
        <v>0</v>
      </c>
      <c r="Q3794" t="n">
        <v>0</v>
      </c>
      <c r="R3794" s="2" t="inlineStr"/>
    </row>
    <row r="3795" ht="15" customHeight="1">
      <c r="A3795" t="inlineStr">
        <is>
          <t>A 28238-2021</t>
        </is>
      </c>
      <c r="B3795" s="1" t="n">
        <v>44355</v>
      </c>
      <c r="C3795" s="1" t="n">
        <v>45212</v>
      </c>
      <c r="D3795" t="inlineStr">
        <is>
          <t>VÄSTERNORRLANDS LÄN</t>
        </is>
      </c>
      <c r="E3795" t="inlineStr">
        <is>
          <t>SUNDSVALL</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28288-2021</t>
        </is>
      </c>
      <c r="B3796" s="1" t="n">
        <v>44355</v>
      </c>
      <c r="C3796" s="1" t="n">
        <v>45212</v>
      </c>
      <c r="D3796" t="inlineStr">
        <is>
          <t>VÄSTERNORRLANDS LÄN</t>
        </is>
      </c>
      <c r="E3796" t="inlineStr">
        <is>
          <t>SOLLEFTEÅ</t>
        </is>
      </c>
      <c r="F3796" t="inlineStr">
        <is>
          <t>SCA</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28456-2021</t>
        </is>
      </c>
      <c r="B3797" s="1" t="n">
        <v>44356</v>
      </c>
      <c r="C3797" s="1" t="n">
        <v>45212</v>
      </c>
      <c r="D3797" t="inlineStr">
        <is>
          <t>VÄSTERNORRLANDS LÄN</t>
        </is>
      </c>
      <c r="E3797" t="inlineStr">
        <is>
          <t>ÖRNSKÖLDSVIK</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28594-2021</t>
        </is>
      </c>
      <c r="B3798" s="1" t="n">
        <v>44356</v>
      </c>
      <c r="C3798" s="1" t="n">
        <v>45212</v>
      </c>
      <c r="D3798" t="inlineStr">
        <is>
          <t>VÄSTERNORRLANDS LÄN</t>
        </is>
      </c>
      <c r="E3798" t="inlineStr">
        <is>
          <t>SUNDSVALL</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28723-2021</t>
        </is>
      </c>
      <c r="B3799" s="1" t="n">
        <v>44356</v>
      </c>
      <c r="C3799" s="1" t="n">
        <v>45212</v>
      </c>
      <c r="D3799" t="inlineStr">
        <is>
          <t>VÄSTERNORRLANDS LÄN</t>
        </is>
      </c>
      <c r="E3799" t="inlineStr">
        <is>
          <t>ÖRNSKÖLDSVIK</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28491-2021</t>
        </is>
      </c>
      <c r="B3800" s="1" t="n">
        <v>44356</v>
      </c>
      <c r="C3800" s="1" t="n">
        <v>45212</v>
      </c>
      <c r="D3800" t="inlineStr">
        <is>
          <t>VÄSTERNORRLANDS LÄN</t>
        </is>
      </c>
      <c r="E3800" t="inlineStr">
        <is>
          <t>KRAMFORS</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28651-2021</t>
        </is>
      </c>
      <c r="B3801" s="1" t="n">
        <v>44356</v>
      </c>
      <c r="C3801" s="1" t="n">
        <v>45212</v>
      </c>
      <c r="D3801" t="inlineStr">
        <is>
          <t>VÄSTERNORRLANDS LÄN</t>
        </is>
      </c>
      <c r="E3801" t="inlineStr">
        <is>
          <t>KRAMFORS</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28336-2021</t>
        </is>
      </c>
      <c r="B3802" s="1" t="n">
        <v>44356</v>
      </c>
      <c r="C3802" s="1" t="n">
        <v>45212</v>
      </c>
      <c r="D3802" t="inlineStr">
        <is>
          <t>VÄSTERNORRLANDS LÄN</t>
        </is>
      </c>
      <c r="E3802" t="inlineStr">
        <is>
          <t>ÖRNSKÖLDSVIK</t>
        </is>
      </c>
      <c r="F3802" t="inlineStr">
        <is>
          <t>Holmen skog AB</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28519-2021</t>
        </is>
      </c>
      <c r="B3803" s="1" t="n">
        <v>44356</v>
      </c>
      <c r="C3803" s="1" t="n">
        <v>45212</v>
      </c>
      <c r="D3803" t="inlineStr">
        <is>
          <t>VÄSTERNORRLANDS LÄN</t>
        </is>
      </c>
      <c r="E3803" t="inlineStr">
        <is>
          <t>KRAMFORS</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28595-2021</t>
        </is>
      </c>
      <c r="B3804" s="1" t="n">
        <v>44356</v>
      </c>
      <c r="C3804" s="1" t="n">
        <v>45212</v>
      </c>
      <c r="D3804" t="inlineStr">
        <is>
          <t>VÄSTERNORRLANDS LÄN</t>
        </is>
      </c>
      <c r="E3804" t="inlineStr">
        <is>
          <t>SUNDSVALL</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28341-2021</t>
        </is>
      </c>
      <c r="B3805" s="1" t="n">
        <v>44356</v>
      </c>
      <c r="C3805" s="1" t="n">
        <v>45212</v>
      </c>
      <c r="D3805" t="inlineStr">
        <is>
          <t>VÄSTERNORRLANDS LÄN</t>
        </is>
      </c>
      <c r="E3805" t="inlineStr">
        <is>
          <t>SUNDSVALL</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28702-2021</t>
        </is>
      </c>
      <c r="B3806" s="1" t="n">
        <v>44357</v>
      </c>
      <c r="C3806" s="1" t="n">
        <v>45212</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28701-2021</t>
        </is>
      </c>
      <c r="B3807" s="1" t="n">
        <v>44357</v>
      </c>
      <c r="C3807" s="1" t="n">
        <v>45212</v>
      </c>
      <c r="D3807" t="inlineStr">
        <is>
          <t>VÄSTERNORRLANDS LÄN</t>
        </is>
      </c>
      <c r="E3807" t="inlineStr">
        <is>
          <t>KRAMFORS</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28829-2021</t>
        </is>
      </c>
      <c r="B3808" s="1" t="n">
        <v>44357</v>
      </c>
      <c r="C3808" s="1" t="n">
        <v>45212</v>
      </c>
      <c r="D3808" t="inlineStr">
        <is>
          <t>VÄSTERNORRLANDS LÄN</t>
        </is>
      </c>
      <c r="E3808" t="inlineStr">
        <is>
          <t>SUNDSVALL</t>
        </is>
      </c>
      <c r="F3808" t="inlineStr">
        <is>
          <t>Holmen skog AB</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28695-2021</t>
        </is>
      </c>
      <c r="B3809" s="1" t="n">
        <v>44357</v>
      </c>
      <c r="C3809" s="1" t="n">
        <v>45212</v>
      </c>
      <c r="D3809" t="inlineStr">
        <is>
          <t>VÄSTERNORRLANDS LÄN</t>
        </is>
      </c>
      <c r="E3809" t="inlineStr">
        <is>
          <t>TIMRÅ</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28737-2021</t>
        </is>
      </c>
      <c r="B3810" s="1" t="n">
        <v>44357</v>
      </c>
      <c r="C3810" s="1" t="n">
        <v>45212</v>
      </c>
      <c r="D3810" t="inlineStr">
        <is>
          <t>VÄSTERNORRLANDS LÄN</t>
        </is>
      </c>
      <c r="E3810" t="inlineStr">
        <is>
          <t>ÖRNSKÖLDSVIK</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28684-2021</t>
        </is>
      </c>
      <c r="B3811" s="1" t="n">
        <v>44357</v>
      </c>
      <c r="C3811" s="1" t="n">
        <v>45212</v>
      </c>
      <c r="D3811" t="inlineStr">
        <is>
          <t>VÄSTERNORRLANDS LÄN</t>
        </is>
      </c>
      <c r="E3811" t="inlineStr">
        <is>
          <t>SUNDSVALL</t>
        </is>
      </c>
      <c r="G3811" t="n">
        <v>12.2</v>
      </c>
      <c r="H3811" t="n">
        <v>0</v>
      </c>
      <c r="I3811" t="n">
        <v>0</v>
      </c>
      <c r="J3811" t="n">
        <v>0</v>
      </c>
      <c r="K3811" t="n">
        <v>0</v>
      </c>
      <c r="L3811" t="n">
        <v>0</v>
      </c>
      <c r="M3811" t="n">
        <v>0</v>
      </c>
      <c r="N3811" t="n">
        <v>0</v>
      </c>
      <c r="O3811" t="n">
        <v>0</v>
      </c>
      <c r="P3811" t="n">
        <v>0</v>
      </c>
      <c r="Q3811" t="n">
        <v>0</v>
      </c>
      <c r="R3811" s="2" t="inlineStr"/>
    </row>
    <row r="3812" ht="15" customHeight="1">
      <c r="A3812" t="inlineStr">
        <is>
          <t>A 28706-2021</t>
        </is>
      </c>
      <c r="B3812" s="1" t="n">
        <v>44357</v>
      </c>
      <c r="C3812" s="1" t="n">
        <v>45212</v>
      </c>
      <c r="D3812" t="inlineStr">
        <is>
          <t>VÄSTERNORRLANDS LÄN</t>
        </is>
      </c>
      <c r="E3812" t="inlineStr">
        <is>
          <t>TIMRÅ</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28911-2021</t>
        </is>
      </c>
      <c r="B3813" s="1" t="n">
        <v>44357</v>
      </c>
      <c r="C3813" s="1" t="n">
        <v>45212</v>
      </c>
      <c r="D3813" t="inlineStr">
        <is>
          <t>VÄSTERNORRLANDS LÄN</t>
        </is>
      </c>
      <c r="E3813" t="inlineStr">
        <is>
          <t>HÄRNÖSAND</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29248-2021</t>
        </is>
      </c>
      <c r="B3814" s="1" t="n">
        <v>44358</v>
      </c>
      <c r="C3814" s="1" t="n">
        <v>45212</v>
      </c>
      <c r="D3814" t="inlineStr">
        <is>
          <t>VÄSTERNORRLANDS LÄN</t>
        </is>
      </c>
      <c r="E3814" t="inlineStr">
        <is>
          <t>ÖRNSKÖLDSVIK</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28939-2021</t>
        </is>
      </c>
      <c r="B3815" s="1" t="n">
        <v>44358</v>
      </c>
      <c r="C3815" s="1" t="n">
        <v>45212</v>
      </c>
      <c r="D3815" t="inlineStr">
        <is>
          <t>VÄSTERNORRLANDS LÄN</t>
        </is>
      </c>
      <c r="E3815" t="inlineStr">
        <is>
          <t>SOLLEFTEÅ</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29012-2021</t>
        </is>
      </c>
      <c r="B3816" s="1" t="n">
        <v>44358</v>
      </c>
      <c r="C3816" s="1" t="n">
        <v>45212</v>
      </c>
      <c r="D3816" t="inlineStr">
        <is>
          <t>VÄSTERNORRLANDS LÄN</t>
        </is>
      </c>
      <c r="E3816" t="inlineStr">
        <is>
          <t>ÖRNSKÖLDSVIK</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29153-2021</t>
        </is>
      </c>
      <c r="B3817" s="1" t="n">
        <v>44358</v>
      </c>
      <c r="C3817" s="1" t="n">
        <v>45212</v>
      </c>
      <c r="D3817" t="inlineStr">
        <is>
          <t>VÄSTERNORRLANDS LÄN</t>
        </is>
      </c>
      <c r="E3817" t="inlineStr">
        <is>
          <t>ÖRNSKÖLDSVIK</t>
        </is>
      </c>
      <c r="F3817" t="inlineStr">
        <is>
          <t>Holmen skog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29180-2021</t>
        </is>
      </c>
      <c r="B3818" s="1" t="n">
        <v>44358</v>
      </c>
      <c r="C3818" s="1" t="n">
        <v>45212</v>
      </c>
      <c r="D3818" t="inlineStr">
        <is>
          <t>VÄSTERNORRLANDS LÄN</t>
        </is>
      </c>
      <c r="E3818" t="inlineStr">
        <is>
          <t>ÅNGE</t>
        </is>
      </c>
      <c r="G3818" t="n">
        <v>5.3</v>
      </c>
      <c r="H3818" t="n">
        <v>0</v>
      </c>
      <c r="I3818" t="n">
        <v>0</v>
      </c>
      <c r="J3818" t="n">
        <v>0</v>
      </c>
      <c r="K3818" t="n">
        <v>0</v>
      </c>
      <c r="L3818" t="n">
        <v>0</v>
      </c>
      <c r="M3818" t="n">
        <v>0</v>
      </c>
      <c r="N3818" t="n">
        <v>0</v>
      </c>
      <c r="O3818" t="n">
        <v>0</v>
      </c>
      <c r="P3818" t="n">
        <v>0</v>
      </c>
      <c r="Q3818" t="n">
        <v>0</v>
      </c>
      <c r="R3818" s="2" t="inlineStr"/>
    </row>
    <row r="3819" ht="15" customHeight="1">
      <c r="A3819" t="inlineStr">
        <is>
          <t>A 29187-2021</t>
        </is>
      </c>
      <c r="B3819" s="1" t="n">
        <v>44358</v>
      </c>
      <c r="C3819" s="1" t="n">
        <v>45212</v>
      </c>
      <c r="D3819" t="inlineStr">
        <is>
          <t>VÄSTERNORRLANDS LÄN</t>
        </is>
      </c>
      <c r="E3819" t="inlineStr">
        <is>
          <t>ÅNGE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29292-2021</t>
        </is>
      </c>
      <c r="B3820" s="1" t="n">
        <v>44358</v>
      </c>
      <c r="C3820" s="1" t="n">
        <v>45212</v>
      </c>
      <c r="D3820" t="inlineStr">
        <is>
          <t>VÄSTERNORRLANDS LÄN</t>
        </is>
      </c>
      <c r="E3820" t="inlineStr">
        <is>
          <t>SUNDSVALL</t>
        </is>
      </c>
      <c r="G3820" t="n">
        <v>0.2</v>
      </c>
      <c r="H3820" t="n">
        <v>0</v>
      </c>
      <c r="I3820" t="n">
        <v>0</v>
      </c>
      <c r="J3820" t="n">
        <v>0</v>
      </c>
      <c r="K3820" t="n">
        <v>0</v>
      </c>
      <c r="L3820" t="n">
        <v>0</v>
      </c>
      <c r="M3820" t="n">
        <v>0</v>
      </c>
      <c r="N3820" t="n">
        <v>0</v>
      </c>
      <c r="O3820" t="n">
        <v>0</v>
      </c>
      <c r="P3820" t="n">
        <v>0</v>
      </c>
      <c r="Q3820" t="n">
        <v>0</v>
      </c>
      <c r="R3820" s="2" t="inlineStr"/>
    </row>
    <row r="3821" ht="15" customHeight="1">
      <c r="A3821" t="inlineStr">
        <is>
          <t>A 29048-2021</t>
        </is>
      </c>
      <c r="B3821" s="1" t="n">
        <v>44358</v>
      </c>
      <c r="C3821" s="1" t="n">
        <v>45212</v>
      </c>
      <c r="D3821" t="inlineStr">
        <is>
          <t>VÄSTERNORRLANDS LÄN</t>
        </is>
      </c>
      <c r="E3821" t="inlineStr">
        <is>
          <t>ÅNGE</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29191-2021</t>
        </is>
      </c>
      <c r="B3822" s="1" t="n">
        <v>44358</v>
      </c>
      <c r="C3822" s="1" t="n">
        <v>45212</v>
      </c>
      <c r="D3822" t="inlineStr">
        <is>
          <t>VÄSTERNORRLANDS LÄN</t>
        </is>
      </c>
      <c r="E3822" t="inlineStr">
        <is>
          <t>ÅNGE</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29262-2021</t>
        </is>
      </c>
      <c r="B3823" s="1" t="n">
        <v>44359</v>
      </c>
      <c r="C3823" s="1" t="n">
        <v>45212</v>
      </c>
      <c r="D3823" t="inlineStr">
        <is>
          <t>VÄSTERNORRLANDS LÄN</t>
        </is>
      </c>
      <c r="E3823" t="inlineStr">
        <is>
          <t>KRAMFORS</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29509-2021</t>
        </is>
      </c>
      <c r="B3824" s="1" t="n">
        <v>44361</v>
      </c>
      <c r="C3824" s="1" t="n">
        <v>45212</v>
      </c>
      <c r="D3824" t="inlineStr">
        <is>
          <t>VÄSTERNORRLANDS LÄN</t>
        </is>
      </c>
      <c r="E3824" t="inlineStr">
        <is>
          <t>ÅNGE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29420-2021</t>
        </is>
      </c>
      <c r="B3825" s="1" t="n">
        <v>44361</v>
      </c>
      <c r="C3825" s="1" t="n">
        <v>45212</v>
      </c>
      <c r="D3825" t="inlineStr">
        <is>
          <t>VÄSTERNORRLANDS LÄN</t>
        </is>
      </c>
      <c r="E3825" t="inlineStr">
        <is>
          <t>ÖRNSKÖLDSVIK</t>
        </is>
      </c>
      <c r="G3825" t="n">
        <v>12.2</v>
      </c>
      <c r="H3825" t="n">
        <v>0</v>
      </c>
      <c r="I3825" t="n">
        <v>0</v>
      </c>
      <c r="J3825" t="n">
        <v>0</v>
      </c>
      <c r="K3825" t="n">
        <v>0</v>
      </c>
      <c r="L3825" t="n">
        <v>0</v>
      </c>
      <c r="M3825" t="n">
        <v>0</v>
      </c>
      <c r="N3825" t="n">
        <v>0</v>
      </c>
      <c r="O3825" t="n">
        <v>0</v>
      </c>
      <c r="P3825" t="n">
        <v>0</v>
      </c>
      <c r="Q3825" t="n">
        <v>0</v>
      </c>
      <c r="R3825" s="2" t="inlineStr"/>
    </row>
    <row r="3826" ht="15" customHeight="1">
      <c r="A3826" t="inlineStr">
        <is>
          <t>A 29468-2021</t>
        </is>
      </c>
      <c r="B3826" s="1" t="n">
        <v>44361</v>
      </c>
      <c r="C3826" s="1" t="n">
        <v>45212</v>
      </c>
      <c r="D3826" t="inlineStr">
        <is>
          <t>VÄSTERNORRLANDS LÄN</t>
        </is>
      </c>
      <c r="E3826" t="inlineStr">
        <is>
          <t>SUNDSVALL</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29390-2021</t>
        </is>
      </c>
      <c r="B3827" s="1" t="n">
        <v>44361</v>
      </c>
      <c r="C3827" s="1" t="n">
        <v>45212</v>
      </c>
      <c r="D3827" t="inlineStr">
        <is>
          <t>VÄSTERNORRLANDS LÄN</t>
        </is>
      </c>
      <c r="E3827" t="inlineStr">
        <is>
          <t>ÅNGE</t>
        </is>
      </c>
      <c r="F3827" t="inlineStr">
        <is>
          <t>Holmen skog AB</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29403-2021</t>
        </is>
      </c>
      <c r="B3828" s="1" t="n">
        <v>44361</v>
      </c>
      <c r="C3828" s="1" t="n">
        <v>45212</v>
      </c>
      <c r="D3828" t="inlineStr">
        <is>
          <t>VÄSTERNORRLANDS LÄN</t>
        </is>
      </c>
      <c r="E3828" t="inlineStr">
        <is>
          <t>SUNDSVALL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29425-2021</t>
        </is>
      </c>
      <c r="B3829" s="1" t="n">
        <v>44361</v>
      </c>
      <c r="C3829" s="1" t="n">
        <v>45212</v>
      </c>
      <c r="D3829" t="inlineStr">
        <is>
          <t>VÄSTERNORRLANDS LÄN</t>
        </is>
      </c>
      <c r="E3829" t="inlineStr">
        <is>
          <t>ÖRNSKÖLDSVIK</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29519-2021</t>
        </is>
      </c>
      <c r="B3830" s="1" t="n">
        <v>44361</v>
      </c>
      <c r="C3830" s="1" t="n">
        <v>45212</v>
      </c>
      <c r="D3830" t="inlineStr">
        <is>
          <t>VÄSTERNORRLANDS LÄN</t>
        </is>
      </c>
      <c r="E3830" t="inlineStr">
        <is>
          <t>ÖRNSKÖLDSVIK</t>
        </is>
      </c>
      <c r="F3830" t="inlineStr">
        <is>
          <t>Holmen skog AB</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29576-2021</t>
        </is>
      </c>
      <c r="B3831" s="1" t="n">
        <v>44361</v>
      </c>
      <c r="C3831" s="1" t="n">
        <v>45212</v>
      </c>
      <c r="D3831" t="inlineStr">
        <is>
          <t>VÄSTERNORRLANDS LÄN</t>
        </is>
      </c>
      <c r="E3831" t="inlineStr">
        <is>
          <t>SUNDSVALL</t>
        </is>
      </c>
      <c r="G3831" t="n">
        <v>2</v>
      </c>
      <c r="H3831" t="n">
        <v>0</v>
      </c>
      <c r="I3831" t="n">
        <v>0</v>
      </c>
      <c r="J3831" t="n">
        <v>0</v>
      </c>
      <c r="K3831" t="n">
        <v>0</v>
      </c>
      <c r="L3831" t="n">
        <v>0</v>
      </c>
      <c r="M3831" t="n">
        <v>0</v>
      </c>
      <c r="N3831" t="n">
        <v>0</v>
      </c>
      <c r="O3831" t="n">
        <v>0</v>
      </c>
      <c r="P3831" t="n">
        <v>0</v>
      </c>
      <c r="Q3831" t="n">
        <v>0</v>
      </c>
      <c r="R3831" s="2" t="inlineStr"/>
    </row>
    <row r="3832" ht="15" customHeight="1">
      <c r="A3832" t="inlineStr">
        <is>
          <t>A 29584-2021</t>
        </is>
      </c>
      <c r="B3832" s="1" t="n">
        <v>44361</v>
      </c>
      <c r="C3832" s="1" t="n">
        <v>45212</v>
      </c>
      <c r="D3832" t="inlineStr">
        <is>
          <t>VÄSTERNORRLANDS LÄN</t>
        </is>
      </c>
      <c r="E3832" t="inlineStr">
        <is>
          <t>SUNDSVALL</t>
        </is>
      </c>
      <c r="G3832" t="n">
        <v>14.6</v>
      </c>
      <c r="H3832" t="n">
        <v>0</v>
      </c>
      <c r="I3832" t="n">
        <v>0</v>
      </c>
      <c r="J3832" t="n">
        <v>0</v>
      </c>
      <c r="K3832" t="n">
        <v>0</v>
      </c>
      <c r="L3832" t="n">
        <v>0</v>
      </c>
      <c r="M3832" t="n">
        <v>0</v>
      </c>
      <c r="N3832" t="n">
        <v>0</v>
      </c>
      <c r="O3832" t="n">
        <v>0</v>
      </c>
      <c r="P3832" t="n">
        <v>0</v>
      </c>
      <c r="Q3832" t="n">
        <v>0</v>
      </c>
      <c r="R3832" s="2" t="inlineStr"/>
    </row>
    <row r="3833" ht="15" customHeight="1">
      <c r="A3833" t="inlineStr">
        <is>
          <t>A 29643-2021</t>
        </is>
      </c>
      <c r="B3833" s="1" t="n">
        <v>44361</v>
      </c>
      <c r="C3833" s="1" t="n">
        <v>45212</v>
      </c>
      <c r="D3833" t="inlineStr">
        <is>
          <t>VÄSTERNORRLANDS LÄN</t>
        </is>
      </c>
      <c r="E3833" t="inlineStr">
        <is>
          <t>SUNDSVALL</t>
        </is>
      </c>
      <c r="F3833" t="inlineStr">
        <is>
          <t>SCA</t>
        </is>
      </c>
      <c r="G3833" t="n">
        <v>15.2</v>
      </c>
      <c r="H3833" t="n">
        <v>0</v>
      </c>
      <c r="I3833" t="n">
        <v>0</v>
      </c>
      <c r="J3833" t="n">
        <v>0</v>
      </c>
      <c r="K3833" t="n">
        <v>0</v>
      </c>
      <c r="L3833" t="n">
        <v>0</v>
      </c>
      <c r="M3833" t="n">
        <v>0</v>
      </c>
      <c r="N3833" t="n">
        <v>0</v>
      </c>
      <c r="O3833" t="n">
        <v>0</v>
      </c>
      <c r="P3833" t="n">
        <v>0</v>
      </c>
      <c r="Q3833" t="n">
        <v>0</v>
      </c>
      <c r="R3833" s="2" t="inlineStr"/>
    </row>
    <row r="3834" ht="15" customHeight="1">
      <c r="A3834" t="inlineStr">
        <is>
          <t>A 29341-2021</t>
        </is>
      </c>
      <c r="B3834" s="1" t="n">
        <v>44361</v>
      </c>
      <c r="C3834" s="1" t="n">
        <v>45212</v>
      </c>
      <c r="D3834" t="inlineStr">
        <is>
          <t>VÄSTERNORRLANDS LÄN</t>
        </is>
      </c>
      <c r="E3834" t="inlineStr">
        <is>
          <t>ÖRNSKÖLDSVIK</t>
        </is>
      </c>
      <c r="G3834" t="n">
        <v>3.2</v>
      </c>
      <c r="H3834" t="n">
        <v>0</v>
      </c>
      <c r="I3834" t="n">
        <v>0</v>
      </c>
      <c r="J3834" t="n">
        <v>0</v>
      </c>
      <c r="K3834" t="n">
        <v>0</v>
      </c>
      <c r="L3834" t="n">
        <v>0</v>
      </c>
      <c r="M3834" t="n">
        <v>0</v>
      </c>
      <c r="N3834" t="n">
        <v>0</v>
      </c>
      <c r="O3834" t="n">
        <v>0</v>
      </c>
      <c r="P3834" t="n">
        <v>0</v>
      </c>
      <c r="Q3834" t="n">
        <v>0</v>
      </c>
      <c r="R3834" s="2" t="inlineStr"/>
    </row>
    <row r="3835" ht="15" customHeight="1">
      <c r="A3835" t="inlineStr">
        <is>
          <t>A 29535-2021</t>
        </is>
      </c>
      <c r="B3835" s="1" t="n">
        <v>44361</v>
      </c>
      <c r="C3835" s="1" t="n">
        <v>45212</v>
      </c>
      <c r="D3835" t="inlineStr">
        <is>
          <t>VÄSTERNORRLANDS LÄN</t>
        </is>
      </c>
      <c r="E3835" t="inlineStr">
        <is>
          <t>SUNDSVALL</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29577-2021</t>
        </is>
      </c>
      <c r="B3836" s="1" t="n">
        <v>44361</v>
      </c>
      <c r="C3836" s="1" t="n">
        <v>45212</v>
      </c>
      <c r="D3836" t="inlineStr">
        <is>
          <t>VÄSTERNORRLANDS LÄN</t>
        </is>
      </c>
      <c r="E3836" t="inlineStr">
        <is>
          <t>SUNDSVALL</t>
        </is>
      </c>
      <c r="G3836" t="n">
        <v>2.3</v>
      </c>
      <c r="H3836" t="n">
        <v>0</v>
      </c>
      <c r="I3836" t="n">
        <v>0</v>
      </c>
      <c r="J3836" t="n">
        <v>0</v>
      </c>
      <c r="K3836" t="n">
        <v>0</v>
      </c>
      <c r="L3836" t="n">
        <v>0</v>
      </c>
      <c r="M3836" t="n">
        <v>0</v>
      </c>
      <c r="N3836" t="n">
        <v>0</v>
      </c>
      <c r="O3836" t="n">
        <v>0</v>
      </c>
      <c r="P3836" t="n">
        <v>0</v>
      </c>
      <c r="Q3836" t="n">
        <v>0</v>
      </c>
      <c r="R3836" s="2" t="inlineStr"/>
    </row>
    <row r="3837" ht="15" customHeight="1">
      <c r="A3837" t="inlineStr">
        <is>
          <t>A 29623-2021</t>
        </is>
      </c>
      <c r="B3837" s="1" t="n">
        <v>44361</v>
      </c>
      <c r="C3837" s="1" t="n">
        <v>45212</v>
      </c>
      <c r="D3837" t="inlineStr">
        <is>
          <t>VÄSTERNORRLANDS LÄN</t>
        </is>
      </c>
      <c r="E3837" t="inlineStr">
        <is>
          <t>SOLLEFTEÅ</t>
        </is>
      </c>
      <c r="F3837" t="inlineStr">
        <is>
          <t>SCA</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29682-2021</t>
        </is>
      </c>
      <c r="B3838" s="1" t="n">
        <v>44362</v>
      </c>
      <c r="C3838" s="1" t="n">
        <v>45212</v>
      </c>
      <c r="D3838" t="inlineStr">
        <is>
          <t>VÄSTERNORRLANDS LÄN</t>
        </is>
      </c>
      <c r="E3838" t="inlineStr">
        <is>
          <t>ÖRNSKÖLDSVIK</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29853-2021</t>
        </is>
      </c>
      <c r="B3839" s="1" t="n">
        <v>44362</v>
      </c>
      <c r="C3839" s="1" t="n">
        <v>45212</v>
      </c>
      <c r="D3839" t="inlineStr">
        <is>
          <t>VÄSTERNORRLANDS LÄN</t>
        </is>
      </c>
      <c r="E3839" t="inlineStr">
        <is>
          <t>ÖRNSKÖLDSVIK</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29934-2021</t>
        </is>
      </c>
      <c r="B3840" s="1" t="n">
        <v>44362</v>
      </c>
      <c r="C3840" s="1" t="n">
        <v>45212</v>
      </c>
      <c r="D3840" t="inlineStr">
        <is>
          <t>VÄSTERNORRLANDS LÄN</t>
        </is>
      </c>
      <c r="E3840" t="inlineStr">
        <is>
          <t>KRAMFORS</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29829-2021</t>
        </is>
      </c>
      <c r="B3841" s="1" t="n">
        <v>44362</v>
      </c>
      <c r="C3841" s="1" t="n">
        <v>45212</v>
      </c>
      <c r="D3841" t="inlineStr">
        <is>
          <t>VÄSTERNORRLANDS LÄN</t>
        </is>
      </c>
      <c r="E3841" t="inlineStr">
        <is>
          <t>SOLLEFTEÅ</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29935-2021</t>
        </is>
      </c>
      <c r="B3842" s="1" t="n">
        <v>44362</v>
      </c>
      <c r="C3842" s="1" t="n">
        <v>45212</v>
      </c>
      <c r="D3842" t="inlineStr">
        <is>
          <t>VÄSTERNORRLANDS LÄN</t>
        </is>
      </c>
      <c r="E3842" t="inlineStr">
        <is>
          <t>ÖRNSKÖLDSVIK</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29933-2021</t>
        </is>
      </c>
      <c r="B3843" s="1" t="n">
        <v>44362</v>
      </c>
      <c r="C3843" s="1" t="n">
        <v>45212</v>
      </c>
      <c r="D3843" t="inlineStr">
        <is>
          <t>VÄSTERNORRLANDS LÄN</t>
        </is>
      </c>
      <c r="E3843" t="inlineStr">
        <is>
          <t>KRAMFORS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29727-2021</t>
        </is>
      </c>
      <c r="B3844" s="1" t="n">
        <v>44362</v>
      </c>
      <c r="C3844" s="1" t="n">
        <v>45212</v>
      </c>
      <c r="D3844" t="inlineStr">
        <is>
          <t>VÄSTERNORRLANDS LÄN</t>
        </is>
      </c>
      <c r="E3844" t="inlineStr">
        <is>
          <t>ÖRNSKÖLDSVIK</t>
        </is>
      </c>
      <c r="F3844" t="inlineStr">
        <is>
          <t>Holmen skog AB</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29760-2021</t>
        </is>
      </c>
      <c r="B3845" s="1" t="n">
        <v>44362</v>
      </c>
      <c r="C3845" s="1" t="n">
        <v>45212</v>
      </c>
      <c r="D3845" t="inlineStr">
        <is>
          <t>VÄSTERNORRLANDS LÄN</t>
        </is>
      </c>
      <c r="E3845" t="inlineStr">
        <is>
          <t>ÖRNSKÖLDSVIK</t>
        </is>
      </c>
      <c r="F3845" t="inlineStr">
        <is>
          <t>Holmen skog AB</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29831-2021</t>
        </is>
      </c>
      <c r="B3846" s="1" t="n">
        <v>44362</v>
      </c>
      <c r="C3846" s="1" t="n">
        <v>45212</v>
      </c>
      <c r="D3846" t="inlineStr">
        <is>
          <t>VÄSTERNORRLANDS LÄN</t>
        </is>
      </c>
      <c r="E3846" t="inlineStr">
        <is>
          <t>ÖRNSKÖLDSVIK</t>
        </is>
      </c>
      <c r="F3846" t="inlineStr">
        <is>
          <t>Holmen skog AB</t>
        </is>
      </c>
      <c r="G3846" t="n">
        <v>4.3</v>
      </c>
      <c r="H3846" t="n">
        <v>0</v>
      </c>
      <c r="I3846" t="n">
        <v>0</v>
      </c>
      <c r="J3846" t="n">
        <v>0</v>
      </c>
      <c r="K3846" t="n">
        <v>0</v>
      </c>
      <c r="L3846" t="n">
        <v>0</v>
      </c>
      <c r="M3846" t="n">
        <v>0</v>
      </c>
      <c r="N3846" t="n">
        <v>0</v>
      </c>
      <c r="O3846" t="n">
        <v>0</v>
      </c>
      <c r="P3846" t="n">
        <v>0</v>
      </c>
      <c r="Q3846" t="n">
        <v>0</v>
      </c>
      <c r="R3846" s="2" t="inlineStr"/>
    </row>
    <row r="3847" ht="15" customHeight="1">
      <c r="A3847" t="inlineStr">
        <is>
          <t>A 29844-2021</t>
        </is>
      </c>
      <c r="B3847" s="1" t="n">
        <v>44362</v>
      </c>
      <c r="C3847" s="1" t="n">
        <v>45212</v>
      </c>
      <c r="D3847" t="inlineStr">
        <is>
          <t>VÄSTERNORRLANDS LÄN</t>
        </is>
      </c>
      <c r="E3847" t="inlineStr">
        <is>
          <t>ÖRNSKÖLDSVIK</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29941-2021</t>
        </is>
      </c>
      <c r="B3848" s="1" t="n">
        <v>44362</v>
      </c>
      <c r="C3848" s="1" t="n">
        <v>45212</v>
      </c>
      <c r="D3848" t="inlineStr">
        <is>
          <t>VÄSTERNORRLANDS LÄN</t>
        </is>
      </c>
      <c r="E3848" t="inlineStr">
        <is>
          <t>ÖRNSKÖLDSVIK</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29959-2021</t>
        </is>
      </c>
      <c r="B3849" s="1" t="n">
        <v>44362</v>
      </c>
      <c r="C3849" s="1" t="n">
        <v>45212</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30098-2021</t>
        </is>
      </c>
      <c r="B3850" s="1" t="n">
        <v>44363</v>
      </c>
      <c r="C3850" s="1" t="n">
        <v>45212</v>
      </c>
      <c r="D3850" t="inlineStr">
        <is>
          <t>VÄSTERNORRLANDS LÄN</t>
        </is>
      </c>
      <c r="E3850" t="inlineStr">
        <is>
          <t>TIMRÅ</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30152-2021</t>
        </is>
      </c>
      <c r="B3851" s="1" t="n">
        <v>44363</v>
      </c>
      <c r="C3851" s="1" t="n">
        <v>45212</v>
      </c>
      <c r="D3851" t="inlineStr">
        <is>
          <t>VÄSTERNORRLANDS LÄN</t>
        </is>
      </c>
      <c r="E3851" t="inlineStr">
        <is>
          <t>ÖRNSKÖLDSVIK</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30286-2021</t>
        </is>
      </c>
      <c r="B3852" s="1" t="n">
        <v>44363</v>
      </c>
      <c r="C3852" s="1" t="n">
        <v>45212</v>
      </c>
      <c r="D3852" t="inlineStr">
        <is>
          <t>VÄSTERNORRLANDS LÄN</t>
        </is>
      </c>
      <c r="E3852" t="inlineStr">
        <is>
          <t>ÅNGE</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30091-2021</t>
        </is>
      </c>
      <c r="B3853" s="1" t="n">
        <v>44363</v>
      </c>
      <c r="C3853" s="1" t="n">
        <v>45212</v>
      </c>
      <c r="D3853" t="inlineStr">
        <is>
          <t>VÄSTERNORRLANDS LÄN</t>
        </is>
      </c>
      <c r="E3853" t="inlineStr">
        <is>
          <t>TIMRÅ</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30118-2021</t>
        </is>
      </c>
      <c r="B3854" s="1" t="n">
        <v>44363</v>
      </c>
      <c r="C3854" s="1" t="n">
        <v>45212</v>
      </c>
      <c r="D3854" t="inlineStr">
        <is>
          <t>VÄSTERNORRLANDS LÄN</t>
        </is>
      </c>
      <c r="E3854" t="inlineStr">
        <is>
          <t>ÖRNSKÖLDSVIK</t>
        </is>
      </c>
      <c r="G3854" t="n">
        <v>10.4</v>
      </c>
      <c r="H3854" t="n">
        <v>0</v>
      </c>
      <c r="I3854" t="n">
        <v>0</v>
      </c>
      <c r="J3854" t="n">
        <v>0</v>
      </c>
      <c r="K3854" t="n">
        <v>0</v>
      </c>
      <c r="L3854" t="n">
        <v>0</v>
      </c>
      <c r="M3854" t="n">
        <v>0</v>
      </c>
      <c r="N3854" t="n">
        <v>0</v>
      </c>
      <c r="O3854" t="n">
        <v>0</v>
      </c>
      <c r="P3854" t="n">
        <v>0</v>
      </c>
      <c r="Q3854" t="n">
        <v>0</v>
      </c>
      <c r="R3854" s="2" t="inlineStr"/>
    </row>
    <row r="3855" ht="15" customHeight="1">
      <c r="A3855" t="inlineStr">
        <is>
          <t>A 30460-2021</t>
        </is>
      </c>
      <c r="B3855" s="1" t="n">
        <v>44364</v>
      </c>
      <c r="C3855" s="1" t="n">
        <v>45212</v>
      </c>
      <c r="D3855" t="inlineStr">
        <is>
          <t>VÄSTERNORRLANDS LÄN</t>
        </is>
      </c>
      <c r="E3855" t="inlineStr">
        <is>
          <t>SUNDSVALL</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30522-2021</t>
        </is>
      </c>
      <c r="B3856" s="1" t="n">
        <v>44364</v>
      </c>
      <c r="C3856" s="1" t="n">
        <v>45212</v>
      </c>
      <c r="D3856" t="inlineStr">
        <is>
          <t>VÄSTERNORRLANDS LÄN</t>
        </is>
      </c>
      <c r="E3856" t="inlineStr">
        <is>
          <t>ÖRNSKÖLDSVIK</t>
        </is>
      </c>
      <c r="F3856" t="inlineStr">
        <is>
          <t>Holmen skog AB</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30591-2021</t>
        </is>
      </c>
      <c r="B3857" s="1" t="n">
        <v>44364</v>
      </c>
      <c r="C3857" s="1" t="n">
        <v>45212</v>
      </c>
      <c r="D3857" t="inlineStr">
        <is>
          <t>VÄSTERNORRLANDS LÄN</t>
        </is>
      </c>
      <c r="E3857" t="inlineStr">
        <is>
          <t>TIMRÅ</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30282-2021</t>
        </is>
      </c>
      <c r="B3858" s="1" t="n">
        <v>44364</v>
      </c>
      <c r="C3858" s="1" t="n">
        <v>45212</v>
      </c>
      <c r="D3858" t="inlineStr">
        <is>
          <t>VÄSTERNORRLANDS LÄN</t>
        </is>
      </c>
      <c r="E3858" t="inlineStr">
        <is>
          <t>ÖRNSKÖLDSVIK</t>
        </is>
      </c>
      <c r="F3858" t="inlineStr">
        <is>
          <t>Holmen skog AB</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30598-2021</t>
        </is>
      </c>
      <c r="B3859" s="1" t="n">
        <v>44364</v>
      </c>
      <c r="C3859" s="1" t="n">
        <v>45212</v>
      </c>
      <c r="D3859" t="inlineStr">
        <is>
          <t>VÄSTERNORRLANDS LÄN</t>
        </is>
      </c>
      <c r="E3859" t="inlineStr">
        <is>
          <t>ÖRNSKÖLDSVIK</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30339-2021</t>
        </is>
      </c>
      <c r="B3860" s="1" t="n">
        <v>44364</v>
      </c>
      <c r="C3860" s="1" t="n">
        <v>45212</v>
      </c>
      <c r="D3860" t="inlineStr">
        <is>
          <t>VÄSTERNORRLANDS LÄN</t>
        </is>
      </c>
      <c r="E3860" t="inlineStr">
        <is>
          <t>ÅNGE</t>
        </is>
      </c>
      <c r="G3860" t="n">
        <v>23.8</v>
      </c>
      <c r="H3860" t="n">
        <v>0</v>
      </c>
      <c r="I3860" t="n">
        <v>0</v>
      </c>
      <c r="J3860" t="n">
        <v>0</v>
      </c>
      <c r="K3860" t="n">
        <v>0</v>
      </c>
      <c r="L3860" t="n">
        <v>0</v>
      </c>
      <c r="M3860" t="n">
        <v>0</v>
      </c>
      <c r="N3860" t="n">
        <v>0</v>
      </c>
      <c r="O3860" t="n">
        <v>0</v>
      </c>
      <c r="P3860" t="n">
        <v>0</v>
      </c>
      <c r="Q3860" t="n">
        <v>0</v>
      </c>
      <c r="R3860" s="2" t="inlineStr"/>
    </row>
    <row r="3861" ht="15" customHeight="1">
      <c r="A3861" t="inlineStr">
        <is>
          <t>A 30418-2021</t>
        </is>
      </c>
      <c r="B3861" s="1" t="n">
        <v>44364</v>
      </c>
      <c r="C3861" s="1" t="n">
        <v>45212</v>
      </c>
      <c r="D3861" t="inlineStr">
        <is>
          <t>VÄSTERNORRLANDS LÄN</t>
        </is>
      </c>
      <c r="E3861" t="inlineStr">
        <is>
          <t>KRAMFORS</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30470-2021</t>
        </is>
      </c>
      <c r="B3862" s="1" t="n">
        <v>44364</v>
      </c>
      <c r="C3862" s="1" t="n">
        <v>45212</v>
      </c>
      <c r="D3862" t="inlineStr">
        <is>
          <t>VÄSTERNORRLANDS LÄN</t>
        </is>
      </c>
      <c r="E3862" t="inlineStr">
        <is>
          <t>KRAMFORS</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30604-2021</t>
        </is>
      </c>
      <c r="B3863" s="1" t="n">
        <v>44364</v>
      </c>
      <c r="C3863" s="1" t="n">
        <v>45212</v>
      </c>
      <c r="D3863" t="inlineStr">
        <is>
          <t>VÄSTERNORRLANDS LÄN</t>
        </is>
      </c>
      <c r="E3863" t="inlineStr">
        <is>
          <t>ÖRNSKÖLDSVIK</t>
        </is>
      </c>
      <c r="G3863" t="n">
        <v>0.2</v>
      </c>
      <c r="H3863" t="n">
        <v>0</v>
      </c>
      <c r="I3863" t="n">
        <v>0</v>
      </c>
      <c r="J3863" t="n">
        <v>0</v>
      </c>
      <c r="K3863" t="n">
        <v>0</v>
      </c>
      <c r="L3863" t="n">
        <v>0</v>
      </c>
      <c r="M3863" t="n">
        <v>0</v>
      </c>
      <c r="N3863" t="n">
        <v>0</v>
      </c>
      <c r="O3863" t="n">
        <v>0</v>
      </c>
      <c r="P3863" t="n">
        <v>0</v>
      </c>
      <c r="Q3863" t="n">
        <v>0</v>
      </c>
      <c r="R3863" s="2" t="inlineStr"/>
    </row>
    <row r="3864" ht="15" customHeight="1">
      <c r="A3864" t="inlineStr">
        <is>
          <t>A 30345-2021</t>
        </is>
      </c>
      <c r="B3864" s="1" t="n">
        <v>44364</v>
      </c>
      <c r="C3864" s="1" t="n">
        <v>45212</v>
      </c>
      <c r="D3864" t="inlineStr">
        <is>
          <t>VÄSTERNORRLANDS LÄN</t>
        </is>
      </c>
      <c r="E3864" t="inlineStr">
        <is>
          <t>ÅNGE</t>
        </is>
      </c>
      <c r="G3864" t="n">
        <v>7.7</v>
      </c>
      <c r="H3864" t="n">
        <v>0</v>
      </c>
      <c r="I3864" t="n">
        <v>0</v>
      </c>
      <c r="J3864" t="n">
        <v>0</v>
      </c>
      <c r="K3864" t="n">
        <v>0</v>
      </c>
      <c r="L3864" t="n">
        <v>0</v>
      </c>
      <c r="M3864" t="n">
        <v>0</v>
      </c>
      <c r="N3864" t="n">
        <v>0</v>
      </c>
      <c r="O3864" t="n">
        <v>0</v>
      </c>
      <c r="P3864" t="n">
        <v>0</v>
      </c>
      <c r="Q3864" t="n">
        <v>0</v>
      </c>
      <c r="R3864" s="2" t="inlineStr"/>
    </row>
    <row r="3865" ht="15" customHeight="1">
      <c r="A3865" t="inlineStr">
        <is>
          <t>A 30450-2021</t>
        </is>
      </c>
      <c r="B3865" s="1" t="n">
        <v>44364</v>
      </c>
      <c r="C3865" s="1" t="n">
        <v>45212</v>
      </c>
      <c r="D3865" t="inlineStr">
        <is>
          <t>VÄSTERNORRLANDS LÄN</t>
        </is>
      </c>
      <c r="E3865" t="inlineStr">
        <is>
          <t>SUNDSVALL</t>
        </is>
      </c>
      <c r="G3865" t="n">
        <v>6.3</v>
      </c>
      <c r="H3865" t="n">
        <v>0</v>
      </c>
      <c r="I3865" t="n">
        <v>0</v>
      </c>
      <c r="J3865" t="n">
        <v>0</v>
      </c>
      <c r="K3865" t="n">
        <v>0</v>
      </c>
      <c r="L3865" t="n">
        <v>0</v>
      </c>
      <c r="M3865" t="n">
        <v>0</v>
      </c>
      <c r="N3865" t="n">
        <v>0</v>
      </c>
      <c r="O3865" t="n">
        <v>0</v>
      </c>
      <c r="P3865" t="n">
        <v>0</v>
      </c>
      <c r="Q3865" t="n">
        <v>0</v>
      </c>
      <c r="R3865" s="2" t="inlineStr"/>
    </row>
    <row r="3866" ht="15" customHeight="1">
      <c r="A3866" t="inlineStr">
        <is>
          <t>A 30606-2021</t>
        </is>
      </c>
      <c r="B3866" s="1" t="n">
        <v>44364</v>
      </c>
      <c r="C3866" s="1" t="n">
        <v>45212</v>
      </c>
      <c r="D3866" t="inlineStr">
        <is>
          <t>VÄSTERNORRLANDS LÄN</t>
        </is>
      </c>
      <c r="E3866" t="inlineStr">
        <is>
          <t>ÖRNSKÖLDSVIK</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30692-2021</t>
        </is>
      </c>
      <c r="B3867" s="1" t="n">
        <v>44365</v>
      </c>
      <c r="C3867" s="1" t="n">
        <v>45212</v>
      </c>
      <c r="D3867" t="inlineStr">
        <is>
          <t>VÄSTERNORRLANDS LÄN</t>
        </is>
      </c>
      <c r="E3867" t="inlineStr">
        <is>
          <t>SOLLEFTEÅ</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30837-2021</t>
        </is>
      </c>
      <c r="B3868" s="1" t="n">
        <v>44365</v>
      </c>
      <c r="C3868" s="1" t="n">
        <v>45212</v>
      </c>
      <c r="D3868" t="inlineStr">
        <is>
          <t>VÄSTERNORRLANDS LÄN</t>
        </is>
      </c>
      <c r="E3868" t="inlineStr">
        <is>
          <t>ÖRNSKÖLDSVIK</t>
        </is>
      </c>
      <c r="F3868" t="inlineStr">
        <is>
          <t>Holmen skog AB</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31191-2021</t>
        </is>
      </c>
      <c r="B3869" s="1" t="n">
        <v>44368</v>
      </c>
      <c r="C3869" s="1" t="n">
        <v>45212</v>
      </c>
      <c r="D3869" t="inlineStr">
        <is>
          <t>VÄSTERNORRLANDS LÄN</t>
        </is>
      </c>
      <c r="E3869" t="inlineStr">
        <is>
          <t>ÅNGE</t>
        </is>
      </c>
      <c r="F3869" t="inlineStr">
        <is>
          <t>Sveaskog</t>
        </is>
      </c>
      <c r="G3869" t="n">
        <v>21.6</v>
      </c>
      <c r="H3869" t="n">
        <v>0</v>
      </c>
      <c r="I3869" t="n">
        <v>0</v>
      </c>
      <c r="J3869" t="n">
        <v>0</v>
      </c>
      <c r="K3869" t="n">
        <v>0</v>
      </c>
      <c r="L3869" t="n">
        <v>0</v>
      </c>
      <c r="M3869" t="n">
        <v>0</v>
      </c>
      <c r="N3869" t="n">
        <v>0</v>
      </c>
      <c r="O3869" t="n">
        <v>0</v>
      </c>
      <c r="P3869" t="n">
        <v>0</v>
      </c>
      <c r="Q3869" t="n">
        <v>0</v>
      </c>
      <c r="R3869" s="2" t="inlineStr"/>
    </row>
    <row r="3870" ht="15" customHeight="1">
      <c r="A3870" t="inlineStr">
        <is>
          <t>A 31430-2021</t>
        </is>
      </c>
      <c r="B3870" s="1" t="n">
        <v>44368</v>
      </c>
      <c r="C3870" s="1" t="n">
        <v>45212</v>
      </c>
      <c r="D3870" t="inlineStr">
        <is>
          <t>VÄSTERNORRLANDS LÄN</t>
        </is>
      </c>
      <c r="E3870" t="inlineStr">
        <is>
          <t>ÖRNSKÖLDSVIK</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31600-2021</t>
        </is>
      </c>
      <c r="B3871" s="1" t="n">
        <v>44369</v>
      </c>
      <c r="C3871" s="1" t="n">
        <v>45212</v>
      </c>
      <c r="D3871" t="inlineStr">
        <is>
          <t>VÄSTERNORRLANDS LÄN</t>
        </is>
      </c>
      <c r="E3871" t="inlineStr">
        <is>
          <t>SOLLEFTEÅ</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31747-2021</t>
        </is>
      </c>
      <c r="B3872" s="1" t="n">
        <v>44369</v>
      </c>
      <c r="C3872" s="1" t="n">
        <v>45212</v>
      </c>
      <c r="D3872" t="inlineStr">
        <is>
          <t>VÄSTERNORRLANDS LÄN</t>
        </is>
      </c>
      <c r="E3872" t="inlineStr">
        <is>
          <t>KRAMFORS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31668-2021</t>
        </is>
      </c>
      <c r="B3873" s="1" t="n">
        <v>44369</v>
      </c>
      <c r="C3873" s="1" t="n">
        <v>45212</v>
      </c>
      <c r="D3873" t="inlineStr">
        <is>
          <t>VÄSTERNORRLANDS LÄN</t>
        </is>
      </c>
      <c r="E3873" t="inlineStr">
        <is>
          <t>ÅNGE</t>
        </is>
      </c>
      <c r="F3873" t="inlineStr">
        <is>
          <t>Kyrkan</t>
        </is>
      </c>
      <c r="G3873" t="n">
        <v>3.6</v>
      </c>
      <c r="H3873" t="n">
        <v>0</v>
      </c>
      <c r="I3873" t="n">
        <v>0</v>
      </c>
      <c r="J3873" t="n">
        <v>0</v>
      </c>
      <c r="K3873" t="n">
        <v>0</v>
      </c>
      <c r="L3873" t="n">
        <v>0</v>
      </c>
      <c r="M3873" t="n">
        <v>0</v>
      </c>
      <c r="N3873" t="n">
        <v>0</v>
      </c>
      <c r="O3873" t="n">
        <v>0</v>
      </c>
      <c r="P3873" t="n">
        <v>0</v>
      </c>
      <c r="Q3873" t="n">
        <v>0</v>
      </c>
      <c r="R3873" s="2" t="inlineStr"/>
    </row>
    <row r="3874" ht="15" customHeight="1">
      <c r="A3874" t="inlineStr">
        <is>
          <t>A 31578-2021</t>
        </is>
      </c>
      <c r="B3874" s="1" t="n">
        <v>44369</v>
      </c>
      <c r="C3874" s="1" t="n">
        <v>45212</v>
      </c>
      <c r="D3874" t="inlineStr">
        <is>
          <t>VÄSTERNORRLANDS LÄN</t>
        </is>
      </c>
      <c r="E3874" t="inlineStr">
        <is>
          <t>ÅNGE</t>
        </is>
      </c>
      <c r="G3874" t="n">
        <v>25.8</v>
      </c>
      <c r="H3874" t="n">
        <v>0</v>
      </c>
      <c r="I3874" t="n">
        <v>0</v>
      </c>
      <c r="J3874" t="n">
        <v>0</v>
      </c>
      <c r="K3874" t="n">
        <v>0</v>
      </c>
      <c r="L3874" t="n">
        <v>0</v>
      </c>
      <c r="M3874" t="n">
        <v>0</v>
      </c>
      <c r="N3874" t="n">
        <v>0</v>
      </c>
      <c r="O3874" t="n">
        <v>0</v>
      </c>
      <c r="P3874" t="n">
        <v>0</v>
      </c>
      <c r="Q3874" t="n">
        <v>0</v>
      </c>
      <c r="R3874" s="2" t="inlineStr"/>
    </row>
    <row r="3875" ht="15" customHeight="1">
      <c r="A3875" t="inlineStr">
        <is>
          <t>A 31912-2021</t>
        </is>
      </c>
      <c r="B3875" s="1" t="n">
        <v>44370</v>
      </c>
      <c r="C3875" s="1" t="n">
        <v>45212</v>
      </c>
      <c r="D3875" t="inlineStr">
        <is>
          <t>VÄSTERNORRLANDS LÄN</t>
        </is>
      </c>
      <c r="E3875" t="inlineStr">
        <is>
          <t>KRAMFORS</t>
        </is>
      </c>
      <c r="G3875" t="n">
        <v>3.5</v>
      </c>
      <c r="H3875" t="n">
        <v>0</v>
      </c>
      <c r="I3875" t="n">
        <v>0</v>
      </c>
      <c r="J3875" t="n">
        <v>0</v>
      </c>
      <c r="K3875" t="n">
        <v>0</v>
      </c>
      <c r="L3875" t="n">
        <v>0</v>
      </c>
      <c r="M3875" t="n">
        <v>0</v>
      </c>
      <c r="N3875" t="n">
        <v>0</v>
      </c>
      <c r="O3875" t="n">
        <v>0</v>
      </c>
      <c r="P3875" t="n">
        <v>0</v>
      </c>
      <c r="Q3875" t="n">
        <v>0</v>
      </c>
      <c r="R3875" s="2" t="inlineStr"/>
    </row>
    <row r="3876" ht="15" customHeight="1">
      <c r="A3876" t="inlineStr">
        <is>
          <t>A 31920-2021</t>
        </is>
      </c>
      <c r="B3876" s="1" t="n">
        <v>44370</v>
      </c>
      <c r="C3876" s="1" t="n">
        <v>45212</v>
      </c>
      <c r="D3876" t="inlineStr">
        <is>
          <t>VÄSTERNORRLANDS LÄN</t>
        </is>
      </c>
      <c r="E3876" t="inlineStr">
        <is>
          <t>ÖRNSKÖLDSVIK</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32091-2021</t>
        </is>
      </c>
      <c r="B3877" s="1" t="n">
        <v>44370</v>
      </c>
      <c r="C3877" s="1" t="n">
        <v>45212</v>
      </c>
      <c r="D3877" t="inlineStr">
        <is>
          <t>VÄSTERNORRLANDS LÄN</t>
        </is>
      </c>
      <c r="E3877" t="inlineStr">
        <is>
          <t>SOLLEFTEÅ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32103-2021</t>
        </is>
      </c>
      <c r="B3878" s="1" t="n">
        <v>44370</v>
      </c>
      <c r="C3878" s="1" t="n">
        <v>45212</v>
      </c>
      <c r="D3878" t="inlineStr">
        <is>
          <t>VÄSTERNORRLANDS LÄN</t>
        </is>
      </c>
      <c r="E3878" t="inlineStr">
        <is>
          <t>HÄRNÖSAND</t>
        </is>
      </c>
      <c r="F3878" t="inlineStr">
        <is>
          <t>SCA</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32197-2021</t>
        </is>
      </c>
      <c r="B3879" s="1" t="n">
        <v>44371</v>
      </c>
      <c r="C3879" s="1" t="n">
        <v>45212</v>
      </c>
      <c r="D3879" t="inlineStr">
        <is>
          <t>VÄSTERNORRLANDS LÄN</t>
        </is>
      </c>
      <c r="E3879" t="inlineStr">
        <is>
          <t>ÖRNSKÖLDSVIK</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32285-2021</t>
        </is>
      </c>
      <c r="B3880" s="1" t="n">
        <v>44371</v>
      </c>
      <c r="C3880" s="1" t="n">
        <v>45212</v>
      </c>
      <c r="D3880" t="inlineStr">
        <is>
          <t>VÄSTERNORRLANDS LÄN</t>
        </is>
      </c>
      <c r="E3880" t="inlineStr">
        <is>
          <t>SUNDSVALL</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32335-2021</t>
        </is>
      </c>
      <c r="B3881" s="1" t="n">
        <v>44371</v>
      </c>
      <c r="C3881" s="1" t="n">
        <v>45212</v>
      </c>
      <c r="D3881" t="inlineStr">
        <is>
          <t>VÄSTERNORRLANDS LÄN</t>
        </is>
      </c>
      <c r="E3881" t="inlineStr">
        <is>
          <t>SUNDSVALL</t>
        </is>
      </c>
      <c r="G3881" t="n">
        <v>3.1</v>
      </c>
      <c r="H3881" t="n">
        <v>0</v>
      </c>
      <c r="I3881" t="n">
        <v>0</v>
      </c>
      <c r="J3881" t="n">
        <v>0</v>
      </c>
      <c r="K3881" t="n">
        <v>0</v>
      </c>
      <c r="L3881" t="n">
        <v>0</v>
      </c>
      <c r="M3881" t="n">
        <v>0</v>
      </c>
      <c r="N3881" t="n">
        <v>0</v>
      </c>
      <c r="O3881" t="n">
        <v>0</v>
      </c>
      <c r="P3881" t="n">
        <v>0</v>
      </c>
      <c r="Q3881" t="n">
        <v>0</v>
      </c>
      <c r="R3881" s="2" t="inlineStr"/>
    </row>
    <row r="3882" ht="15" customHeight="1">
      <c r="A3882" t="inlineStr">
        <is>
          <t>A 32275-2021</t>
        </is>
      </c>
      <c r="B3882" s="1" t="n">
        <v>44371</v>
      </c>
      <c r="C3882" s="1" t="n">
        <v>45212</v>
      </c>
      <c r="D3882" t="inlineStr">
        <is>
          <t>VÄSTERNORRLANDS LÄN</t>
        </is>
      </c>
      <c r="E3882" t="inlineStr">
        <is>
          <t>SUNDSVALL</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32484-2021</t>
        </is>
      </c>
      <c r="B3883" s="1" t="n">
        <v>44371</v>
      </c>
      <c r="C3883" s="1" t="n">
        <v>45212</v>
      </c>
      <c r="D3883" t="inlineStr">
        <is>
          <t>VÄSTERNORRLANDS LÄN</t>
        </is>
      </c>
      <c r="E3883" t="inlineStr">
        <is>
          <t>TIMRÅ</t>
        </is>
      </c>
      <c r="F3883" t="inlineStr">
        <is>
          <t>SCA</t>
        </is>
      </c>
      <c r="G3883" t="n">
        <v>9.199999999999999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32172-2021</t>
        </is>
      </c>
      <c r="B3884" s="1" t="n">
        <v>44371</v>
      </c>
      <c r="C3884" s="1" t="n">
        <v>45212</v>
      </c>
      <c r="D3884" t="inlineStr">
        <is>
          <t>VÄSTERNORRLANDS LÄN</t>
        </is>
      </c>
      <c r="E3884" t="inlineStr">
        <is>
          <t>SUNDSVALL</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32183-2021</t>
        </is>
      </c>
      <c r="B3885" s="1" t="n">
        <v>44371</v>
      </c>
      <c r="C3885" s="1" t="n">
        <v>45212</v>
      </c>
      <c r="D3885" t="inlineStr">
        <is>
          <t>VÄSTERNORRLANDS LÄN</t>
        </is>
      </c>
      <c r="E3885" t="inlineStr">
        <is>
          <t>SUNDSVALL</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32203-2021</t>
        </is>
      </c>
      <c r="B3886" s="1" t="n">
        <v>44371</v>
      </c>
      <c r="C3886" s="1" t="n">
        <v>45212</v>
      </c>
      <c r="D3886" t="inlineStr">
        <is>
          <t>VÄSTERNORRLANDS LÄN</t>
        </is>
      </c>
      <c r="E3886" t="inlineStr">
        <is>
          <t>SUNDSVALL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32287-2021</t>
        </is>
      </c>
      <c r="B3887" s="1" t="n">
        <v>44371</v>
      </c>
      <c r="C3887" s="1" t="n">
        <v>45212</v>
      </c>
      <c r="D3887" t="inlineStr">
        <is>
          <t>VÄSTERNORRLANDS LÄN</t>
        </is>
      </c>
      <c r="E3887" t="inlineStr">
        <is>
          <t>TIMRÅ</t>
        </is>
      </c>
      <c r="F3887" t="inlineStr">
        <is>
          <t>Kyrkan</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32483-2021</t>
        </is>
      </c>
      <c r="B3888" s="1" t="n">
        <v>44371</v>
      </c>
      <c r="C3888" s="1" t="n">
        <v>45212</v>
      </c>
      <c r="D3888" t="inlineStr">
        <is>
          <t>VÄSTERNORRLANDS LÄN</t>
        </is>
      </c>
      <c r="E3888" t="inlineStr">
        <is>
          <t>TIMRÅ</t>
        </is>
      </c>
      <c r="F3888" t="inlineStr">
        <is>
          <t>Kyrkan</t>
        </is>
      </c>
      <c r="G3888" t="n">
        <v>6.3</v>
      </c>
      <c r="H3888" t="n">
        <v>0</v>
      </c>
      <c r="I3888" t="n">
        <v>0</v>
      </c>
      <c r="J3888" t="n">
        <v>0</v>
      </c>
      <c r="K3888" t="n">
        <v>0</v>
      </c>
      <c r="L3888" t="n">
        <v>0</v>
      </c>
      <c r="M3888" t="n">
        <v>0</v>
      </c>
      <c r="N3888" t="n">
        <v>0</v>
      </c>
      <c r="O3888" t="n">
        <v>0</v>
      </c>
      <c r="P3888" t="n">
        <v>0</v>
      </c>
      <c r="Q3888" t="n">
        <v>0</v>
      </c>
      <c r="R3888" s="2" t="inlineStr"/>
    </row>
    <row r="3889" ht="15" customHeight="1">
      <c r="A3889" t="inlineStr">
        <is>
          <t>A 32210-2021</t>
        </is>
      </c>
      <c r="B3889" s="1" t="n">
        <v>44371</v>
      </c>
      <c r="C3889" s="1" t="n">
        <v>45212</v>
      </c>
      <c r="D3889" t="inlineStr">
        <is>
          <t>VÄSTERNORRLANDS LÄN</t>
        </is>
      </c>
      <c r="E3889" t="inlineStr">
        <is>
          <t>TIMRÅ</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32487-2021</t>
        </is>
      </c>
      <c r="B3890" s="1" t="n">
        <v>44371</v>
      </c>
      <c r="C3890" s="1" t="n">
        <v>45212</v>
      </c>
      <c r="D3890" t="inlineStr">
        <is>
          <t>VÄSTERNORRLANDS LÄN</t>
        </is>
      </c>
      <c r="E3890" t="inlineStr">
        <is>
          <t>TIMRÅ</t>
        </is>
      </c>
      <c r="F3890" t="inlineStr">
        <is>
          <t>Kyrkan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32802-2021</t>
        </is>
      </c>
      <c r="B3891" s="1" t="n">
        <v>44375</v>
      </c>
      <c r="C3891" s="1" t="n">
        <v>45212</v>
      </c>
      <c r="D3891" t="inlineStr">
        <is>
          <t>VÄSTERNORRLANDS LÄN</t>
        </is>
      </c>
      <c r="E3891" t="inlineStr">
        <is>
          <t>KRAMFORS</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32921-2021</t>
        </is>
      </c>
      <c r="B3892" s="1" t="n">
        <v>44375</v>
      </c>
      <c r="C3892" s="1" t="n">
        <v>45212</v>
      </c>
      <c r="D3892" t="inlineStr">
        <is>
          <t>VÄSTERNORRLANDS LÄN</t>
        </is>
      </c>
      <c r="E3892" t="inlineStr">
        <is>
          <t>KRAMFORS</t>
        </is>
      </c>
      <c r="G3892" t="n">
        <v>9.9</v>
      </c>
      <c r="H3892" t="n">
        <v>0</v>
      </c>
      <c r="I3892" t="n">
        <v>0</v>
      </c>
      <c r="J3892" t="n">
        <v>0</v>
      </c>
      <c r="K3892" t="n">
        <v>0</v>
      </c>
      <c r="L3892" t="n">
        <v>0</v>
      </c>
      <c r="M3892" t="n">
        <v>0</v>
      </c>
      <c r="N3892" t="n">
        <v>0</v>
      </c>
      <c r="O3892" t="n">
        <v>0</v>
      </c>
      <c r="P3892" t="n">
        <v>0</v>
      </c>
      <c r="Q3892" t="n">
        <v>0</v>
      </c>
      <c r="R3892" s="2" t="inlineStr"/>
    </row>
    <row r="3893" ht="15" customHeight="1">
      <c r="A3893" t="inlineStr">
        <is>
          <t>A 32831-2021</t>
        </is>
      </c>
      <c r="B3893" s="1" t="n">
        <v>44375</v>
      </c>
      <c r="C3893" s="1" t="n">
        <v>45212</v>
      </c>
      <c r="D3893" t="inlineStr">
        <is>
          <t>VÄSTERNORRLANDS LÄN</t>
        </is>
      </c>
      <c r="E3893" t="inlineStr">
        <is>
          <t>ÖRNSKÖLDSVIK</t>
        </is>
      </c>
      <c r="F3893" t="inlineStr">
        <is>
          <t>Holmen skog AB</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33207-2021</t>
        </is>
      </c>
      <c r="B3894" s="1" t="n">
        <v>44376</v>
      </c>
      <c r="C3894" s="1" t="n">
        <v>45212</v>
      </c>
      <c r="D3894" t="inlineStr">
        <is>
          <t>VÄSTERNORRLANDS LÄN</t>
        </is>
      </c>
      <c r="E3894" t="inlineStr">
        <is>
          <t>SOLLEFTEÅ</t>
        </is>
      </c>
      <c r="F3894" t="inlineStr">
        <is>
          <t>SCA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33367-2021</t>
        </is>
      </c>
      <c r="B3895" s="1" t="n">
        <v>44377</v>
      </c>
      <c r="C3895" s="1" t="n">
        <v>45212</v>
      </c>
      <c r="D3895" t="inlineStr">
        <is>
          <t>VÄSTERNORRLANDS LÄN</t>
        </is>
      </c>
      <c r="E3895" t="inlineStr">
        <is>
          <t>ÖRNSKÖLDSVIK</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33408-2021</t>
        </is>
      </c>
      <c r="B3896" s="1" t="n">
        <v>44377</v>
      </c>
      <c r="C3896" s="1" t="n">
        <v>45212</v>
      </c>
      <c r="D3896" t="inlineStr">
        <is>
          <t>VÄSTERNORRLANDS LÄN</t>
        </is>
      </c>
      <c r="E3896" t="inlineStr">
        <is>
          <t>ÅNGE</t>
        </is>
      </c>
      <c r="G3896" t="n">
        <v>8.199999999999999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33647-2021</t>
        </is>
      </c>
      <c r="B3897" s="1" t="n">
        <v>44377</v>
      </c>
      <c r="C3897" s="1" t="n">
        <v>45212</v>
      </c>
      <c r="D3897" t="inlineStr">
        <is>
          <t>VÄSTERNORRLANDS LÄN</t>
        </is>
      </c>
      <c r="E3897" t="inlineStr">
        <is>
          <t>KRAMFORS</t>
        </is>
      </c>
      <c r="G3897" t="n">
        <v>5</v>
      </c>
      <c r="H3897" t="n">
        <v>0</v>
      </c>
      <c r="I3897" t="n">
        <v>0</v>
      </c>
      <c r="J3897" t="n">
        <v>0</v>
      </c>
      <c r="K3897" t="n">
        <v>0</v>
      </c>
      <c r="L3897" t="n">
        <v>0</v>
      </c>
      <c r="M3897" t="n">
        <v>0</v>
      </c>
      <c r="N3897" t="n">
        <v>0</v>
      </c>
      <c r="O3897" t="n">
        <v>0</v>
      </c>
      <c r="P3897" t="n">
        <v>0</v>
      </c>
      <c r="Q3897" t="n">
        <v>0</v>
      </c>
      <c r="R3897" s="2" t="inlineStr"/>
    </row>
    <row r="3898" ht="15" customHeight="1">
      <c r="A3898" t="inlineStr">
        <is>
          <t>A 33657-2021</t>
        </is>
      </c>
      <c r="B3898" s="1" t="n">
        <v>44377</v>
      </c>
      <c r="C3898" s="1" t="n">
        <v>45212</v>
      </c>
      <c r="D3898" t="inlineStr">
        <is>
          <t>VÄSTERNORRLANDS LÄN</t>
        </is>
      </c>
      <c r="E3898" t="inlineStr">
        <is>
          <t>ÖRNSKÖLDSVIK</t>
        </is>
      </c>
      <c r="G3898" t="n">
        <v>25.7</v>
      </c>
      <c r="H3898" t="n">
        <v>0</v>
      </c>
      <c r="I3898" t="n">
        <v>0</v>
      </c>
      <c r="J3898" t="n">
        <v>0</v>
      </c>
      <c r="K3898" t="n">
        <v>0</v>
      </c>
      <c r="L3898" t="n">
        <v>0</v>
      </c>
      <c r="M3898" t="n">
        <v>0</v>
      </c>
      <c r="N3898" t="n">
        <v>0</v>
      </c>
      <c r="O3898" t="n">
        <v>0</v>
      </c>
      <c r="P3898" t="n">
        <v>0</v>
      </c>
      <c r="Q3898" t="n">
        <v>0</v>
      </c>
      <c r="R3898" s="2" t="inlineStr"/>
    </row>
    <row r="3899" ht="15" customHeight="1">
      <c r="A3899" t="inlineStr">
        <is>
          <t>A 33737-2021</t>
        </is>
      </c>
      <c r="B3899" s="1" t="n">
        <v>44377</v>
      </c>
      <c r="C3899" s="1" t="n">
        <v>45212</v>
      </c>
      <c r="D3899" t="inlineStr">
        <is>
          <t>VÄSTERNORRLANDS LÄN</t>
        </is>
      </c>
      <c r="E3899" t="inlineStr">
        <is>
          <t>ÖRNSKÖLDSVIK</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33824-2021</t>
        </is>
      </c>
      <c r="B3900" s="1" t="n">
        <v>44378</v>
      </c>
      <c r="C3900" s="1" t="n">
        <v>45212</v>
      </c>
      <c r="D3900" t="inlineStr">
        <is>
          <t>VÄSTERNORRLANDS LÄN</t>
        </is>
      </c>
      <c r="E3900" t="inlineStr">
        <is>
          <t>ÖRNSKÖLDSVIK</t>
        </is>
      </c>
      <c r="F3900" t="inlineStr">
        <is>
          <t>Holmen skog AB</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33835-2021</t>
        </is>
      </c>
      <c r="B3901" s="1" t="n">
        <v>44378</v>
      </c>
      <c r="C3901" s="1" t="n">
        <v>45212</v>
      </c>
      <c r="D3901" t="inlineStr">
        <is>
          <t>VÄSTERNORRLANDS LÄN</t>
        </is>
      </c>
      <c r="E3901" t="inlineStr">
        <is>
          <t>ÖRNSKÖLDSVIK</t>
        </is>
      </c>
      <c r="F3901" t="inlineStr">
        <is>
          <t>Holmen skog AB</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33895-2021</t>
        </is>
      </c>
      <c r="B3902" s="1" t="n">
        <v>44378</v>
      </c>
      <c r="C3902" s="1" t="n">
        <v>45212</v>
      </c>
      <c r="D3902" t="inlineStr">
        <is>
          <t>VÄSTERNORRLANDS LÄN</t>
        </is>
      </c>
      <c r="E3902" t="inlineStr">
        <is>
          <t>SOLLEFTEÅ</t>
        </is>
      </c>
      <c r="F3902" t="inlineStr">
        <is>
          <t>Kyrkan</t>
        </is>
      </c>
      <c r="G3902" t="n">
        <v>3.6</v>
      </c>
      <c r="H3902" t="n">
        <v>0</v>
      </c>
      <c r="I3902" t="n">
        <v>0</v>
      </c>
      <c r="J3902" t="n">
        <v>0</v>
      </c>
      <c r="K3902" t="n">
        <v>0</v>
      </c>
      <c r="L3902" t="n">
        <v>0</v>
      </c>
      <c r="M3902" t="n">
        <v>0</v>
      </c>
      <c r="N3902" t="n">
        <v>0</v>
      </c>
      <c r="O3902" t="n">
        <v>0</v>
      </c>
      <c r="P3902" t="n">
        <v>0</v>
      </c>
      <c r="Q3902" t="n">
        <v>0</v>
      </c>
      <c r="R3902" s="2" t="inlineStr"/>
    </row>
    <row r="3903" ht="15" customHeight="1">
      <c r="A3903" t="inlineStr">
        <is>
          <t>A 34002-2021</t>
        </is>
      </c>
      <c r="B3903" s="1" t="n">
        <v>44378</v>
      </c>
      <c r="C3903" s="1" t="n">
        <v>45212</v>
      </c>
      <c r="D3903" t="inlineStr">
        <is>
          <t>VÄSTERNORRLANDS LÄN</t>
        </is>
      </c>
      <c r="E3903" t="inlineStr">
        <is>
          <t>ÖRNSKÖLDSVIK</t>
        </is>
      </c>
      <c r="G3903" t="n">
        <v>8</v>
      </c>
      <c r="H3903" t="n">
        <v>0</v>
      </c>
      <c r="I3903" t="n">
        <v>0</v>
      </c>
      <c r="J3903" t="n">
        <v>0</v>
      </c>
      <c r="K3903" t="n">
        <v>0</v>
      </c>
      <c r="L3903" t="n">
        <v>0</v>
      </c>
      <c r="M3903" t="n">
        <v>0</v>
      </c>
      <c r="N3903" t="n">
        <v>0</v>
      </c>
      <c r="O3903" t="n">
        <v>0</v>
      </c>
      <c r="P3903" t="n">
        <v>0</v>
      </c>
      <c r="Q3903" t="n">
        <v>0</v>
      </c>
      <c r="R3903" s="2" t="inlineStr"/>
    </row>
    <row r="3904" ht="15" customHeight="1">
      <c r="A3904" t="inlineStr">
        <is>
          <t>A 33698-2021</t>
        </is>
      </c>
      <c r="B3904" s="1" t="n">
        <v>44378</v>
      </c>
      <c r="C3904" s="1" t="n">
        <v>45212</v>
      </c>
      <c r="D3904" t="inlineStr">
        <is>
          <t>VÄSTERNORRLANDS LÄN</t>
        </is>
      </c>
      <c r="E3904" t="inlineStr">
        <is>
          <t>ÖRNSKÖLDSVIK</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33915-2021</t>
        </is>
      </c>
      <c r="B3905" s="1" t="n">
        <v>44378</v>
      </c>
      <c r="C3905" s="1" t="n">
        <v>45212</v>
      </c>
      <c r="D3905" t="inlineStr">
        <is>
          <t>VÄSTERNORRLANDS LÄN</t>
        </is>
      </c>
      <c r="E3905" t="inlineStr">
        <is>
          <t>ÖRNSKÖLDSVIK</t>
        </is>
      </c>
      <c r="F3905" t="inlineStr">
        <is>
          <t>Holmen skog AB</t>
        </is>
      </c>
      <c r="G3905" t="n">
        <v>2.3</v>
      </c>
      <c r="H3905" t="n">
        <v>0</v>
      </c>
      <c r="I3905" t="n">
        <v>0</v>
      </c>
      <c r="J3905" t="n">
        <v>0</v>
      </c>
      <c r="K3905" t="n">
        <v>0</v>
      </c>
      <c r="L3905" t="n">
        <v>0</v>
      </c>
      <c r="M3905" t="n">
        <v>0</v>
      </c>
      <c r="N3905" t="n">
        <v>0</v>
      </c>
      <c r="O3905" t="n">
        <v>0</v>
      </c>
      <c r="P3905" t="n">
        <v>0</v>
      </c>
      <c r="Q3905" t="n">
        <v>0</v>
      </c>
      <c r="R3905" s="2" t="inlineStr"/>
    </row>
    <row r="3906" ht="15" customHeight="1">
      <c r="A3906" t="inlineStr">
        <is>
          <t>A 34035-2021</t>
        </is>
      </c>
      <c r="B3906" s="1" t="n">
        <v>44378</v>
      </c>
      <c r="C3906" s="1" t="n">
        <v>45212</v>
      </c>
      <c r="D3906" t="inlineStr">
        <is>
          <t>VÄSTERNORRLANDS LÄN</t>
        </is>
      </c>
      <c r="E3906" t="inlineStr">
        <is>
          <t>TIMRÅ</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33992-2021</t>
        </is>
      </c>
      <c r="B3907" s="1" t="n">
        <v>44378</v>
      </c>
      <c r="C3907" s="1" t="n">
        <v>45212</v>
      </c>
      <c r="D3907" t="inlineStr">
        <is>
          <t>VÄSTERNORRLANDS LÄN</t>
        </is>
      </c>
      <c r="E3907" t="inlineStr">
        <is>
          <t>ÖRNSKÖLDSVIK</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33722-2021</t>
        </is>
      </c>
      <c r="B3908" s="1" t="n">
        <v>44378</v>
      </c>
      <c r="C3908" s="1" t="n">
        <v>45212</v>
      </c>
      <c r="D3908" t="inlineStr">
        <is>
          <t>VÄSTERNORRLANDS LÄN</t>
        </is>
      </c>
      <c r="E3908" t="inlineStr">
        <is>
          <t>ÖRNSKÖLDSVIK</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33911-2021</t>
        </is>
      </c>
      <c r="B3909" s="1" t="n">
        <v>44378</v>
      </c>
      <c r="C3909" s="1" t="n">
        <v>45212</v>
      </c>
      <c r="D3909" t="inlineStr">
        <is>
          <t>VÄSTERNORRLANDS LÄN</t>
        </is>
      </c>
      <c r="E3909" t="inlineStr">
        <is>
          <t>KRAMFORS</t>
        </is>
      </c>
      <c r="G3909" t="n">
        <v>7.2</v>
      </c>
      <c r="H3909" t="n">
        <v>0</v>
      </c>
      <c r="I3909" t="n">
        <v>0</v>
      </c>
      <c r="J3909" t="n">
        <v>0</v>
      </c>
      <c r="K3909" t="n">
        <v>0</v>
      </c>
      <c r="L3909" t="n">
        <v>0</v>
      </c>
      <c r="M3909" t="n">
        <v>0</v>
      </c>
      <c r="N3909" t="n">
        <v>0</v>
      </c>
      <c r="O3909" t="n">
        <v>0</v>
      </c>
      <c r="P3909" t="n">
        <v>0</v>
      </c>
      <c r="Q3909" t="n">
        <v>0</v>
      </c>
      <c r="R3909" s="2" t="inlineStr"/>
    </row>
    <row r="3910" ht="15" customHeight="1">
      <c r="A3910" t="inlineStr">
        <is>
          <t>A 34317-2021</t>
        </is>
      </c>
      <c r="B3910" s="1" t="n">
        <v>44379</v>
      </c>
      <c r="C3910" s="1" t="n">
        <v>45212</v>
      </c>
      <c r="D3910" t="inlineStr">
        <is>
          <t>VÄSTERNORRLANDS LÄN</t>
        </is>
      </c>
      <c r="E3910" t="inlineStr">
        <is>
          <t>ÖRNSKÖLDSVIK</t>
        </is>
      </c>
      <c r="F3910" t="inlineStr">
        <is>
          <t>Holmen skog AB</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34643-2021</t>
        </is>
      </c>
      <c r="B3911" s="1" t="n">
        <v>44379</v>
      </c>
      <c r="C3911" s="1" t="n">
        <v>45212</v>
      </c>
      <c r="D3911" t="inlineStr">
        <is>
          <t>VÄSTERNORRLANDS LÄN</t>
        </is>
      </c>
      <c r="E3911" t="inlineStr">
        <is>
          <t>SUNDSVALL</t>
        </is>
      </c>
      <c r="G3911" t="n">
        <v>1.5</v>
      </c>
      <c r="H3911" t="n">
        <v>0</v>
      </c>
      <c r="I3911" t="n">
        <v>0</v>
      </c>
      <c r="J3911" t="n">
        <v>0</v>
      </c>
      <c r="K3911" t="n">
        <v>0</v>
      </c>
      <c r="L3911" t="n">
        <v>0</v>
      </c>
      <c r="M3911" t="n">
        <v>0</v>
      </c>
      <c r="N3911" t="n">
        <v>0</v>
      </c>
      <c r="O3911" t="n">
        <v>0</v>
      </c>
      <c r="P3911" t="n">
        <v>0</v>
      </c>
      <c r="Q3911" t="n">
        <v>0</v>
      </c>
      <c r="R3911" s="2" t="inlineStr"/>
    </row>
    <row r="3912" ht="15" customHeight="1">
      <c r="A3912" t="inlineStr">
        <is>
          <t>A 34181-2021</t>
        </is>
      </c>
      <c r="B3912" s="1" t="n">
        <v>44379</v>
      </c>
      <c r="C3912" s="1" t="n">
        <v>45212</v>
      </c>
      <c r="D3912" t="inlineStr">
        <is>
          <t>VÄSTERNORRLANDS LÄN</t>
        </is>
      </c>
      <c r="E3912" t="inlineStr">
        <is>
          <t>KRAMFORS</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34201-2021</t>
        </is>
      </c>
      <c r="B3913" s="1" t="n">
        <v>44379</v>
      </c>
      <c r="C3913" s="1" t="n">
        <v>45212</v>
      </c>
      <c r="D3913" t="inlineStr">
        <is>
          <t>VÄSTERNORRLANDS LÄN</t>
        </is>
      </c>
      <c r="E3913" t="inlineStr">
        <is>
          <t>KRAMFORS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34396-2021</t>
        </is>
      </c>
      <c r="B3914" s="1" t="n">
        <v>44379</v>
      </c>
      <c r="C3914" s="1" t="n">
        <v>45212</v>
      </c>
      <c r="D3914" t="inlineStr">
        <is>
          <t>VÄSTERNORRLANDS LÄN</t>
        </is>
      </c>
      <c r="E3914" t="inlineStr">
        <is>
          <t>SOLLEFTEÅ</t>
        </is>
      </c>
      <c r="F3914" t="inlineStr">
        <is>
          <t>SCA</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34612-2021</t>
        </is>
      </c>
      <c r="B3915" s="1" t="n">
        <v>44379</v>
      </c>
      <c r="C3915" s="1" t="n">
        <v>45212</v>
      </c>
      <c r="D3915" t="inlineStr">
        <is>
          <t>VÄSTERNORRLANDS LÄN</t>
        </is>
      </c>
      <c r="E3915" t="inlineStr">
        <is>
          <t>SUNDSVALL</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34931-2021</t>
        </is>
      </c>
      <c r="B3916" s="1" t="n">
        <v>44379</v>
      </c>
      <c r="C3916" s="1" t="n">
        <v>45212</v>
      </c>
      <c r="D3916" t="inlineStr">
        <is>
          <t>VÄSTERNORRLANDS LÄN</t>
        </is>
      </c>
      <c r="E3916" t="inlineStr">
        <is>
          <t>SUNDSVALL</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34197-2021</t>
        </is>
      </c>
      <c r="B3917" s="1" t="n">
        <v>44379</v>
      </c>
      <c r="C3917" s="1" t="n">
        <v>45212</v>
      </c>
      <c r="D3917" t="inlineStr">
        <is>
          <t>VÄSTERNORRLANDS LÄN</t>
        </is>
      </c>
      <c r="E3917" t="inlineStr">
        <is>
          <t>KRAMFORS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34315-2021</t>
        </is>
      </c>
      <c r="B3918" s="1" t="n">
        <v>44379</v>
      </c>
      <c r="C3918" s="1" t="n">
        <v>45212</v>
      </c>
      <c r="D3918" t="inlineStr">
        <is>
          <t>VÄSTERNORRLANDS LÄN</t>
        </is>
      </c>
      <c r="E3918" t="inlineStr">
        <is>
          <t>ÅNGE</t>
        </is>
      </c>
      <c r="G3918" t="n">
        <v>16.4</v>
      </c>
      <c r="H3918" t="n">
        <v>0</v>
      </c>
      <c r="I3918" t="n">
        <v>0</v>
      </c>
      <c r="J3918" t="n">
        <v>0</v>
      </c>
      <c r="K3918" t="n">
        <v>0</v>
      </c>
      <c r="L3918" t="n">
        <v>0</v>
      </c>
      <c r="M3918" t="n">
        <v>0</v>
      </c>
      <c r="N3918" t="n">
        <v>0</v>
      </c>
      <c r="O3918" t="n">
        <v>0</v>
      </c>
      <c r="P3918" t="n">
        <v>0</v>
      </c>
      <c r="Q3918" t="n">
        <v>0</v>
      </c>
      <c r="R3918" s="2" t="inlineStr"/>
    </row>
    <row r="3919" ht="15" customHeight="1">
      <c r="A3919" t="inlineStr">
        <is>
          <t>A 34397-2021</t>
        </is>
      </c>
      <c r="B3919" s="1" t="n">
        <v>44379</v>
      </c>
      <c r="C3919" s="1" t="n">
        <v>45212</v>
      </c>
      <c r="D3919" t="inlineStr">
        <is>
          <t>VÄSTERNORRLANDS LÄN</t>
        </is>
      </c>
      <c r="E3919" t="inlineStr">
        <is>
          <t>SOLLEFTEÅ</t>
        </is>
      </c>
      <c r="F3919" t="inlineStr">
        <is>
          <t>SCA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34320-2021</t>
        </is>
      </c>
      <c r="B3920" s="1" t="n">
        <v>44379</v>
      </c>
      <c r="C3920" s="1" t="n">
        <v>45212</v>
      </c>
      <c r="D3920" t="inlineStr">
        <is>
          <t>VÄSTERNORRLANDS LÄN</t>
        </is>
      </c>
      <c r="E3920" t="inlineStr">
        <is>
          <t>ÅNGE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34395-2021</t>
        </is>
      </c>
      <c r="B3921" s="1" t="n">
        <v>44379</v>
      </c>
      <c r="C3921" s="1" t="n">
        <v>45212</v>
      </c>
      <c r="D3921" t="inlineStr">
        <is>
          <t>VÄSTERNORRLANDS LÄN</t>
        </is>
      </c>
      <c r="E3921" t="inlineStr">
        <is>
          <t>SOLLEFTEÅ</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34605-2021</t>
        </is>
      </c>
      <c r="B3922" s="1" t="n">
        <v>44379</v>
      </c>
      <c r="C3922" s="1" t="n">
        <v>45212</v>
      </c>
      <c r="D3922" t="inlineStr">
        <is>
          <t>VÄSTERNORRLANDS LÄN</t>
        </is>
      </c>
      <c r="E3922" t="inlineStr">
        <is>
          <t>SUNDSVALL</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34475-2021</t>
        </is>
      </c>
      <c r="B3923" s="1" t="n">
        <v>44381</v>
      </c>
      <c r="C3923" s="1" t="n">
        <v>45212</v>
      </c>
      <c r="D3923" t="inlineStr">
        <is>
          <t>VÄSTERNORRLANDS LÄN</t>
        </is>
      </c>
      <c r="E3923" t="inlineStr">
        <is>
          <t>SOLLEFTEÅ</t>
        </is>
      </c>
      <c r="F3923" t="inlineStr">
        <is>
          <t>SCA</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34781-2021</t>
        </is>
      </c>
      <c r="B3924" s="1" t="n">
        <v>44382</v>
      </c>
      <c r="C3924" s="1" t="n">
        <v>45212</v>
      </c>
      <c r="D3924" t="inlineStr">
        <is>
          <t>VÄSTERNORRLANDS LÄN</t>
        </is>
      </c>
      <c r="E3924" t="inlineStr">
        <is>
          <t>HÄRNÖSAND</t>
        </is>
      </c>
      <c r="G3924" t="n">
        <v>14.9</v>
      </c>
      <c r="H3924" t="n">
        <v>0</v>
      </c>
      <c r="I3924" t="n">
        <v>0</v>
      </c>
      <c r="J3924" t="n">
        <v>0</v>
      </c>
      <c r="K3924" t="n">
        <v>0</v>
      </c>
      <c r="L3924" t="n">
        <v>0</v>
      </c>
      <c r="M3924" t="n">
        <v>0</v>
      </c>
      <c r="N3924" t="n">
        <v>0</v>
      </c>
      <c r="O3924" t="n">
        <v>0</v>
      </c>
      <c r="P3924" t="n">
        <v>0</v>
      </c>
      <c r="Q3924" t="n">
        <v>0</v>
      </c>
      <c r="R3924" s="2" t="inlineStr"/>
    </row>
    <row r="3925" ht="15" customHeight="1">
      <c r="A3925" t="inlineStr">
        <is>
          <t>A 34674-2021</t>
        </is>
      </c>
      <c r="B3925" s="1" t="n">
        <v>44382</v>
      </c>
      <c r="C3925" s="1" t="n">
        <v>45212</v>
      </c>
      <c r="D3925" t="inlineStr">
        <is>
          <t>VÄSTERNORRLANDS LÄN</t>
        </is>
      </c>
      <c r="E3925" t="inlineStr">
        <is>
          <t>ÖRNSKÖLDSVIK</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34767-2021</t>
        </is>
      </c>
      <c r="B3926" s="1" t="n">
        <v>44382</v>
      </c>
      <c r="C3926" s="1" t="n">
        <v>45212</v>
      </c>
      <c r="D3926" t="inlineStr">
        <is>
          <t>VÄSTERNORRLANDS LÄN</t>
        </is>
      </c>
      <c r="E3926" t="inlineStr">
        <is>
          <t>TIMRÅ</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34783-2021</t>
        </is>
      </c>
      <c r="B3927" s="1" t="n">
        <v>44382</v>
      </c>
      <c r="C3927" s="1" t="n">
        <v>45212</v>
      </c>
      <c r="D3927" t="inlineStr">
        <is>
          <t>VÄSTERNORRLANDS LÄN</t>
        </is>
      </c>
      <c r="E3927" t="inlineStr">
        <is>
          <t>ÅNGE</t>
        </is>
      </c>
      <c r="F3927" t="inlineStr">
        <is>
          <t>SCA</t>
        </is>
      </c>
      <c r="G3927" t="n">
        <v>8.5</v>
      </c>
      <c r="H3927" t="n">
        <v>0</v>
      </c>
      <c r="I3927" t="n">
        <v>0</v>
      </c>
      <c r="J3927" t="n">
        <v>0</v>
      </c>
      <c r="K3927" t="n">
        <v>0</v>
      </c>
      <c r="L3927" t="n">
        <v>0</v>
      </c>
      <c r="M3927" t="n">
        <v>0</v>
      </c>
      <c r="N3927" t="n">
        <v>0</v>
      </c>
      <c r="O3927" t="n">
        <v>0</v>
      </c>
      <c r="P3927" t="n">
        <v>0</v>
      </c>
      <c r="Q3927" t="n">
        <v>0</v>
      </c>
      <c r="R3927" s="2" t="inlineStr"/>
    </row>
    <row r="3928" ht="15" customHeight="1">
      <c r="A3928" t="inlineStr">
        <is>
          <t>A 35058-2021</t>
        </is>
      </c>
      <c r="B3928" s="1" t="n">
        <v>44383</v>
      </c>
      <c r="C3928" s="1" t="n">
        <v>45212</v>
      </c>
      <c r="D3928" t="inlineStr">
        <is>
          <t>VÄSTERNORRLANDS LÄN</t>
        </is>
      </c>
      <c r="E3928" t="inlineStr">
        <is>
          <t>ÅNGE</t>
        </is>
      </c>
      <c r="F3928" t="inlineStr">
        <is>
          <t>SCA</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35079-2021</t>
        </is>
      </c>
      <c r="B3929" s="1" t="n">
        <v>44383</v>
      </c>
      <c r="C3929" s="1" t="n">
        <v>45212</v>
      </c>
      <c r="D3929" t="inlineStr">
        <is>
          <t>VÄSTERNORRLANDS LÄN</t>
        </is>
      </c>
      <c r="E3929" t="inlineStr">
        <is>
          <t>ÅNGE</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35071-2021</t>
        </is>
      </c>
      <c r="B3930" s="1" t="n">
        <v>44383</v>
      </c>
      <c r="C3930" s="1" t="n">
        <v>45212</v>
      </c>
      <c r="D3930" t="inlineStr">
        <is>
          <t>VÄSTERNORRLANDS LÄN</t>
        </is>
      </c>
      <c r="E3930" t="inlineStr">
        <is>
          <t>SOLLEFTEÅ</t>
        </is>
      </c>
      <c r="F3930" t="inlineStr">
        <is>
          <t>SCA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34894-2021</t>
        </is>
      </c>
      <c r="B3931" s="1" t="n">
        <v>44383</v>
      </c>
      <c r="C3931" s="1" t="n">
        <v>45212</v>
      </c>
      <c r="D3931" t="inlineStr">
        <is>
          <t>VÄSTERNORRLANDS LÄN</t>
        </is>
      </c>
      <c r="E3931" t="inlineStr">
        <is>
          <t>ÖRNSKÖLDSVIK</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34981-2021</t>
        </is>
      </c>
      <c r="B3932" s="1" t="n">
        <v>44383</v>
      </c>
      <c r="C3932" s="1" t="n">
        <v>45212</v>
      </c>
      <c r="D3932" t="inlineStr">
        <is>
          <t>VÄSTERNORRLANDS LÄN</t>
        </is>
      </c>
      <c r="E3932" t="inlineStr">
        <is>
          <t>ÖRNSKÖLDSVIK</t>
        </is>
      </c>
      <c r="F3932" t="inlineStr">
        <is>
          <t>Holmen skog AB</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34997-2021</t>
        </is>
      </c>
      <c r="B3933" s="1" t="n">
        <v>44383</v>
      </c>
      <c r="C3933" s="1" t="n">
        <v>45212</v>
      </c>
      <c r="D3933" t="inlineStr">
        <is>
          <t>VÄSTERNORRLANDS LÄN</t>
        </is>
      </c>
      <c r="E3933" t="inlineStr">
        <is>
          <t>ÖRNSKÖLDSVIK</t>
        </is>
      </c>
      <c r="F3933" t="inlineStr">
        <is>
          <t>Holmen skog AB</t>
        </is>
      </c>
      <c r="G3933" t="n">
        <v>5.7</v>
      </c>
      <c r="H3933" t="n">
        <v>0</v>
      </c>
      <c r="I3933" t="n">
        <v>0</v>
      </c>
      <c r="J3933" t="n">
        <v>0</v>
      </c>
      <c r="K3933" t="n">
        <v>0</v>
      </c>
      <c r="L3933" t="n">
        <v>0</v>
      </c>
      <c r="M3933" t="n">
        <v>0</v>
      </c>
      <c r="N3933" t="n">
        <v>0</v>
      </c>
      <c r="O3933" t="n">
        <v>0</v>
      </c>
      <c r="P3933" t="n">
        <v>0</v>
      </c>
      <c r="Q3933" t="n">
        <v>0</v>
      </c>
      <c r="R3933" s="2" t="inlineStr"/>
    </row>
    <row r="3934" ht="15" customHeight="1">
      <c r="A3934" t="inlineStr">
        <is>
          <t>A 35339-2021</t>
        </is>
      </c>
      <c r="B3934" s="1" t="n">
        <v>44384</v>
      </c>
      <c r="C3934" s="1" t="n">
        <v>45212</v>
      </c>
      <c r="D3934" t="inlineStr">
        <is>
          <t>VÄSTERNORRLANDS LÄN</t>
        </is>
      </c>
      <c r="E3934" t="inlineStr">
        <is>
          <t>ÅNGE</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35506-2021</t>
        </is>
      </c>
      <c r="B3935" s="1" t="n">
        <v>44384</v>
      </c>
      <c r="C3935" s="1" t="n">
        <v>45212</v>
      </c>
      <c r="D3935" t="inlineStr">
        <is>
          <t>VÄSTERNORRLANDS LÄN</t>
        </is>
      </c>
      <c r="E3935" t="inlineStr">
        <is>
          <t>KRAMFORS</t>
        </is>
      </c>
      <c r="G3935" t="n">
        <v>5</v>
      </c>
      <c r="H3935" t="n">
        <v>0</v>
      </c>
      <c r="I3935" t="n">
        <v>0</v>
      </c>
      <c r="J3935" t="n">
        <v>0</v>
      </c>
      <c r="K3935" t="n">
        <v>0</v>
      </c>
      <c r="L3935" t="n">
        <v>0</v>
      </c>
      <c r="M3935" t="n">
        <v>0</v>
      </c>
      <c r="N3935" t="n">
        <v>0</v>
      </c>
      <c r="O3935" t="n">
        <v>0</v>
      </c>
      <c r="P3935" t="n">
        <v>0</v>
      </c>
      <c r="Q3935" t="n">
        <v>0</v>
      </c>
      <c r="R3935" s="2" t="inlineStr"/>
    </row>
    <row r="3936" ht="15" customHeight="1">
      <c r="A3936" t="inlineStr">
        <is>
          <t>A 35151-2021</t>
        </is>
      </c>
      <c r="B3936" s="1" t="n">
        <v>44384</v>
      </c>
      <c r="C3936" s="1" t="n">
        <v>45212</v>
      </c>
      <c r="D3936" t="inlineStr">
        <is>
          <t>VÄSTERNORRLANDS LÄN</t>
        </is>
      </c>
      <c r="E3936" t="inlineStr">
        <is>
          <t>ÖRNSKÖLDSVIK</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35181-2021</t>
        </is>
      </c>
      <c r="B3937" s="1" t="n">
        <v>44384</v>
      </c>
      <c r="C3937" s="1" t="n">
        <v>45212</v>
      </c>
      <c r="D3937" t="inlineStr">
        <is>
          <t>VÄSTERNORRLANDS LÄN</t>
        </is>
      </c>
      <c r="E3937" t="inlineStr">
        <is>
          <t>HÄRNÖSAND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35318-2021</t>
        </is>
      </c>
      <c r="B3938" s="1" t="n">
        <v>44384</v>
      </c>
      <c r="C3938" s="1" t="n">
        <v>45212</v>
      </c>
      <c r="D3938" t="inlineStr">
        <is>
          <t>VÄSTERNORRLANDS LÄN</t>
        </is>
      </c>
      <c r="E3938" t="inlineStr">
        <is>
          <t>SUNDSVALL</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35262-2021</t>
        </is>
      </c>
      <c r="B3939" s="1" t="n">
        <v>44384</v>
      </c>
      <c r="C3939" s="1" t="n">
        <v>45212</v>
      </c>
      <c r="D3939" t="inlineStr">
        <is>
          <t>VÄSTERNORRLANDS LÄN</t>
        </is>
      </c>
      <c r="E3939" t="inlineStr">
        <is>
          <t>TIMRÅ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36034-2021</t>
        </is>
      </c>
      <c r="B3940" s="1" t="n">
        <v>44385</v>
      </c>
      <c r="C3940" s="1" t="n">
        <v>45212</v>
      </c>
      <c r="D3940" t="inlineStr">
        <is>
          <t>VÄSTERNORRLANDS LÄN</t>
        </is>
      </c>
      <c r="E3940" t="inlineStr">
        <is>
          <t>ÖRNSKÖLDSVIK</t>
        </is>
      </c>
      <c r="G3940" t="n">
        <v>15.6</v>
      </c>
      <c r="H3940" t="n">
        <v>0</v>
      </c>
      <c r="I3940" t="n">
        <v>0</v>
      </c>
      <c r="J3940" t="n">
        <v>0</v>
      </c>
      <c r="K3940" t="n">
        <v>0</v>
      </c>
      <c r="L3940" t="n">
        <v>0</v>
      </c>
      <c r="M3940" t="n">
        <v>0</v>
      </c>
      <c r="N3940" t="n">
        <v>0</v>
      </c>
      <c r="O3940" t="n">
        <v>0</v>
      </c>
      <c r="P3940" t="n">
        <v>0</v>
      </c>
      <c r="Q3940" t="n">
        <v>0</v>
      </c>
      <c r="R3940" s="2" t="inlineStr"/>
    </row>
    <row r="3941" ht="15" customHeight="1">
      <c r="A3941" t="inlineStr">
        <is>
          <t>A 36010-2021</t>
        </is>
      </c>
      <c r="B3941" s="1" t="n">
        <v>44385</v>
      </c>
      <c r="C3941" s="1" t="n">
        <v>45212</v>
      </c>
      <c r="D3941" t="inlineStr">
        <is>
          <t>VÄSTERNORRLANDS LÄN</t>
        </is>
      </c>
      <c r="E3941" t="inlineStr">
        <is>
          <t>ÖRNSKÖLDSVIK</t>
        </is>
      </c>
      <c r="G3941" t="n">
        <v>5.6</v>
      </c>
      <c r="H3941" t="n">
        <v>0</v>
      </c>
      <c r="I3941" t="n">
        <v>0</v>
      </c>
      <c r="J3941" t="n">
        <v>0</v>
      </c>
      <c r="K3941" t="n">
        <v>0</v>
      </c>
      <c r="L3941" t="n">
        <v>0</v>
      </c>
      <c r="M3941" t="n">
        <v>0</v>
      </c>
      <c r="N3941" t="n">
        <v>0</v>
      </c>
      <c r="O3941" t="n">
        <v>0</v>
      </c>
      <c r="P3941" t="n">
        <v>0</v>
      </c>
      <c r="Q3941" t="n">
        <v>0</v>
      </c>
      <c r="R3941" s="2" t="inlineStr"/>
    </row>
    <row r="3942" ht="15" customHeight="1">
      <c r="A3942" t="inlineStr">
        <is>
          <t>A 35870-2021</t>
        </is>
      </c>
      <c r="B3942" s="1" t="n">
        <v>44386</v>
      </c>
      <c r="C3942" s="1" t="n">
        <v>45212</v>
      </c>
      <c r="D3942" t="inlineStr">
        <is>
          <t>VÄSTERNORRLANDS LÄN</t>
        </is>
      </c>
      <c r="E3942" t="inlineStr">
        <is>
          <t>ÖRNSKÖLDSVIK</t>
        </is>
      </c>
      <c r="F3942" t="inlineStr">
        <is>
          <t>SCA</t>
        </is>
      </c>
      <c r="G3942" t="n">
        <v>3.4</v>
      </c>
      <c r="H3942" t="n">
        <v>0</v>
      </c>
      <c r="I3942" t="n">
        <v>0</v>
      </c>
      <c r="J3942" t="n">
        <v>0</v>
      </c>
      <c r="K3942" t="n">
        <v>0</v>
      </c>
      <c r="L3942" t="n">
        <v>0</v>
      </c>
      <c r="M3942" t="n">
        <v>0</v>
      </c>
      <c r="N3942" t="n">
        <v>0</v>
      </c>
      <c r="O3942" t="n">
        <v>0</v>
      </c>
      <c r="P3942" t="n">
        <v>0</v>
      </c>
      <c r="Q3942" t="n">
        <v>0</v>
      </c>
      <c r="R3942" s="2" t="inlineStr"/>
    </row>
    <row r="3943" ht="15" customHeight="1">
      <c r="A3943" t="inlineStr">
        <is>
          <t>A 35862-2021</t>
        </is>
      </c>
      <c r="B3943" s="1" t="n">
        <v>44386</v>
      </c>
      <c r="C3943" s="1" t="n">
        <v>45212</v>
      </c>
      <c r="D3943" t="inlineStr">
        <is>
          <t>VÄSTERNORRLANDS LÄN</t>
        </is>
      </c>
      <c r="E3943" t="inlineStr">
        <is>
          <t>SOLLEFTEÅ</t>
        </is>
      </c>
      <c r="G3943" t="n">
        <v>5.5</v>
      </c>
      <c r="H3943" t="n">
        <v>0</v>
      </c>
      <c r="I3943" t="n">
        <v>0</v>
      </c>
      <c r="J3943" t="n">
        <v>0</v>
      </c>
      <c r="K3943" t="n">
        <v>0</v>
      </c>
      <c r="L3943" t="n">
        <v>0</v>
      </c>
      <c r="M3943" t="n">
        <v>0</v>
      </c>
      <c r="N3943" t="n">
        <v>0</v>
      </c>
      <c r="O3943" t="n">
        <v>0</v>
      </c>
      <c r="P3943" t="n">
        <v>0</v>
      </c>
      <c r="Q3943" t="n">
        <v>0</v>
      </c>
      <c r="R3943" s="2" t="inlineStr"/>
    </row>
    <row r="3944" ht="15" customHeight="1">
      <c r="A3944" t="inlineStr">
        <is>
          <t>A 36136-2021</t>
        </is>
      </c>
      <c r="B3944" s="1" t="n">
        <v>44386</v>
      </c>
      <c r="C3944" s="1" t="n">
        <v>45212</v>
      </c>
      <c r="D3944" t="inlineStr">
        <is>
          <t>VÄSTERNORRLANDS LÄN</t>
        </is>
      </c>
      <c r="E3944" t="inlineStr">
        <is>
          <t>HÄRNÖSAND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36070-2021</t>
        </is>
      </c>
      <c r="B3945" s="1" t="n">
        <v>44386</v>
      </c>
      <c r="C3945" s="1" t="n">
        <v>45212</v>
      </c>
      <c r="D3945" t="inlineStr">
        <is>
          <t>VÄSTERNORRLANDS LÄN</t>
        </is>
      </c>
      <c r="E3945" t="inlineStr">
        <is>
          <t>ÖRNSKÖLDSVIK</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36265-2021</t>
        </is>
      </c>
      <c r="B3946" s="1" t="n">
        <v>44387</v>
      </c>
      <c r="C3946" s="1" t="n">
        <v>45212</v>
      </c>
      <c r="D3946" t="inlineStr">
        <is>
          <t>VÄSTERNORRLANDS LÄN</t>
        </is>
      </c>
      <c r="E3946" t="inlineStr">
        <is>
          <t>KRAMFORS</t>
        </is>
      </c>
      <c r="G3946" t="n">
        <v>41.8</v>
      </c>
      <c r="H3946" t="n">
        <v>0</v>
      </c>
      <c r="I3946" t="n">
        <v>0</v>
      </c>
      <c r="J3946" t="n">
        <v>0</v>
      </c>
      <c r="K3946" t="n">
        <v>0</v>
      </c>
      <c r="L3946" t="n">
        <v>0</v>
      </c>
      <c r="M3946" t="n">
        <v>0</v>
      </c>
      <c r="N3946" t="n">
        <v>0</v>
      </c>
      <c r="O3946" t="n">
        <v>0</v>
      </c>
      <c r="P3946" t="n">
        <v>0</v>
      </c>
      <c r="Q3946" t="n">
        <v>0</v>
      </c>
      <c r="R3946" s="2" t="inlineStr"/>
    </row>
    <row r="3947" ht="15" customHeight="1">
      <c r="A3947" t="inlineStr">
        <is>
          <t>A 36200-2021</t>
        </is>
      </c>
      <c r="B3947" s="1" t="n">
        <v>44388</v>
      </c>
      <c r="C3947" s="1" t="n">
        <v>45212</v>
      </c>
      <c r="D3947" t="inlineStr">
        <is>
          <t>VÄSTERNORRLANDS LÄN</t>
        </is>
      </c>
      <c r="E3947" t="inlineStr">
        <is>
          <t>KRAMFORS</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36198-2021</t>
        </is>
      </c>
      <c r="B3948" s="1" t="n">
        <v>44388</v>
      </c>
      <c r="C3948" s="1" t="n">
        <v>45212</v>
      </c>
      <c r="D3948" t="inlineStr">
        <is>
          <t>VÄSTERNORRLANDS LÄN</t>
        </is>
      </c>
      <c r="E3948" t="inlineStr">
        <is>
          <t>KRAMFORS</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36335-2021</t>
        </is>
      </c>
      <c r="B3949" s="1" t="n">
        <v>44390</v>
      </c>
      <c r="C3949" s="1" t="n">
        <v>45212</v>
      </c>
      <c r="D3949" t="inlineStr">
        <is>
          <t>VÄSTERNORRLANDS LÄN</t>
        </is>
      </c>
      <c r="E3949" t="inlineStr">
        <is>
          <t>ÖRNSKÖLDSVIK</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36448-2021</t>
        </is>
      </c>
      <c r="B3950" s="1" t="n">
        <v>44390</v>
      </c>
      <c r="C3950" s="1" t="n">
        <v>45212</v>
      </c>
      <c r="D3950" t="inlineStr">
        <is>
          <t>VÄSTERNORRLANDS LÄN</t>
        </is>
      </c>
      <c r="E3950" t="inlineStr">
        <is>
          <t>SOLLEFTEÅ</t>
        </is>
      </c>
      <c r="F3950" t="inlineStr">
        <is>
          <t>SCA</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36300-2021</t>
        </is>
      </c>
      <c r="B3951" s="1" t="n">
        <v>44390</v>
      </c>
      <c r="C3951" s="1" t="n">
        <v>45212</v>
      </c>
      <c r="D3951" t="inlineStr">
        <is>
          <t>VÄSTERNORRLANDS LÄN</t>
        </is>
      </c>
      <c r="E3951" t="inlineStr">
        <is>
          <t>KRAMFORS</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36447-2021</t>
        </is>
      </c>
      <c r="B3952" s="1" t="n">
        <v>44390</v>
      </c>
      <c r="C3952" s="1" t="n">
        <v>45212</v>
      </c>
      <c r="D3952" t="inlineStr">
        <is>
          <t>VÄSTERNORRLANDS LÄN</t>
        </is>
      </c>
      <c r="E3952" t="inlineStr">
        <is>
          <t>SOLLEFTEÅ</t>
        </is>
      </c>
      <c r="F3952" t="inlineStr">
        <is>
          <t>SCA</t>
        </is>
      </c>
      <c r="G3952" t="n">
        <v>10.2</v>
      </c>
      <c r="H3952" t="n">
        <v>0</v>
      </c>
      <c r="I3952" t="n">
        <v>0</v>
      </c>
      <c r="J3952" t="n">
        <v>0</v>
      </c>
      <c r="K3952" t="n">
        <v>0</v>
      </c>
      <c r="L3952" t="n">
        <v>0</v>
      </c>
      <c r="M3952" t="n">
        <v>0</v>
      </c>
      <c r="N3952" t="n">
        <v>0</v>
      </c>
      <c r="O3952" t="n">
        <v>0</v>
      </c>
      <c r="P3952" t="n">
        <v>0</v>
      </c>
      <c r="Q3952" t="n">
        <v>0</v>
      </c>
      <c r="R3952" s="2" t="inlineStr"/>
    </row>
    <row r="3953" ht="15" customHeight="1">
      <c r="A3953" t="inlineStr">
        <is>
          <t>A 36388-2021</t>
        </is>
      </c>
      <c r="B3953" s="1" t="n">
        <v>44390</v>
      </c>
      <c r="C3953" s="1" t="n">
        <v>45212</v>
      </c>
      <c r="D3953" t="inlineStr">
        <is>
          <t>VÄSTERNORRLANDS LÄN</t>
        </is>
      </c>
      <c r="E3953" t="inlineStr">
        <is>
          <t>HÄRNÖSAND</t>
        </is>
      </c>
      <c r="G3953" t="n">
        <v>9</v>
      </c>
      <c r="H3953" t="n">
        <v>0</v>
      </c>
      <c r="I3953" t="n">
        <v>0</v>
      </c>
      <c r="J3953" t="n">
        <v>0</v>
      </c>
      <c r="K3953" t="n">
        <v>0</v>
      </c>
      <c r="L3953" t="n">
        <v>0</v>
      </c>
      <c r="M3953" t="n">
        <v>0</v>
      </c>
      <c r="N3953" t="n">
        <v>0</v>
      </c>
      <c r="O3953" t="n">
        <v>0</v>
      </c>
      <c r="P3953" t="n">
        <v>0</v>
      </c>
      <c r="Q3953" t="n">
        <v>0</v>
      </c>
      <c r="R3953" s="2" t="inlineStr"/>
    </row>
    <row r="3954" ht="15" customHeight="1">
      <c r="A3954" t="inlineStr">
        <is>
          <t>A 36810-2021</t>
        </is>
      </c>
      <c r="B3954" s="1" t="n">
        <v>44392</v>
      </c>
      <c r="C3954" s="1" t="n">
        <v>45212</v>
      </c>
      <c r="D3954" t="inlineStr">
        <is>
          <t>VÄSTERNORRLANDS LÄN</t>
        </is>
      </c>
      <c r="E3954" t="inlineStr">
        <is>
          <t>HÄRNÖSAND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36755-2021</t>
        </is>
      </c>
      <c r="B3955" s="1" t="n">
        <v>44392</v>
      </c>
      <c r="C3955" s="1" t="n">
        <v>45212</v>
      </c>
      <c r="D3955" t="inlineStr">
        <is>
          <t>VÄSTERNORRLANDS LÄN</t>
        </is>
      </c>
      <c r="E3955" t="inlineStr">
        <is>
          <t>ÖRNSKÖLDSVIK</t>
        </is>
      </c>
      <c r="F3955" t="inlineStr">
        <is>
          <t>Holmen skog AB</t>
        </is>
      </c>
      <c r="G3955" t="n">
        <v>4.5</v>
      </c>
      <c r="H3955" t="n">
        <v>0</v>
      </c>
      <c r="I3955" t="n">
        <v>0</v>
      </c>
      <c r="J3955" t="n">
        <v>0</v>
      </c>
      <c r="K3955" t="n">
        <v>0</v>
      </c>
      <c r="L3955" t="n">
        <v>0</v>
      </c>
      <c r="M3955" t="n">
        <v>0</v>
      </c>
      <c r="N3955" t="n">
        <v>0</v>
      </c>
      <c r="O3955" t="n">
        <v>0</v>
      </c>
      <c r="P3955" t="n">
        <v>0</v>
      </c>
      <c r="Q3955" t="n">
        <v>0</v>
      </c>
      <c r="R3955" s="2" t="inlineStr"/>
    </row>
    <row r="3956" ht="15" customHeight="1">
      <c r="A3956" t="inlineStr">
        <is>
          <t>A 36809-2021</t>
        </is>
      </c>
      <c r="B3956" s="1" t="n">
        <v>44392</v>
      </c>
      <c r="C3956" s="1" t="n">
        <v>45212</v>
      </c>
      <c r="D3956" t="inlineStr">
        <is>
          <t>VÄSTERNORRLANDS LÄN</t>
        </is>
      </c>
      <c r="E3956" t="inlineStr">
        <is>
          <t>SUNDSVALL</t>
        </is>
      </c>
      <c r="G3956" t="n">
        <v>2</v>
      </c>
      <c r="H3956" t="n">
        <v>0</v>
      </c>
      <c r="I3956" t="n">
        <v>0</v>
      </c>
      <c r="J3956" t="n">
        <v>0</v>
      </c>
      <c r="K3956" t="n">
        <v>0</v>
      </c>
      <c r="L3956" t="n">
        <v>0</v>
      </c>
      <c r="M3956" t="n">
        <v>0</v>
      </c>
      <c r="N3956" t="n">
        <v>0</v>
      </c>
      <c r="O3956" t="n">
        <v>0</v>
      </c>
      <c r="P3956" t="n">
        <v>0</v>
      </c>
      <c r="Q3956" t="n">
        <v>0</v>
      </c>
      <c r="R3956" s="2" t="inlineStr"/>
    </row>
    <row r="3957" ht="15" customHeight="1">
      <c r="A3957" t="inlineStr">
        <is>
          <t>A 36987-2021</t>
        </is>
      </c>
      <c r="B3957" s="1" t="n">
        <v>44393</v>
      </c>
      <c r="C3957" s="1" t="n">
        <v>45212</v>
      </c>
      <c r="D3957" t="inlineStr">
        <is>
          <t>VÄSTERNORRLANDS LÄN</t>
        </is>
      </c>
      <c r="E3957" t="inlineStr">
        <is>
          <t>TIMRÅ</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37010-2021</t>
        </is>
      </c>
      <c r="B3958" s="1" t="n">
        <v>44393</v>
      </c>
      <c r="C3958" s="1" t="n">
        <v>45212</v>
      </c>
      <c r="D3958" t="inlineStr">
        <is>
          <t>VÄSTERNORRLANDS LÄN</t>
        </is>
      </c>
      <c r="E3958" t="inlineStr">
        <is>
          <t>ÅNGE</t>
        </is>
      </c>
      <c r="F3958" t="inlineStr">
        <is>
          <t>Kyrkan</t>
        </is>
      </c>
      <c r="G3958" t="n">
        <v>16.8</v>
      </c>
      <c r="H3958" t="n">
        <v>0</v>
      </c>
      <c r="I3958" t="n">
        <v>0</v>
      </c>
      <c r="J3958" t="n">
        <v>0</v>
      </c>
      <c r="K3958" t="n">
        <v>0</v>
      </c>
      <c r="L3958" t="n">
        <v>0</v>
      </c>
      <c r="M3958" t="n">
        <v>0</v>
      </c>
      <c r="N3958" t="n">
        <v>0</v>
      </c>
      <c r="O3958" t="n">
        <v>0</v>
      </c>
      <c r="P3958" t="n">
        <v>0</v>
      </c>
      <c r="Q3958" t="n">
        <v>0</v>
      </c>
      <c r="R3958" s="2" t="inlineStr"/>
    </row>
    <row r="3959" ht="15" customHeight="1">
      <c r="A3959" t="inlineStr">
        <is>
          <t>A 37043-2021</t>
        </is>
      </c>
      <c r="B3959" s="1" t="n">
        <v>44393</v>
      </c>
      <c r="C3959" s="1" t="n">
        <v>45212</v>
      </c>
      <c r="D3959" t="inlineStr">
        <is>
          <t>VÄSTERNORRLANDS LÄN</t>
        </is>
      </c>
      <c r="E3959" t="inlineStr">
        <is>
          <t>SOLLEFTEÅ</t>
        </is>
      </c>
      <c r="F3959" t="inlineStr">
        <is>
          <t>SCA</t>
        </is>
      </c>
      <c r="G3959" t="n">
        <v>2.9</v>
      </c>
      <c r="H3959" t="n">
        <v>0</v>
      </c>
      <c r="I3959" t="n">
        <v>0</v>
      </c>
      <c r="J3959" t="n">
        <v>0</v>
      </c>
      <c r="K3959" t="n">
        <v>0</v>
      </c>
      <c r="L3959" t="n">
        <v>0</v>
      </c>
      <c r="M3959" t="n">
        <v>0</v>
      </c>
      <c r="N3959" t="n">
        <v>0</v>
      </c>
      <c r="O3959" t="n">
        <v>0</v>
      </c>
      <c r="P3959" t="n">
        <v>0</v>
      </c>
      <c r="Q3959" t="n">
        <v>0</v>
      </c>
      <c r="R3959" s="2" t="inlineStr"/>
    </row>
    <row r="3960" ht="15" customHeight="1">
      <c r="A3960" t="inlineStr">
        <is>
          <t>A 37051-2021</t>
        </is>
      </c>
      <c r="B3960" s="1" t="n">
        <v>44393</v>
      </c>
      <c r="C3960" s="1" t="n">
        <v>45212</v>
      </c>
      <c r="D3960" t="inlineStr">
        <is>
          <t>VÄSTERNORRLANDS LÄN</t>
        </is>
      </c>
      <c r="E3960" t="inlineStr">
        <is>
          <t>ÅNGE</t>
        </is>
      </c>
      <c r="F3960" t="inlineStr">
        <is>
          <t>SCA</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37232-2021</t>
        </is>
      </c>
      <c r="B3961" s="1" t="n">
        <v>44396</v>
      </c>
      <c r="C3961" s="1" t="n">
        <v>45212</v>
      </c>
      <c r="D3961" t="inlineStr">
        <is>
          <t>VÄSTERNORRLANDS LÄN</t>
        </is>
      </c>
      <c r="E3961" t="inlineStr">
        <is>
          <t>SUNDSVALL</t>
        </is>
      </c>
      <c r="F3961" t="inlineStr">
        <is>
          <t>SCA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37231-2021</t>
        </is>
      </c>
      <c r="B3962" s="1" t="n">
        <v>44396</v>
      </c>
      <c r="C3962" s="1" t="n">
        <v>45212</v>
      </c>
      <c r="D3962" t="inlineStr">
        <is>
          <t>VÄSTERNORRLANDS LÄN</t>
        </is>
      </c>
      <c r="E3962" t="inlineStr">
        <is>
          <t>SUNDSVALL</t>
        </is>
      </c>
      <c r="F3962" t="inlineStr">
        <is>
          <t>SCA</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37382-2021</t>
        </is>
      </c>
      <c r="B3963" s="1" t="n">
        <v>44397</v>
      </c>
      <c r="C3963" s="1" t="n">
        <v>45212</v>
      </c>
      <c r="D3963" t="inlineStr">
        <is>
          <t>VÄSTERNORRLANDS LÄN</t>
        </is>
      </c>
      <c r="E3963" t="inlineStr">
        <is>
          <t>ÅNGE</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37369-2021</t>
        </is>
      </c>
      <c r="B3964" s="1" t="n">
        <v>44397</v>
      </c>
      <c r="C3964" s="1" t="n">
        <v>45212</v>
      </c>
      <c r="D3964" t="inlineStr">
        <is>
          <t>VÄSTERNORRLANDS LÄN</t>
        </is>
      </c>
      <c r="E3964" t="inlineStr">
        <is>
          <t>SOLLEFTEÅ</t>
        </is>
      </c>
      <c r="F3964" t="inlineStr">
        <is>
          <t>SCA</t>
        </is>
      </c>
      <c r="G3964" t="n">
        <v>20.3</v>
      </c>
      <c r="H3964" t="n">
        <v>0</v>
      </c>
      <c r="I3964" t="n">
        <v>0</v>
      </c>
      <c r="J3964" t="n">
        <v>0</v>
      </c>
      <c r="K3964" t="n">
        <v>0</v>
      </c>
      <c r="L3964" t="n">
        <v>0</v>
      </c>
      <c r="M3964" t="n">
        <v>0</v>
      </c>
      <c r="N3964" t="n">
        <v>0</v>
      </c>
      <c r="O3964" t="n">
        <v>0</v>
      </c>
      <c r="P3964" t="n">
        <v>0</v>
      </c>
      <c r="Q3964" t="n">
        <v>0</v>
      </c>
      <c r="R3964" s="2" t="inlineStr"/>
    </row>
    <row r="3965" ht="15" customHeight="1">
      <c r="A3965" t="inlineStr">
        <is>
          <t>A 37618-2021</t>
        </is>
      </c>
      <c r="B3965" s="1" t="n">
        <v>44399</v>
      </c>
      <c r="C3965" s="1" t="n">
        <v>45212</v>
      </c>
      <c r="D3965" t="inlineStr">
        <is>
          <t>VÄSTERNORRLANDS LÄN</t>
        </is>
      </c>
      <c r="E3965" t="inlineStr">
        <is>
          <t>ÖRNSKÖLDSVIK</t>
        </is>
      </c>
      <c r="G3965" t="n">
        <v>7.1</v>
      </c>
      <c r="H3965" t="n">
        <v>0</v>
      </c>
      <c r="I3965" t="n">
        <v>0</v>
      </c>
      <c r="J3965" t="n">
        <v>0</v>
      </c>
      <c r="K3965" t="n">
        <v>0</v>
      </c>
      <c r="L3965" t="n">
        <v>0</v>
      </c>
      <c r="M3965" t="n">
        <v>0</v>
      </c>
      <c r="N3965" t="n">
        <v>0</v>
      </c>
      <c r="O3965" t="n">
        <v>0</v>
      </c>
      <c r="P3965" t="n">
        <v>0</v>
      </c>
      <c r="Q3965" t="n">
        <v>0</v>
      </c>
      <c r="R3965" s="2" t="inlineStr"/>
    </row>
    <row r="3966" ht="15" customHeight="1">
      <c r="A3966" t="inlineStr">
        <is>
          <t>A 37611-2021</t>
        </is>
      </c>
      <c r="B3966" s="1" t="n">
        <v>44399</v>
      </c>
      <c r="C3966" s="1" t="n">
        <v>45212</v>
      </c>
      <c r="D3966" t="inlineStr">
        <is>
          <t>VÄSTERNORRLANDS LÄN</t>
        </is>
      </c>
      <c r="E3966" t="inlineStr">
        <is>
          <t>SUNDSVALL</t>
        </is>
      </c>
      <c r="F3966" t="inlineStr">
        <is>
          <t>SCA</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37620-2021</t>
        </is>
      </c>
      <c r="B3967" s="1" t="n">
        <v>44399</v>
      </c>
      <c r="C3967" s="1" t="n">
        <v>45212</v>
      </c>
      <c r="D3967" t="inlineStr">
        <is>
          <t>VÄSTERNORRLANDS LÄN</t>
        </is>
      </c>
      <c r="E3967" t="inlineStr">
        <is>
          <t>ÅNGE</t>
        </is>
      </c>
      <c r="G3967" t="n">
        <v>4.3</v>
      </c>
      <c r="H3967" t="n">
        <v>0</v>
      </c>
      <c r="I3967" t="n">
        <v>0</v>
      </c>
      <c r="J3967" t="n">
        <v>0</v>
      </c>
      <c r="K3967" t="n">
        <v>0</v>
      </c>
      <c r="L3967" t="n">
        <v>0</v>
      </c>
      <c r="M3967" t="n">
        <v>0</v>
      </c>
      <c r="N3967" t="n">
        <v>0</v>
      </c>
      <c r="O3967" t="n">
        <v>0</v>
      </c>
      <c r="P3967" t="n">
        <v>0</v>
      </c>
      <c r="Q3967" t="n">
        <v>0</v>
      </c>
      <c r="R3967" s="2" t="inlineStr"/>
    </row>
    <row r="3968" ht="15" customHeight="1">
      <c r="A3968" t="inlineStr">
        <is>
          <t>A 37605-2021</t>
        </is>
      </c>
      <c r="B3968" s="1" t="n">
        <v>44399</v>
      </c>
      <c r="C3968" s="1" t="n">
        <v>45212</v>
      </c>
      <c r="D3968" t="inlineStr">
        <is>
          <t>VÄSTERNORRLANDS LÄN</t>
        </is>
      </c>
      <c r="E3968" t="inlineStr">
        <is>
          <t>ÅNGE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37621-2021</t>
        </is>
      </c>
      <c r="B3969" s="1" t="n">
        <v>44399</v>
      </c>
      <c r="C3969" s="1" t="n">
        <v>45212</v>
      </c>
      <c r="D3969" t="inlineStr">
        <is>
          <t>VÄSTERNORRLANDS LÄN</t>
        </is>
      </c>
      <c r="E3969" t="inlineStr">
        <is>
          <t>ÅNGE</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37600-2021</t>
        </is>
      </c>
      <c r="B3970" s="1" t="n">
        <v>44399</v>
      </c>
      <c r="C3970" s="1" t="n">
        <v>45212</v>
      </c>
      <c r="D3970" t="inlineStr">
        <is>
          <t>VÄSTERNORRLANDS LÄN</t>
        </is>
      </c>
      <c r="E3970" t="inlineStr">
        <is>
          <t>ÖRNSKÖLDSVIK</t>
        </is>
      </c>
      <c r="F3970" t="inlineStr">
        <is>
          <t>Holmen skog AB</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37617-2021</t>
        </is>
      </c>
      <c r="B3971" s="1" t="n">
        <v>44399</v>
      </c>
      <c r="C3971" s="1" t="n">
        <v>45212</v>
      </c>
      <c r="D3971" t="inlineStr">
        <is>
          <t>VÄSTERNORRLANDS LÄN</t>
        </is>
      </c>
      <c r="E3971" t="inlineStr">
        <is>
          <t>SUNDSVALL</t>
        </is>
      </c>
      <c r="G3971" t="n">
        <v>6.8</v>
      </c>
      <c r="H3971" t="n">
        <v>0</v>
      </c>
      <c r="I3971" t="n">
        <v>0</v>
      </c>
      <c r="J3971" t="n">
        <v>0</v>
      </c>
      <c r="K3971" t="n">
        <v>0</v>
      </c>
      <c r="L3971" t="n">
        <v>0</v>
      </c>
      <c r="M3971" t="n">
        <v>0</v>
      </c>
      <c r="N3971" t="n">
        <v>0</v>
      </c>
      <c r="O3971" t="n">
        <v>0</v>
      </c>
      <c r="P3971" t="n">
        <v>0</v>
      </c>
      <c r="Q3971" t="n">
        <v>0</v>
      </c>
      <c r="R3971" s="2" t="inlineStr"/>
    </row>
    <row r="3972" ht="15" customHeight="1">
      <c r="A3972" t="inlineStr">
        <is>
          <t>A 37624-2021</t>
        </is>
      </c>
      <c r="B3972" s="1" t="n">
        <v>44399</v>
      </c>
      <c r="C3972" s="1" t="n">
        <v>45212</v>
      </c>
      <c r="D3972" t="inlineStr">
        <is>
          <t>VÄSTERNORRLANDS LÄN</t>
        </is>
      </c>
      <c r="E3972" t="inlineStr">
        <is>
          <t>ÅNGE</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37634-2021</t>
        </is>
      </c>
      <c r="B3973" s="1" t="n">
        <v>44400</v>
      </c>
      <c r="C3973" s="1" t="n">
        <v>45212</v>
      </c>
      <c r="D3973" t="inlineStr">
        <is>
          <t>VÄSTERNORRLANDS LÄN</t>
        </is>
      </c>
      <c r="E3973" t="inlineStr">
        <is>
          <t>SOLLEFTEÅ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37718-2021</t>
        </is>
      </c>
      <c r="B3974" s="1" t="n">
        <v>44400</v>
      </c>
      <c r="C3974" s="1" t="n">
        <v>45212</v>
      </c>
      <c r="D3974" t="inlineStr">
        <is>
          <t>VÄSTERNORRLANDS LÄN</t>
        </is>
      </c>
      <c r="E3974" t="inlineStr">
        <is>
          <t>SUNDSVALL</t>
        </is>
      </c>
      <c r="G3974" t="n">
        <v>7.2</v>
      </c>
      <c r="H3974" t="n">
        <v>0</v>
      </c>
      <c r="I3974" t="n">
        <v>0</v>
      </c>
      <c r="J3974" t="n">
        <v>0</v>
      </c>
      <c r="K3974" t="n">
        <v>0</v>
      </c>
      <c r="L3974" t="n">
        <v>0</v>
      </c>
      <c r="M3974" t="n">
        <v>0</v>
      </c>
      <c r="N3974" t="n">
        <v>0</v>
      </c>
      <c r="O3974" t="n">
        <v>0</v>
      </c>
      <c r="P3974" t="n">
        <v>0</v>
      </c>
      <c r="Q3974" t="n">
        <v>0</v>
      </c>
      <c r="R3974" s="2" t="inlineStr"/>
    </row>
    <row r="3975" ht="15" customHeight="1">
      <c r="A3975" t="inlineStr">
        <is>
          <t>A 37708-2021</t>
        </is>
      </c>
      <c r="B3975" s="1" t="n">
        <v>44400</v>
      </c>
      <c r="C3975" s="1" t="n">
        <v>45212</v>
      </c>
      <c r="D3975" t="inlineStr">
        <is>
          <t>VÄSTERNORRLANDS LÄN</t>
        </is>
      </c>
      <c r="E3975" t="inlineStr">
        <is>
          <t>SUNDSVALL</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37714-2021</t>
        </is>
      </c>
      <c r="B3976" s="1" t="n">
        <v>44400</v>
      </c>
      <c r="C3976" s="1" t="n">
        <v>45212</v>
      </c>
      <c r="D3976" t="inlineStr">
        <is>
          <t>VÄSTERNORRLANDS LÄN</t>
        </is>
      </c>
      <c r="E3976" t="inlineStr">
        <is>
          <t>ÖRNSKÖLDSVIK</t>
        </is>
      </c>
      <c r="F3976" t="inlineStr">
        <is>
          <t>Holmen skog AB</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37639-2021</t>
        </is>
      </c>
      <c r="B3977" s="1" t="n">
        <v>44400</v>
      </c>
      <c r="C3977" s="1" t="n">
        <v>45212</v>
      </c>
      <c r="D3977" t="inlineStr">
        <is>
          <t>VÄSTERNORRLANDS LÄN</t>
        </is>
      </c>
      <c r="E3977" t="inlineStr">
        <is>
          <t>SOLLEFTEÅ</t>
        </is>
      </c>
      <c r="G3977" t="n">
        <v>10.7</v>
      </c>
      <c r="H3977" t="n">
        <v>0</v>
      </c>
      <c r="I3977" t="n">
        <v>0</v>
      </c>
      <c r="J3977" t="n">
        <v>0</v>
      </c>
      <c r="K3977" t="n">
        <v>0</v>
      </c>
      <c r="L3977" t="n">
        <v>0</v>
      </c>
      <c r="M3977" t="n">
        <v>0</v>
      </c>
      <c r="N3977" t="n">
        <v>0</v>
      </c>
      <c r="O3977" t="n">
        <v>0</v>
      </c>
      <c r="P3977" t="n">
        <v>0</v>
      </c>
      <c r="Q3977" t="n">
        <v>0</v>
      </c>
      <c r="R3977" s="2" t="inlineStr"/>
    </row>
    <row r="3978" ht="15" customHeight="1">
      <c r="A3978" t="inlineStr">
        <is>
          <t>A 37648-2021</t>
        </is>
      </c>
      <c r="B3978" s="1" t="n">
        <v>44400</v>
      </c>
      <c r="C3978" s="1" t="n">
        <v>45212</v>
      </c>
      <c r="D3978" t="inlineStr">
        <is>
          <t>VÄSTERNORRLANDS LÄN</t>
        </is>
      </c>
      <c r="E3978" t="inlineStr">
        <is>
          <t>SOLLEFTEÅ</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37704-2021</t>
        </is>
      </c>
      <c r="B3979" s="1" t="n">
        <v>44400</v>
      </c>
      <c r="C3979" s="1" t="n">
        <v>45212</v>
      </c>
      <c r="D3979" t="inlineStr">
        <is>
          <t>VÄSTERNORRLANDS LÄN</t>
        </is>
      </c>
      <c r="E3979" t="inlineStr">
        <is>
          <t>SUNDSVALL</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37912-2021</t>
        </is>
      </c>
      <c r="B3980" s="1" t="n">
        <v>44403</v>
      </c>
      <c r="C3980" s="1" t="n">
        <v>45212</v>
      </c>
      <c r="D3980" t="inlineStr">
        <is>
          <t>VÄSTERNORRLANDS LÄN</t>
        </is>
      </c>
      <c r="E3980" t="inlineStr">
        <is>
          <t>ÖRNSKÖLDSVIK</t>
        </is>
      </c>
      <c r="F3980" t="inlineStr">
        <is>
          <t>Holmen skog AB</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38087-2021</t>
        </is>
      </c>
      <c r="B3981" s="1" t="n">
        <v>44404</v>
      </c>
      <c r="C3981" s="1" t="n">
        <v>45212</v>
      </c>
      <c r="D3981" t="inlineStr">
        <is>
          <t>VÄSTERNORRLANDS LÄN</t>
        </is>
      </c>
      <c r="E3981" t="inlineStr">
        <is>
          <t>ÖRNSKÖLDSVIK</t>
        </is>
      </c>
      <c r="G3981" t="n">
        <v>5.3</v>
      </c>
      <c r="H3981" t="n">
        <v>0</v>
      </c>
      <c r="I3981" t="n">
        <v>0</v>
      </c>
      <c r="J3981" t="n">
        <v>0</v>
      </c>
      <c r="K3981" t="n">
        <v>0</v>
      </c>
      <c r="L3981" t="n">
        <v>0</v>
      </c>
      <c r="M3981" t="n">
        <v>0</v>
      </c>
      <c r="N3981" t="n">
        <v>0</v>
      </c>
      <c r="O3981" t="n">
        <v>0</v>
      </c>
      <c r="P3981" t="n">
        <v>0</v>
      </c>
      <c r="Q3981" t="n">
        <v>0</v>
      </c>
      <c r="R3981" s="2" t="inlineStr"/>
    </row>
    <row r="3982" ht="15" customHeight="1">
      <c r="A3982" t="inlineStr">
        <is>
          <t>A 37998-2021</t>
        </is>
      </c>
      <c r="B3982" s="1" t="n">
        <v>44404</v>
      </c>
      <c r="C3982" s="1" t="n">
        <v>45212</v>
      </c>
      <c r="D3982" t="inlineStr">
        <is>
          <t>VÄSTERNORRLANDS LÄN</t>
        </is>
      </c>
      <c r="E3982" t="inlineStr">
        <is>
          <t>HÄRNÖSAND</t>
        </is>
      </c>
      <c r="G3982" t="n">
        <v>4</v>
      </c>
      <c r="H3982" t="n">
        <v>0</v>
      </c>
      <c r="I3982" t="n">
        <v>0</v>
      </c>
      <c r="J3982" t="n">
        <v>0</v>
      </c>
      <c r="K3982" t="n">
        <v>0</v>
      </c>
      <c r="L3982" t="n">
        <v>0</v>
      </c>
      <c r="M3982" t="n">
        <v>0</v>
      </c>
      <c r="N3982" t="n">
        <v>0</v>
      </c>
      <c r="O3982" t="n">
        <v>0</v>
      </c>
      <c r="P3982" t="n">
        <v>0</v>
      </c>
      <c r="Q3982" t="n">
        <v>0</v>
      </c>
      <c r="R3982" s="2" t="inlineStr"/>
    </row>
    <row r="3983" ht="15" customHeight="1">
      <c r="A3983" t="inlineStr">
        <is>
          <t>A 38283-2021</t>
        </is>
      </c>
      <c r="B3983" s="1" t="n">
        <v>44405</v>
      </c>
      <c r="C3983" s="1" t="n">
        <v>45212</v>
      </c>
      <c r="D3983" t="inlineStr">
        <is>
          <t>VÄSTERNORRLANDS LÄN</t>
        </is>
      </c>
      <c r="E3983" t="inlineStr">
        <is>
          <t>SOLLEFTEÅ</t>
        </is>
      </c>
      <c r="F3983" t="inlineStr">
        <is>
          <t>SCA</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38306-2021</t>
        </is>
      </c>
      <c r="B3984" s="1" t="n">
        <v>44406</v>
      </c>
      <c r="C3984" s="1" t="n">
        <v>45212</v>
      </c>
      <c r="D3984" t="inlineStr">
        <is>
          <t>VÄSTERNORRLANDS LÄN</t>
        </is>
      </c>
      <c r="E3984" t="inlineStr">
        <is>
          <t>SUNDSVALL</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38350-2021</t>
        </is>
      </c>
      <c r="B3985" s="1" t="n">
        <v>44406</v>
      </c>
      <c r="C3985" s="1" t="n">
        <v>45212</v>
      </c>
      <c r="D3985" t="inlineStr">
        <is>
          <t>VÄSTERNORRLANDS LÄN</t>
        </is>
      </c>
      <c r="E3985" t="inlineStr">
        <is>
          <t>ÖRNSKÖLDSVIK</t>
        </is>
      </c>
      <c r="F3985" t="inlineStr">
        <is>
          <t>Holmen skog AB</t>
        </is>
      </c>
      <c r="G3985" t="n">
        <v>4.2</v>
      </c>
      <c r="H3985" t="n">
        <v>0</v>
      </c>
      <c r="I3985" t="n">
        <v>0</v>
      </c>
      <c r="J3985" t="n">
        <v>0</v>
      </c>
      <c r="K3985" t="n">
        <v>0</v>
      </c>
      <c r="L3985" t="n">
        <v>0</v>
      </c>
      <c r="M3985" t="n">
        <v>0</v>
      </c>
      <c r="N3985" t="n">
        <v>0</v>
      </c>
      <c r="O3985" t="n">
        <v>0</v>
      </c>
      <c r="P3985" t="n">
        <v>0</v>
      </c>
      <c r="Q3985" t="n">
        <v>0</v>
      </c>
      <c r="R3985" s="2" t="inlineStr"/>
    </row>
    <row r="3986" ht="15" customHeight="1">
      <c r="A3986" t="inlineStr">
        <is>
          <t>A 38369-2021</t>
        </is>
      </c>
      <c r="B3986" s="1" t="n">
        <v>44406</v>
      </c>
      <c r="C3986" s="1" t="n">
        <v>45212</v>
      </c>
      <c r="D3986" t="inlineStr">
        <is>
          <t>VÄSTERNORRLANDS LÄN</t>
        </is>
      </c>
      <c r="E3986" t="inlineStr">
        <is>
          <t>ÅNGE</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38432-2021</t>
        </is>
      </c>
      <c r="B3987" s="1" t="n">
        <v>44406</v>
      </c>
      <c r="C3987" s="1" t="n">
        <v>45212</v>
      </c>
      <c r="D3987" t="inlineStr">
        <is>
          <t>VÄSTERNORRLANDS LÄN</t>
        </is>
      </c>
      <c r="E3987" t="inlineStr">
        <is>
          <t>ÅNGE</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38809-2021</t>
        </is>
      </c>
      <c r="B3988" s="1" t="n">
        <v>44410</v>
      </c>
      <c r="C3988" s="1" t="n">
        <v>45212</v>
      </c>
      <c r="D3988" t="inlineStr">
        <is>
          <t>VÄSTERNORRLANDS LÄN</t>
        </is>
      </c>
      <c r="E3988" t="inlineStr">
        <is>
          <t>ÖRNSKÖLDSVIK</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38960-2021</t>
        </is>
      </c>
      <c r="B3989" s="1" t="n">
        <v>44411</v>
      </c>
      <c r="C3989" s="1" t="n">
        <v>45212</v>
      </c>
      <c r="D3989" t="inlineStr">
        <is>
          <t>VÄSTERNORRLANDS LÄN</t>
        </is>
      </c>
      <c r="E3989" t="inlineStr">
        <is>
          <t>ÅNGE</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39169-2021</t>
        </is>
      </c>
      <c r="B3990" s="1" t="n">
        <v>44412</v>
      </c>
      <c r="C3990" s="1" t="n">
        <v>45212</v>
      </c>
      <c r="D3990" t="inlineStr">
        <is>
          <t>VÄSTERNORRLANDS LÄN</t>
        </is>
      </c>
      <c r="E3990" t="inlineStr">
        <is>
          <t>SUNDSVALL</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39041-2021</t>
        </is>
      </c>
      <c r="B3991" s="1" t="n">
        <v>44412</v>
      </c>
      <c r="C3991" s="1" t="n">
        <v>45212</v>
      </c>
      <c r="D3991" t="inlineStr">
        <is>
          <t>VÄSTERNORRLANDS LÄN</t>
        </is>
      </c>
      <c r="E3991" t="inlineStr">
        <is>
          <t>ÖRNSKÖLDSVIK</t>
        </is>
      </c>
      <c r="F3991" t="inlineStr">
        <is>
          <t>Holmen skog AB</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39594-2021</t>
        </is>
      </c>
      <c r="B3992" s="1" t="n">
        <v>44413</v>
      </c>
      <c r="C3992" s="1" t="n">
        <v>45212</v>
      </c>
      <c r="D3992" t="inlineStr">
        <is>
          <t>VÄSTERNORRLANDS LÄN</t>
        </is>
      </c>
      <c r="E3992" t="inlineStr">
        <is>
          <t>SOLLEFTEÅ</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39502-2021</t>
        </is>
      </c>
      <c r="B3993" s="1" t="n">
        <v>44414</v>
      </c>
      <c r="C3993" s="1" t="n">
        <v>45212</v>
      </c>
      <c r="D3993" t="inlineStr">
        <is>
          <t>VÄSTERNORRLANDS LÄN</t>
        </is>
      </c>
      <c r="E3993" t="inlineStr">
        <is>
          <t>SUNDSVALL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39676-2021</t>
        </is>
      </c>
      <c r="B3994" s="1" t="n">
        <v>44414</v>
      </c>
      <c r="C3994" s="1" t="n">
        <v>45212</v>
      </c>
      <c r="D3994" t="inlineStr">
        <is>
          <t>VÄSTERNORRLANDS LÄN</t>
        </is>
      </c>
      <c r="E3994" t="inlineStr">
        <is>
          <t>SUNDSVALL</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39503-2021</t>
        </is>
      </c>
      <c r="B3995" s="1" t="n">
        <v>44414</v>
      </c>
      <c r="C3995" s="1" t="n">
        <v>45212</v>
      </c>
      <c r="D3995" t="inlineStr">
        <is>
          <t>VÄSTERNORRLANDS LÄN</t>
        </is>
      </c>
      <c r="E3995" t="inlineStr">
        <is>
          <t>SUNDSVALL</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39821-2021</t>
        </is>
      </c>
      <c r="B3996" s="1" t="n">
        <v>44417</v>
      </c>
      <c r="C3996" s="1" t="n">
        <v>45212</v>
      </c>
      <c r="D3996" t="inlineStr">
        <is>
          <t>VÄSTERNORRLANDS LÄN</t>
        </is>
      </c>
      <c r="E3996" t="inlineStr">
        <is>
          <t>TIMRÅ</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39929-2021</t>
        </is>
      </c>
      <c r="B3997" s="1" t="n">
        <v>44417</v>
      </c>
      <c r="C3997" s="1" t="n">
        <v>45212</v>
      </c>
      <c r="D3997" t="inlineStr">
        <is>
          <t>VÄSTERNORRLANDS LÄN</t>
        </is>
      </c>
      <c r="E3997" t="inlineStr">
        <is>
          <t>SUNDSVALL</t>
        </is>
      </c>
      <c r="F3997" t="inlineStr">
        <is>
          <t>SCA</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39585-2021</t>
        </is>
      </c>
      <c r="B3998" s="1" t="n">
        <v>44417</v>
      </c>
      <c r="C3998" s="1" t="n">
        <v>45212</v>
      </c>
      <c r="D3998" t="inlineStr">
        <is>
          <t>VÄSTERNORRLANDS LÄN</t>
        </is>
      </c>
      <c r="E3998" t="inlineStr">
        <is>
          <t>ÖRNSKÖLDSVIK</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39744-2021</t>
        </is>
      </c>
      <c r="B3999" s="1" t="n">
        <v>44417</v>
      </c>
      <c r="C3999" s="1" t="n">
        <v>45212</v>
      </c>
      <c r="D3999" t="inlineStr">
        <is>
          <t>VÄSTERNORRLANDS LÄN</t>
        </is>
      </c>
      <c r="E3999" t="inlineStr">
        <is>
          <t>ÅNGE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39779-2021</t>
        </is>
      </c>
      <c r="B4000" s="1" t="n">
        <v>44417</v>
      </c>
      <c r="C4000" s="1" t="n">
        <v>45212</v>
      </c>
      <c r="D4000" t="inlineStr">
        <is>
          <t>VÄSTERNORRLANDS LÄN</t>
        </is>
      </c>
      <c r="E4000" t="inlineStr">
        <is>
          <t>ÖRNSKÖLDSVIK</t>
        </is>
      </c>
      <c r="F4000" t="inlineStr">
        <is>
          <t>Holmen skog AB</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39879-2021</t>
        </is>
      </c>
      <c r="B4001" s="1" t="n">
        <v>44417</v>
      </c>
      <c r="C4001" s="1" t="n">
        <v>45212</v>
      </c>
      <c r="D4001" t="inlineStr">
        <is>
          <t>VÄSTERNORRLANDS LÄN</t>
        </is>
      </c>
      <c r="E4001" t="inlineStr">
        <is>
          <t>ÖRNSKÖLDSVIK</t>
        </is>
      </c>
      <c r="F4001" t="inlineStr">
        <is>
          <t>Holmen skog AB</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39933-2021</t>
        </is>
      </c>
      <c r="B4002" s="1" t="n">
        <v>44417</v>
      </c>
      <c r="C4002" s="1" t="n">
        <v>45212</v>
      </c>
      <c r="D4002" t="inlineStr">
        <is>
          <t>VÄSTERNORRLANDS LÄN</t>
        </is>
      </c>
      <c r="E4002" t="inlineStr">
        <is>
          <t>SUNDSVALL</t>
        </is>
      </c>
      <c r="F4002" t="inlineStr">
        <is>
          <t>SCA</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40111-2021</t>
        </is>
      </c>
      <c r="B4003" s="1" t="n">
        <v>44418</v>
      </c>
      <c r="C4003" s="1" t="n">
        <v>45212</v>
      </c>
      <c r="D4003" t="inlineStr">
        <is>
          <t>VÄSTERNORRLANDS LÄN</t>
        </is>
      </c>
      <c r="E4003" t="inlineStr">
        <is>
          <t>ÖRNSKÖLDSVIK</t>
        </is>
      </c>
      <c r="F4003" t="inlineStr">
        <is>
          <t>Holmen skog AB</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40049-2021</t>
        </is>
      </c>
      <c r="B4004" s="1" t="n">
        <v>44418</v>
      </c>
      <c r="C4004" s="1" t="n">
        <v>45212</v>
      </c>
      <c r="D4004" t="inlineStr">
        <is>
          <t>VÄSTERNORRLANDS LÄN</t>
        </is>
      </c>
      <c r="E4004" t="inlineStr">
        <is>
          <t>ÖRNSKÖLDSVIK</t>
        </is>
      </c>
      <c r="G4004" t="n">
        <v>5.1</v>
      </c>
      <c r="H4004" t="n">
        <v>0</v>
      </c>
      <c r="I4004" t="n">
        <v>0</v>
      </c>
      <c r="J4004" t="n">
        <v>0</v>
      </c>
      <c r="K4004" t="n">
        <v>0</v>
      </c>
      <c r="L4004" t="n">
        <v>0</v>
      </c>
      <c r="M4004" t="n">
        <v>0</v>
      </c>
      <c r="N4004" t="n">
        <v>0</v>
      </c>
      <c r="O4004" t="n">
        <v>0</v>
      </c>
      <c r="P4004" t="n">
        <v>0</v>
      </c>
      <c r="Q4004" t="n">
        <v>0</v>
      </c>
      <c r="R4004" s="2" t="inlineStr"/>
    </row>
    <row r="4005" ht="15" customHeight="1">
      <c r="A4005" t="inlineStr">
        <is>
          <t>A 40119-2021</t>
        </is>
      </c>
      <c r="B4005" s="1" t="n">
        <v>44418</v>
      </c>
      <c r="C4005" s="1" t="n">
        <v>45212</v>
      </c>
      <c r="D4005" t="inlineStr">
        <is>
          <t>VÄSTERNORRLANDS LÄN</t>
        </is>
      </c>
      <c r="E4005" t="inlineStr">
        <is>
          <t>ÖRNSKÖLDSVIK</t>
        </is>
      </c>
      <c r="F4005" t="inlineStr">
        <is>
          <t>Holmen skog AB</t>
        </is>
      </c>
      <c r="G4005" t="n">
        <v>5.2</v>
      </c>
      <c r="H4005" t="n">
        <v>0</v>
      </c>
      <c r="I4005" t="n">
        <v>0</v>
      </c>
      <c r="J4005" t="n">
        <v>0</v>
      </c>
      <c r="K4005" t="n">
        <v>0</v>
      </c>
      <c r="L4005" t="n">
        <v>0</v>
      </c>
      <c r="M4005" t="n">
        <v>0</v>
      </c>
      <c r="N4005" t="n">
        <v>0</v>
      </c>
      <c r="O4005" t="n">
        <v>0</v>
      </c>
      <c r="P4005" t="n">
        <v>0</v>
      </c>
      <c r="Q4005" t="n">
        <v>0</v>
      </c>
      <c r="R4005" s="2" t="inlineStr"/>
    </row>
    <row r="4006" ht="15" customHeight="1">
      <c r="A4006" t="inlineStr">
        <is>
          <t>A 40244-2021</t>
        </is>
      </c>
      <c r="B4006" s="1" t="n">
        <v>44419</v>
      </c>
      <c r="C4006" s="1" t="n">
        <v>45212</v>
      </c>
      <c r="D4006" t="inlineStr">
        <is>
          <t>VÄSTERNORRLANDS LÄN</t>
        </is>
      </c>
      <c r="E4006" t="inlineStr">
        <is>
          <t>ÖRNSKÖLDSVIK</t>
        </is>
      </c>
      <c r="F4006" t="inlineStr">
        <is>
          <t>Holmen skog AB</t>
        </is>
      </c>
      <c r="G4006" t="n">
        <v>3.8</v>
      </c>
      <c r="H4006" t="n">
        <v>0</v>
      </c>
      <c r="I4006" t="n">
        <v>0</v>
      </c>
      <c r="J4006" t="n">
        <v>0</v>
      </c>
      <c r="K4006" t="n">
        <v>0</v>
      </c>
      <c r="L4006" t="n">
        <v>0</v>
      </c>
      <c r="M4006" t="n">
        <v>0</v>
      </c>
      <c r="N4006" t="n">
        <v>0</v>
      </c>
      <c r="O4006" t="n">
        <v>0</v>
      </c>
      <c r="P4006" t="n">
        <v>0</v>
      </c>
      <c r="Q4006" t="n">
        <v>0</v>
      </c>
      <c r="R4006" s="2" t="inlineStr"/>
    </row>
    <row r="4007" ht="15" customHeight="1">
      <c r="A4007" t="inlineStr">
        <is>
          <t>A 40247-2021</t>
        </is>
      </c>
      <c r="B4007" s="1" t="n">
        <v>44419</v>
      </c>
      <c r="C4007" s="1" t="n">
        <v>45212</v>
      </c>
      <c r="D4007" t="inlineStr">
        <is>
          <t>VÄSTERNORRLANDS LÄN</t>
        </is>
      </c>
      <c r="E4007" t="inlineStr">
        <is>
          <t>ÖRNSKÖLDSVIK</t>
        </is>
      </c>
      <c r="G4007" t="n">
        <v>6.1</v>
      </c>
      <c r="H4007" t="n">
        <v>0</v>
      </c>
      <c r="I4007" t="n">
        <v>0</v>
      </c>
      <c r="J4007" t="n">
        <v>0</v>
      </c>
      <c r="K4007" t="n">
        <v>0</v>
      </c>
      <c r="L4007" t="n">
        <v>0</v>
      </c>
      <c r="M4007" t="n">
        <v>0</v>
      </c>
      <c r="N4007" t="n">
        <v>0</v>
      </c>
      <c r="O4007" t="n">
        <v>0</v>
      </c>
      <c r="P4007" t="n">
        <v>0</v>
      </c>
      <c r="Q4007" t="n">
        <v>0</v>
      </c>
      <c r="R4007" s="2" t="inlineStr"/>
    </row>
    <row r="4008" ht="15" customHeight="1">
      <c r="A4008" t="inlineStr">
        <is>
          <t>A 40519-2021</t>
        </is>
      </c>
      <c r="B4008" s="1" t="n">
        <v>44420</v>
      </c>
      <c r="C4008" s="1" t="n">
        <v>45212</v>
      </c>
      <c r="D4008" t="inlineStr">
        <is>
          <t>VÄSTERNORRLANDS LÄN</t>
        </is>
      </c>
      <c r="E4008" t="inlineStr">
        <is>
          <t>TIMRÅ</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40534-2021</t>
        </is>
      </c>
      <c r="B4009" s="1" t="n">
        <v>44420</v>
      </c>
      <c r="C4009" s="1" t="n">
        <v>45212</v>
      </c>
      <c r="D4009" t="inlineStr">
        <is>
          <t>VÄSTERNORRLANDS LÄN</t>
        </is>
      </c>
      <c r="E4009" t="inlineStr">
        <is>
          <t>SUNDSVALL</t>
        </is>
      </c>
      <c r="F4009" t="inlineStr">
        <is>
          <t>Holmen skog AB</t>
        </is>
      </c>
      <c r="G4009" t="n">
        <v>6.8</v>
      </c>
      <c r="H4009" t="n">
        <v>0</v>
      </c>
      <c r="I4009" t="n">
        <v>0</v>
      </c>
      <c r="J4009" t="n">
        <v>0</v>
      </c>
      <c r="K4009" t="n">
        <v>0</v>
      </c>
      <c r="L4009" t="n">
        <v>0</v>
      </c>
      <c r="M4009" t="n">
        <v>0</v>
      </c>
      <c r="N4009" t="n">
        <v>0</v>
      </c>
      <c r="O4009" t="n">
        <v>0</v>
      </c>
      <c r="P4009" t="n">
        <v>0</v>
      </c>
      <c r="Q4009" t="n">
        <v>0</v>
      </c>
      <c r="R4009" s="2" t="inlineStr"/>
    </row>
    <row r="4010" ht="15" customHeight="1">
      <c r="A4010" t="inlineStr">
        <is>
          <t>A 40539-2021</t>
        </is>
      </c>
      <c r="B4010" s="1" t="n">
        <v>44420</v>
      </c>
      <c r="C4010" s="1" t="n">
        <v>45212</v>
      </c>
      <c r="D4010" t="inlineStr">
        <is>
          <t>VÄSTERNORRLANDS LÄN</t>
        </is>
      </c>
      <c r="E4010" t="inlineStr">
        <is>
          <t>SOLLEFTEÅ</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40572-2021</t>
        </is>
      </c>
      <c r="B4011" s="1" t="n">
        <v>44420</v>
      </c>
      <c r="C4011" s="1" t="n">
        <v>45212</v>
      </c>
      <c r="D4011" t="inlineStr">
        <is>
          <t>VÄSTERNORRLANDS LÄN</t>
        </is>
      </c>
      <c r="E4011" t="inlineStr">
        <is>
          <t>ÖRNSKÖLDSVIK</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41166-2021</t>
        </is>
      </c>
      <c r="B4012" s="1" t="n">
        <v>44421</v>
      </c>
      <c r="C4012" s="1" t="n">
        <v>45212</v>
      </c>
      <c r="D4012" t="inlineStr">
        <is>
          <t>VÄSTERNORRLANDS LÄN</t>
        </is>
      </c>
      <c r="E4012" t="inlineStr">
        <is>
          <t>ÖRNSKÖLDSVIK</t>
        </is>
      </c>
      <c r="G4012" t="n">
        <v>2.4</v>
      </c>
      <c r="H4012" t="n">
        <v>0</v>
      </c>
      <c r="I4012" t="n">
        <v>0</v>
      </c>
      <c r="J4012" t="n">
        <v>0</v>
      </c>
      <c r="K4012" t="n">
        <v>0</v>
      </c>
      <c r="L4012" t="n">
        <v>0</v>
      </c>
      <c r="M4012" t="n">
        <v>0</v>
      </c>
      <c r="N4012" t="n">
        <v>0</v>
      </c>
      <c r="O4012" t="n">
        <v>0</v>
      </c>
      <c r="P4012" t="n">
        <v>0</v>
      </c>
      <c r="Q4012" t="n">
        <v>0</v>
      </c>
      <c r="R4012" s="2" t="inlineStr"/>
    </row>
    <row r="4013" ht="15" customHeight="1">
      <c r="A4013" t="inlineStr">
        <is>
          <t>A 41374-2021</t>
        </is>
      </c>
      <c r="B4013" s="1" t="n">
        <v>44424</v>
      </c>
      <c r="C4013" s="1" t="n">
        <v>45212</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41158-2021</t>
        </is>
      </c>
      <c r="B4014" s="1" t="n">
        <v>44424</v>
      </c>
      <c r="C4014" s="1" t="n">
        <v>45212</v>
      </c>
      <c r="D4014" t="inlineStr">
        <is>
          <t>VÄSTERNORRLANDS LÄN</t>
        </is>
      </c>
      <c r="E4014" t="inlineStr">
        <is>
          <t>KRAMFORS</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41267-2021</t>
        </is>
      </c>
      <c r="B4015" s="1" t="n">
        <v>44424</v>
      </c>
      <c r="C4015" s="1" t="n">
        <v>45212</v>
      </c>
      <c r="D4015" t="inlineStr">
        <is>
          <t>VÄSTERNORRLANDS LÄN</t>
        </is>
      </c>
      <c r="E4015" t="inlineStr">
        <is>
          <t>ÖRNSKÖLDSVIK</t>
        </is>
      </c>
      <c r="F4015" t="inlineStr">
        <is>
          <t>Holmen skog AB</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41392-2021</t>
        </is>
      </c>
      <c r="B4016" s="1" t="n">
        <v>44424</v>
      </c>
      <c r="C4016" s="1" t="n">
        <v>45212</v>
      </c>
      <c r="D4016" t="inlineStr">
        <is>
          <t>VÄSTERNORRLANDS LÄN</t>
        </is>
      </c>
      <c r="E4016" t="inlineStr">
        <is>
          <t>ÖRNSKÖLDSVIK</t>
        </is>
      </c>
      <c r="G4016" t="n">
        <v>0.1</v>
      </c>
      <c r="H4016" t="n">
        <v>0</v>
      </c>
      <c r="I4016" t="n">
        <v>0</v>
      </c>
      <c r="J4016" t="n">
        <v>0</v>
      </c>
      <c r="K4016" t="n">
        <v>0</v>
      </c>
      <c r="L4016" t="n">
        <v>0</v>
      </c>
      <c r="M4016" t="n">
        <v>0</v>
      </c>
      <c r="N4016" t="n">
        <v>0</v>
      </c>
      <c r="O4016" t="n">
        <v>0</v>
      </c>
      <c r="P4016" t="n">
        <v>0</v>
      </c>
      <c r="Q4016" t="n">
        <v>0</v>
      </c>
      <c r="R4016" s="2" t="inlineStr"/>
    </row>
    <row r="4017" ht="15" customHeight="1">
      <c r="A4017" t="inlineStr">
        <is>
          <t>A 41485-2021</t>
        </is>
      </c>
      <c r="B4017" s="1" t="n">
        <v>44424</v>
      </c>
      <c r="C4017" s="1" t="n">
        <v>45212</v>
      </c>
      <c r="D4017" t="inlineStr">
        <is>
          <t>VÄSTERNORRLANDS LÄN</t>
        </is>
      </c>
      <c r="E4017" t="inlineStr">
        <is>
          <t>SUNDSVALL</t>
        </is>
      </c>
      <c r="F4017" t="inlineStr">
        <is>
          <t>SCA</t>
        </is>
      </c>
      <c r="G4017" t="n">
        <v>23.9</v>
      </c>
      <c r="H4017" t="n">
        <v>0</v>
      </c>
      <c r="I4017" t="n">
        <v>0</v>
      </c>
      <c r="J4017" t="n">
        <v>0</v>
      </c>
      <c r="K4017" t="n">
        <v>0</v>
      </c>
      <c r="L4017" t="n">
        <v>0</v>
      </c>
      <c r="M4017" t="n">
        <v>0</v>
      </c>
      <c r="N4017" t="n">
        <v>0</v>
      </c>
      <c r="O4017" t="n">
        <v>0</v>
      </c>
      <c r="P4017" t="n">
        <v>0</v>
      </c>
      <c r="Q4017" t="n">
        <v>0</v>
      </c>
      <c r="R4017" s="2" t="inlineStr"/>
    </row>
    <row r="4018" ht="15" customHeight="1">
      <c r="A4018" t="inlineStr">
        <is>
          <t>A 41515-2021</t>
        </is>
      </c>
      <c r="B4018" s="1" t="n">
        <v>44424</v>
      </c>
      <c r="C4018" s="1" t="n">
        <v>45212</v>
      </c>
      <c r="D4018" t="inlineStr">
        <is>
          <t>VÄSTERNORRLANDS LÄN</t>
        </is>
      </c>
      <c r="E4018" t="inlineStr">
        <is>
          <t>ÖRNSKÖLDSVIK</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41287-2021</t>
        </is>
      </c>
      <c r="B4019" s="1" t="n">
        <v>44424</v>
      </c>
      <c r="C4019" s="1" t="n">
        <v>45212</v>
      </c>
      <c r="D4019" t="inlineStr">
        <is>
          <t>VÄSTERNORRLANDS LÄN</t>
        </is>
      </c>
      <c r="E4019" t="inlineStr">
        <is>
          <t>KRAMFORS</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41324-2021</t>
        </is>
      </c>
      <c r="B4020" s="1" t="n">
        <v>44424</v>
      </c>
      <c r="C4020" s="1" t="n">
        <v>45212</v>
      </c>
      <c r="D4020" t="inlineStr">
        <is>
          <t>VÄSTERNORRLANDS LÄN</t>
        </is>
      </c>
      <c r="E4020" t="inlineStr">
        <is>
          <t>KRAMFORS</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41334-2021</t>
        </is>
      </c>
      <c r="B4021" s="1" t="n">
        <v>44424</v>
      </c>
      <c r="C4021" s="1" t="n">
        <v>45212</v>
      </c>
      <c r="D4021" t="inlineStr">
        <is>
          <t>VÄSTERNORRLANDS LÄN</t>
        </is>
      </c>
      <c r="E4021" t="inlineStr">
        <is>
          <t>SOLLEFTEÅ</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41469-2021</t>
        </is>
      </c>
      <c r="B4022" s="1" t="n">
        <v>44424</v>
      </c>
      <c r="C4022" s="1" t="n">
        <v>45212</v>
      </c>
      <c r="D4022" t="inlineStr">
        <is>
          <t>VÄSTERNORRLANDS LÄN</t>
        </is>
      </c>
      <c r="E4022" t="inlineStr">
        <is>
          <t>SUNDSVALL</t>
        </is>
      </c>
      <c r="G4022" t="n">
        <v>3.3</v>
      </c>
      <c r="H4022" t="n">
        <v>0</v>
      </c>
      <c r="I4022" t="n">
        <v>0</v>
      </c>
      <c r="J4022" t="n">
        <v>0</v>
      </c>
      <c r="K4022" t="n">
        <v>0</v>
      </c>
      <c r="L4022" t="n">
        <v>0</v>
      </c>
      <c r="M4022" t="n">
        <v>0</v>
      </c>
      <c r="N4022" t="n">
        <v>0</v>
      </c>
      <c r="O4022" t="n">
        <v>0</v>
      </c>
      <c r="P4022" t="n">
        <v>0</v>
      </c>
      <c r="Q4022" t="n">
        <v>0</v>
      </c>
      <c r="R4022" s="2" t="inlineStr"/>
    </row>
    <row r="4023" ht="15" customHeight="1">
      <c r="A4023" t="inlineStr">
        <is>
          <t>A 41484-2021</t>
        </is>
      </c>
      <c r="B4023" s="1" t="n">
        <v>44424</v>
      </c>
      <c r="C4023" s="1" t="n">
        <v>45212</v>
      </c>
      <c r="D4023" t="inlineStr">
        <is>
          <t>VÄSTERNORRLANDS LÄN</t>
        </is>
      </c>
      <c r="E4023" t="inlineStr">
        <is>
          <t>HÄRNÖSAND</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41208-2021</t>
        </is>
      </c>
      <c r="B4024" s="1" t="n">
        <v>44424</v>
      </c>
      <c r="C4024" s="1" t="n">
        <v>45212</v>
      </c>
      <c r="D4024" t="inlineStr">
        <is>
          <t>VÄSTERNORRLANDS LÄN</t>
        </is>
      </c>
      <c r="E4024" t="inlineStr">
        <is>
          <t>ÖRNSKÖLDSVIK</t>
        </is>
      </c>
      <c r="F4024" t="inlineStr">
        <is>
          <t>Holmen skog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41302-2021</t>
        </is>
      </c>
      <c r="B4025" s="1" t="n">
        <v>44424</v>
      </c>
      <c r="C4025" s="1" t="n">
        <v>45212</v>
      </c>
      <c r="D4025" t="inlineStr">
        <is>
          <t>VÄSTERNORRLANDS LÄN</t>
        </is>
      </c>
      <c r="E4025" t="inlineStr">
        <is>
          <t>KRAMFORS</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41495-2021</t>
        </is>
      </c>
      <c r="B4026" s="1" t="n">
        <v>44424</v>
      </c>
      <c r="C4026" s="1" t="n">
        <v>45212</v>
      </c>
      <c r="D4026" t="inlineStr">
        <is>
          <t>VÄSTERNORRLANDS LÄN</t>
        </is>
      </c>
      <c r="E4026" t="inlineStr">
        <is>
          <t>KRAMFORS</t>
        </is>
      </c>
      <c r="F4026" t="inlineStr">
        <is>
          <t>SCA</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41601-2021</t>
        </is>
      </c>
      <c r="B4027" s="1" t="n">
        <v>44425</v>
      </c>
      <c r="C4027" s="1" t="n">
        <v>45212</v>
      </c>
      <c r="D4027" t="inlineStr">
        <is>
          <t>VÄSTERNORRLANDS LÄN</t>
        </is>
      </c>
      <c r="E4027" t="inlineStr">
        <is>
          <t>ÖRNSKÖLDSVIK</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41614-2021</t>
        </is>
      </c>
      <c r="B4028" s="1" t="n">
        <v>44425</v>
      </c>
      <c r="C4028" s="1" t="n">
        <v>45212</v>
      </c>
      <c r="D4028" t="inlineStr">
        <is>
          <t>VÄSTERNORRLANDS LÄN</t>
        </is>
      </c>
      <c r="E4028" t="inlineStr">
        <is>
          <t>ÖRNSKÖLDSVIK</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42275-2021</t>
        </is>
      </c>
      <c r="B4029" s="1" t="n">
        <v>44426</v>
      </c>
      <c r="C4029" s="1" t="n">
        <v>45212</v>
      </c>
      <c r="D4029" t="inlineStr">
        <is>
          <t>VÄSTERNORRLANDS LÄN</t>
        </is>
      </c>
      <c r="E4029" t="inlineStr">
        <is>
          <t>ÖRNSKÖLDSVIK</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42633-2021</t>
        </is>
      </c>
      <c r="B4030" s="1" t="n">
        <v>44426</v>
      </c>
      <c r="C4030" s="1" t="n">
        <v>45212</v>
      </c>
      <c r="D4030" t="inlineStr">
        <is>
          <t>VÄSTERNORRLANDS LÄN</t>
        </is>
      </c>
      <c r="E4030" t="inlineStr">
        <is>
          <t>KRAMFORS</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42228-2021</t>
        </is>
      </c>
      <c r="B4031" s="1" t="n">
        <v>44426</v>
      </c>
      <c r="C4031" s="1" t="n">
        <v>45212</v>
      </c>
      <c r="D4031" t="inlineStr">
        <is>
          <t>VÄSTERNORRLANDS LÄN</t>
        </is>
      </c>
      <c r="E4031" t="inlineStr">
        <is>
          <t>SOLLEFTEÅ</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42042-2021</t>
        </is>
      </c>
      <c r="B4032" s="1" t="n">
        <v>44426</v>
      </c>
      <c r="C4032" s="1" t="n">
        <v>45212</v>
      </c>
      <c r="D4032" t="inlineStr">
        <is>
          <t>VÄSTERNORRLANDS LÄN</t>
        </is>
      </c>
      <c r="E4032" t="inlineStr">
        <is>
          <t>ÖRNSKÖLDSVIK</t>
        </is>
      </c>
      <c r="G4032" t="n">
        <v>4.7</v>
      </c>
      <c r="H4032" t="n">
        <v>0</v>
      </c>
      <c r="I4032" t="n">
        <v>0</v>
      </c>
      <c r="J4032" t="n">
        <v>0</v>
      </c>
      <c r="K4032" t="n">
        <v>0</v>
      </c>
      <c r="L4032" t="n">
        <v>0</v>
      </c>
      <c r="M4032" t="n">
        <v>0</v>
      </c>
      <c r="N4032" t="n">
        <v>0</v>
      </c>
      <c r="O4032" t="n">
        <v>0</v>
      </c>
      <c r="P4032" t="n">
        <v>0</v>
      </c>
      <c r="Q4032" t="n">
        <v>0</v>
      </c>
      <c r="R4032" s="2" t="inlineStr"/>
    </row>
    <row r="4033" ht="15" customHeight="1">
      <c r="A4033" t="inlineStr">
        <is>
          <t>A 42051-2021</t>
        </is>
      </c>
      <c r="B4033" s="1" t="n">
        <v>44426</v>
      </c>
      <c r="C4033" s="1" t="n">
        <v>45212</v>
      </c>
      <c r="D4033" t="inlineStr">
        <is>
          <t>VÄSTERNORRLANDS LÄN</t>
        </is>
      </c>
      <c r="E4033" t="inlineStr">
        <is>
          <t>ÖRNSKÖLDSVIK</t>
        </is>
      </c>
      <c r="F4033" t="inlineStr">
        <is>
          <t>Holmen skog AB</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42094-2021</t>
        </is>
      </c>
      <c r="B4034" s="1" t="n">
        <v>44426</v>
      </c>
      <c r="C4034" s="1" t="n">
        <v>45212</v>
      </c>
      <c r="D4034" t="inlineStr">
        <is>
          <t>VÄSTERNORRLANDS LÄN</t>
        </is>
      </c>
      <c r="E4034" t="inlineStr">
        <is>
          <t>ÖRNSKÖLDSVIK</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42231-2021</t>
        </is>
      </c>
      <c r="B4035" s="1" t="n">
        <v>44426</v>
      </c>
      <c r="C4035" s="1" t="n">
        <v>45212</v>
      </c>
      <c r="D4035" t="inlineStr">
        <is>
          <t>VÄSTERNORRLANDS LÄN</t>
        </is>
      </c>
      <c r="E4035" t="inlineStr">
        <is>
          <t>SOLLEFTEÅ</t>
        </is>
      </c>
      <c r="F4035" t="inlineStr">
        <is>
          <t>SCA</t>
        </is>
      </c>
      <c r="G4035" t="n">
        <v>1.6</v>
      </c>
      <c r="H4035" t="n">
        <v>0</v>
      </c>
      <c r="I4035" t="n">
        <v>0</v>
      </c>
      <c r="J4035" t="n">
        <v>0</v>
      </c>
      <c r="K4035" t="n">
        <v>0</v>
      </c>
      <c r="L4035" t="n">
        <v>0</v>
      </c>
      <c r="M4035" t="n">
        <v>0</v>
      </c>
      <c r="N4035" t="n">
        <v>0</v>
      </c>
      <c r="O4035" t="n">
        <v>0</v>
      </c>
      <c r="P4035" t="n">
        <v>0</v>
      </c>
      <c r="Q4035" t="n">
        <v>0</v>
      </c>
      <c r="R4035" s="2" t="inlineStr"/>
    </row>
    <row r="4036" ht="15" customHeight="1">
      <c r="A4036" t="inlineStr">
        <is>
          <t>A 42344-2021</t>
        </is>
      </c>
      <c r="B4036" s="1" t="n">
        <v>44427</v>
      </c>
      <c r="C4036" s="1" t="n">
        <v>45212</v>
      </c>
      <c r="D4036" t="inlineStr">
        <is>
          <t>VÄSTERNORRLANDS LÄN</t>
        </is>
      </c>
      <c r="E4036" t="inlineStr">
        <is>
          <t>ÖRNSKÖLDSVIK</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42365-2021</t>
        </is>
      </c>
      <c r="B4037" s="1" t="n">
        <v>44427</v>
      </c>
      <c r="C4037" s="1" t="n">
        <v>45212</v>
      </c>
      <c r="D4037" t="inlineStr">
        <is>
          <t>VÄSTERNORRLANDS LÄN</t>
        </is>
      </c>
      <c r="E4037" t="inlineStr">
        <is>
          <t>ÖRNSKÖLDSVIK</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42339-2021</t>
        </is>
      </c>
      <c r="B4038" s="1" t="n">
        <v>44427</v>
      </c>
      <c r="C4038" s="1" t="n">
        <v>45212</v>
      </c>
      <c r="D4038" t="inlineStr">
        <is>
          <t>VÄSTERNORRLANDS LÄN</t>
        </is>
      </c>
      <c r="E4038" t="inlineStr">
        <is>
          <t>ÖRNSKÖLDSVIK</t>
        </is>
      </c>
      <c r="G4038" t="n">
        <v>3</v>
      </c>
      <c r="H4038" t="n">
        <v>0</v>
      </c>
      <c r="I4038" t="n">
        <v>0</v>
      </c>
      <c r="J4038" t="n">
        <v>0</v>
      </c>
      <c r="K4038" t="n">
        <v>0</v>
      </c>
      <c r="L4038" t="n">
        <v>0</v>
      </c>
      <c r="M4038" t="n">
        <v>0</v>
      </c>
      <c r="N4038" t="n">
        <v>0</v>
      </c>
      <c r="O4038" t="n">
        <v>0</v>
      </c>
      <c r="P4038" t="n">
        <v>0</v>
      </c>
      <c r="Q4038" t="n">
        <v>0</v>
      </c>
      <c r="R4038" s="2" t="inlineStr"/>
    </row>
    <row r="4039" ht="15" customHeight="1">
      <c r="A4039" t="inlineStr">
        <is>
          <t>A 42356-2021</t>
        </is>
      </c>
      <c r="B4039" s="1" t="n">
        <v>44427</v>
      </c>
      <c r="C4039" s="1" t="n">
        <v>45212</v>
      </c>
      <c r="D4039" t="inlineStr">
        <is>
          <t>VÄSTERNORRLANDS LÄN</t>
        </is>
      </c>
      <c r="E4039" t="inlineStr">
        <is>
          <t>ÖRNSKÖLDSVIK</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42319-2021</t>
        </is>
      </c>
      <c r="B4040" s="1" t="n">
        <v>44427</v>
      </c>
      <c r="C4040" s="1" t="n">
        <v>45212</v>
      </c>
      <c r="D4040" t="inlineStr">
        <is>
          <t>VÄSTERNORRLANDS LÄN</t>
        </is>
      </c>
      <c r="E4040" t="inlineStr">
        <is>
          <t>ÖRNSKÖLDSVIK</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42351-2021</t>
        </is>
      </c>
      <c r="B4041" s="1" t="n">
        <v>44427</v>
      </c>
      <c r="C4041" s="1" t="n">
        <v>45212</v>
      </c>
      <c r="D4041" t="inlineStr">
        <is>
          <t>VÄSTERNORRLANDS LÄN</t>
        </is>
      </c>
      <c r="E4041" t="inlineStr">
        <is>
          <t>ÖRNSKÖLDSVIK</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42628-2021</t>
        </is>
      </c>
      <c r="B4042" s="1" t="n">
        <v>44428</v>
      </c>
      <c r="C4042" s="1" t="n">
        <v>45212</v>
      </c>
      <c r="D4042" t="inlineStr">
        <is>
          <t>VÄSTERNORRLANDS LÄN</t>
        </is>
      </c>
      <c r="E4042" t="inlineStr">
        <is>
          <t>ÖRNSKÖLDSVIK</t>
        </is>
      </c>
      <c r="F4042" t="inlineStr">
        <is>
          <t>Holmen skog AB</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42566-2021</t>
        </is>
      </c>
      <c r="B4043" s="1" t="n">
        <v>44428</v>
      </c>
      <c r="C4043" s="1" t="n">
        <v>45212</v>
      </c>
      <c r="D4043" t="inlineStr">
        <is>
          <t>VÄSTERNORRLANDS LÄN</t>
        </is>
      </c>
      <c r="E4043" t="inlineStr">
        <is>
          <t>KRAMFORS</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42632-2021</t>
        </is>
      </c>
      <c r="B4044" s="1" t="n">
        <v>44428</v>
      </c>
      <c r="C4044" s="1" t="n">
        <v>45212</v>
      </c>
      <c r="D4044" t="inlineStr">
        <is>
          <t>VÄSTERNORRLANDS LÄN</t>
        </is>
      </c>
      <c r="E4044" t="inlineStr">
        <is>
          <t>ÖRNSKÖLDSVIK</t>
        </is>
      </c>
      <c r="F4044" t="inlineStr">
        <is>
          <t>Holmen skog AB</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42675-2021</t>
        </is>
      </c>
      <c r="B4045" s="1" t="n">
        <v>44428</v>
      </c>
      <c r="C4045" s="1" t="n">
        <v>45212</v>
      </c>
      <c r="D4045" t="inlineStr">
        <is>
          <t>VÄSTERNORRLANDS LÄN</t>
        </is>
      </c>
      <c r="E4045" t="inlineStr">
        <is>
          <t>KRAMFORS</t>
        </is>
      </c>
      <c r="G4045" t="n">
        <v>4.7</v>
      </c>
      <c r="H4045" t="n">
        <v>0</v>
      </c>
      <c r="I4045" t="n">
        <v>0</v>
      </c>
      <c r="J4045" t="n">
        <v>0</v>
      </c>
      <c r="K4045" t="n">
        <v>0</v>
      </c>
      <c r="L4045" t="n">
        <v>0</v>
      </c>
      <c r="M4045" t="n">
        <v>0</v>
      </c>
      <c r="N4045" t="n">
        <v>0</v>
      </c>
      <c r="O4045" t="n">
        <v>0</v>
      </c>
      <c r="P4045" t="n">
        <v>0</v>
      </c>
      <c r="Q4045" t="n">
        <v>0</v>
      </c>
      <c r="R4045" s="2" t="inlineStr"/>
    </row>
    <row r="4046" ht="15" customHeight="1">
      <c r="A4046" t="inlineStr">
        <is>
          <t>A 42739-2021</t>
        </is>
      </c>
      <c r="B4046" s="1" t="n">
        <v>44428</v>
      </c>
      <c r="C4046" s="1" t="n">
        <v>45212</v>
      </c>
      <c r="D4046" t="inlineStr">
        <is>
          <t>VÄSTERNORRLANDS LÄN</t>
        </is>
      </c>
      <c r="E4046" t="inlineStr">
        <is>
          <t>ÖRNSKÖLDSVIK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42678-2021</t>
        </is>
      </c>
      <c r="B4047" s="1" t="n">
        <v>44428</v>
      </c>
      <c r="C4047" s="1" t="n">
        <v>45212</v>
      </c>
      <c r="D4047" t="inlineStr">
        <is>
          <t>VÄSTERNORRLANDS LÄN</t>
        </is>
      </c>
      <c r="E4047" t="inlineStr">
        <is>
          <t>KRAMFORS</t>
        </is>
      </c>
      <c r="G4047" t="n">
        <v>0.4</v>
      </c>
      <c r="H4047" t="n">
        <v>0</v>
      </c>
      <c r="I4047" t="n">
        <v>0</v>
      </c>
      <c r="J4047" t="n">
        <v>0</v>
      </c>
      <c r="K4047" t="n">
        <v>0</v>
      </c>
      <c r="L4047" t="n">
        <v>0</v>
      </c>
      <c r="M4047" t="n">
        <v>0</v>
      </c>
      <c r="N4047" t="n">
        <v>0</v>
      </c>
      <c r="O4047" t="n">
        <v>0</v>
      </c>
      <c r="P4047" t="n">
        <v>0</v>
      </c>
      <c r="Q4047" t="n">
        <v>0</v>
      </c>
      <c r="R4047" s="2" t="inlineStr"/>
    </row>
    <row r="4048" ht="15" customHeight="1">
      <c r="A4048" t="inlineStr">
        <is>
          <t>A 42744-2021</t>
        </is>
      </c>
      <c r="B4048" s="1" t="n">
        <v>44428</v>
      </c>
      <c r="C4048" s="1" t="n">
        <v>45212</v>
      </c>
      <c r="D4048" t="inlineStr">
        <is>
          <t>VÄSTERNORRLANDS LÄN</t>
        </is>
      </c>
      <c r="E4048" t="inlineStr">
        <is>
          <t>ÖRNSKÖLDSVIK</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42700-2021</t>
        </is>
      </c>
      <c r="B4049" s="1" t="n">
        <v>44428</v>
      </c>
      <c r="C4049" s="1" t="n">
        <v>45212</v>
      </c>
      <c r="D4049" t="inlineStr">
        <is>
          <t>VÄSTERNORRLANDS LÄN</t>
        </is>
      </c>
      <c r="E4049" t="inlineStr">
        <is>
          <t>SUNDSVALL</t>
        </is>
      </c>
      <c r="G4049" t="n">
        <v>8.199999999999999</v>
      </c>
      <c r="H4049" t="n">
        <v>0</v>
      </c>
      <c r="I4049" t="n">
        <v>0</v>
      </c>
      <c r="J4049" t="n">
        <v>0</v>
      </c>
      <c r="K4049" t="n">
        <v>0</v>
      </c>
      <c r="L4049" t="n">
        <v>0</v>
      </c>
      <c r="M4049" t="n">
        <v>0</v>
      </c>
      <c r="N4049" t="n">
        <v>0</v>
      </c>
      <c r="O4049" t="n">
        <v>0</v>
      </c>
      <c r="P4049" t="n">
        <v>0</v>
      </c>
      <c r="Q4049" t="n">
        <v>0</v>
      </c>
      <c r="R4049" s="2" t="inlineStr"/>
    </row>
    <row r="4050" ht="15" customHeight="1">
      <c r="A4050" t="inlineStr">
        <is>
          <t>A 43194-2021</t>
        </is>
      </c>
      <c r="B4050" s="1" t="n">
        <v>44431</v>
      </c>
      <c r="C4050" s="1" t="n">
        <v>45212</v>
      </c>
      <c r="D4050" t="inlineStr">
        <is>
          <t>VÄSTERNORRLANDS LÄN</t>
        </is>
      </c>
      <c r="E4050" t="inlineStr">
        <is>
          <t>SUNDSVALL</t>
        </is>
      </c>
      <c r="G4050" t="n">
        <v>1.1</v>
      </c>
      <c r="H4050" t="n">
        <v>0</v>
      </c>
      <c r="I4050" t="n">
        <v>0</v>
      </c>
      <c r="J4050" t="n">
        <v>0</v>
      </c>
      <c r="K4050" t="n">
        <v>0</v>
      </c>
      <c r="L4050" t="n">
        <v>0</v>
      </c>
      <c r="M4050" t="n">
        <v>0</v>
      </c>
      <c r="N4050" t="n">
        <v>0</v>
      </c>
      <c r="O4050" t="n">
        <v>0</v>
      </c>
      <c r="P4050" t="n">
        <v>0</v>
      </c>
      <c r="Q4050" t="n">
        <v>0</v>
      </c>
      <c r="R4050" s="2" t="inlineStr"/>
    </row>
    <row r="4051" ht="15" customHeight="1">
      <c r="A4051" t="inlineStr">
        <is>
          <t>A 43204-2021</t>
        </is>
      </c>
      <c r="B4051" s="1" t="n">
        <v>44431</v>
      </c>
      <c r="C4051" s="1" t="n">
        <v>45212</v>
      </c>
      <c r="D4051" t="inlineStr">
        <is>
          <t>VÄSTERNORRLANDS LÄN</t>
        </is>
      </c>
      <c r="E4051" t="inlineStr">
        <is>
          <t>SUNDSVALL</t>
        </is>
      </c>
      <c r="G4051" t="n">
        <v>3.9</v>
      </c>
      <c r="H4051" t="n">
        <v>0</v>
      </c>
      <c r="I4051" t="n">
        <v>0</v>
      </c>
      <c r="J4051" t="n">
        <v>0</v>
      </c>
      <c r="K4051" t="n">
        <v>0</v>
      </c>
      <c r="L4051" t="n">
        <v>0</v>
      </c>
      <c r="M4051" t="n">
        <v>0</v>
      </c>
      <c r="N4051" t="n">
        <v>0</v>
      </c>
      <c r="O4051" t="n">
        <v>0</v>
      </c>
      <c r="P4051" t="n">
        <v>0</v>
      </c>
      <c r="Q4051" t="n">
        <v>0</v>
      </c>
      <c r="R4051" s="2" t="inlineStr"/>
    </row>
    <row r="4052" ht="15" customHeight="1">
      <c r="A4052" t="inlineStr">
        <is>
          <t>A 43195-2021</t>
        </is>
      </c>
      <c r="B4052" s="1" t="n">
        <v>44431</v>
      </c>
      <c r="C4052" s="1" t="n">
        <v>45212</v>
      </c>
      <c r="D4052" t="inlineStr">
        <is>
          <t>VÄSTERNORRLANDS LÄN</t>
        </is>
      </c>
      <c r="E4052" t="inlineStr">
        <is>
          <t>SUNDSVALL</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43205-2021</t>
        </is>
      </c>
      <c r="B4053" s="1" t="n">
        <v>44431</v>
      </c>
      <c r="C4053" s="1" t="n">
        <v>45212</v>
      </c>
      <c r="D4053" t="inlineStr">
        <is>
          <t>VÄSTERNORRLANDS LÄN</t>
        </is>
      </c>
      <c r="E4053" t="inlineStr">
        <is>
          <t>SUNDSVALL</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43138-2021</t>
        </is>
      </c>
      <c r="B4054" s="1" t="n">
        <v>44431</v>
      </c>
      <c r="C4054" s="1" t="n">
        <v>45212</v>
      </c>
      <c r="D4054" t="inlineStr">
        <is>
          <t>VÄSTERNORRLANDS LÄN</t>
        </is>
      </c>
      <c r="E4054" t="inlineStr">
        <is>
          <t>ÖRNSKÖLDSVIK</t>
        </is>
      </c>
      <c r="F4054" t="inlineStr">
        <is>
          <t>Holmen skog AB</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45213-2021</t>
        </is>
      </c>
      <c r="B4055" s="1" t="n">
        <v>44431</v>
      </c>
      <c r="C4055" s="1" t="n">
        <v>45212</v>
      </c>
      <c r="D4055" t="inlineStr">
        <is>
          <t>VÄSTERNORRLANDS LÄN</t>
        </is>
      </c>
      <c r="E4055" t="inlineStr">
        <is>
          <t>SOLLEFTEÅ</t>
        </is>
      </c>
      <c r="F4055" t="inlineStr">
        <is>
          <t>SCA</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43076-2021</t>
        </is>
      </c>
      <c r="B4056" s="1" t="n">
        <v>44431</v>
      </c>
      <c r="C4056" s="1" t="n">
        <v>45212</v>
      </c>
      <c r="D4056" t="inlineStr">
        <is>
          <t>VÄSTERNORRLANDS LÄN</t>
        </is>
      </c>
      <c r="E4056" t="inlineStr">
        <is>
          <t>ÅNGE</t>
        </is>
      </c>
      <c r="G4056" t="n">
        <v>9.199999999999999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43370-2021</t>
        </is>
      </c>
      <c r="B4057" s="1" t="n">
        <v>44432</v>
      </c>
      <c r="C4057" s="1" t="n">
        <v>45212</v>
      </c>
      <c r="D4057" t="inlineStr">
        <is>
          <t>VÄSTERNORRLANDS LÄN</t>
        </is>
      </c>
      <c r="E4057" t="inlineStr">
        <is>
          <t>ÖRNSKÖLDSVIK</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43227-2021</t>
        </is>
      </c>
      <c r="B4058" s="1" t="n">
        <v>44432</v>
      </c>
      <c r="C4058" s="1" t="n">
        <v>45212</v>
      </c>
      <c r="D4058" t="inlineStr">
        <is>
          <t>VÄSTERNORRLANDS LÄN</t>
        </is>
      </c>
      <c r="E4058" t="inlineStr">
        <is>
          <t>ÖRNSKÖLDSVIK</t>
        </is>
      </c>
      <c r="F4058" t="inlineStr">
        <is>
          <t>Holmen skog AB</t>
        </is>
      </c>
      <c r="G4058" t="n">
        <v>4.6</v>
      </c>
      <c r="H4058" t="n">
        <v>0</v>
      </c>
      <c r="I4058" t="n">
        <v>0</v>
      </c>
      <c r="J4058" t="n">
        <v>0</v>
      </c>
      <c r="K4058" t="n">
        <v>0</v>
      </c>
      <c r="L4058" t="n">
        <v>0</v>
      </c>
      <c r="M4058" t="n">
        <v>0</v>
      </c>
      <c r="N4058" t="n">
        <v>0</v>
      </c>
      <c r="O4058" t="n">
        <v>0</v>
      </c>
      <c r="P4058" t="n">
        <v>0</v>
      </c>
      <c r="Q4058" t="n">
        <v>0</v>
      </c>
      <c r="R4058" s="2" t="inlineStr"/>
    </row>
    <row r="4059" ht="15" customHeight="1">
      <c r="A4059" t="inlineStr">
        <is>
          <t>A 43293-2021</t>
        </is>
      </c>
      <c r="B4059" s="1" t="n">
        <v>44432</v>
      </c>
      <c r="C4059" s="1" t="n">
        <v>45212</v>
      </c>
      <c r="D4059" t="inlineStr">
        <is>
          <t>VÄSTERNORRLANDS LÄN</t>
        </is>
      </c>
      <c r="E4059" t="inlineStr">
        <is>
          <t>KRAMFORS</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43323-2021</t>
        </is>
      </c>
      <c r="B4060" s="1" t="n">
        <v>44432</v>
      </c>
      <c r="C4060" s="1" t="n">
        <v>45212</v>
      </c>
      <c r="D4060" t="inlineStr">
        <is>
          <t>VÄSTERNORRLANDS LÄN</t>
        </is>
      </c>
      <c r="E4060" t="inlineStr">
        <is>
          <t>ÖRNSKÖLDSVIK</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43413-2021</t>
        </is>
      </c>
      <c r="B4061" s="1" t="n">
        <v>44432</v>
      </c>
      <c r="C4061" s="1" t="n">
        <v>45212</v>
      </c>
      <c r="D4061" t="inlineStr">
        <is>
          <t>VÄSTERNORRLANDS LÄN</t>
        </is>
      </c>
      <c r="E4061" t="inlineStr">
        <is>
          <t>ÖRNSKÖLDSVIK</t>
        </is>
      </c>
      <c r="F4061" t="inlineStr">
        <is>
          <t>Holmen skog AB</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43329-2021</t>
        </is>
      </c>
      <c r="B4062" s="1" t="n">
        <v>44432</v>
      </c>
      <c r="C4062" s="1" t="n">
        <v>45212</v>
      </c>
      <c r="D4062" t="inlineStr">
        <is>
          <t>VÄSTERNORRLANDS LÄN</t>
        </is>
      </c>
      <c r="E4062" t="inlineStr">
        <is>
          <t>ÖRNSKÖLDSVIK</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43360-2021</t>
        </is>
      </c>
      <c r="B4063" s="1" t="n">
        <v>44432</v>
      </c>
      <c r="C4063" s="1" t="n">
        <v>45212</v>
      </c>
      <c r="D4063" t="inlineStr">
        <is>
          <t>VÄSTERNORRLANDS LÄN</t>
        </is>
      </c>
      <c r="E4063" t="inlineStr">
        <is>
          <t>ÖRNSKÖLDSVIK</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43424-2021</t>
        </is>
      </c>
      <c r="B4064" s="1" t="n">
        <v>44432</v>
      </c>
      <c r="C4064" s="1" t="n">
        <v>45212</v>
      </c>
      <c r="D4064" t="inlineStr">
        <is>
          <t>VÄSTERNORRLANDS LÄN</t>
        </is>
      </c>
      <c r="E4064" t="inlineStr">
        <is>
          <t>ÖRNSKÖLDSVIK</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43834-2021</t>
        </is>
      </c>
      <c r="B4065" s="1" t="n">
        <v>44433</v>
      </c>
      <c r="C4065" s="1" t="n">
        <v>45212</v>
      </c>
      <c r="D4065" t="inlineStr">
        <is>
          <t>VÄSTERNORRLANDS LÄN</t>
        </is>
      </c>
      <c r="E4065" t="inlineStr">
        <is>
          <t>SUNDSVALL</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43849-2021</t>
        </is>
      </c>
      <c r="B4066" s="1" t="n">
        <v>44433</v>
      </c>
      <c r="C4066" s="1" t="n">
        <v>45212</v>
      </c>
      <c r="D4066" t="inlineStr">
        <is>
          <t>VÄSTERNORRLANDS LÄN</t>
        </is>
      </c>
      <c r="E4066" t="inlineStr">
        <is>
          <t>ÅNGE</t>
        </is>
      </c>
      <c r="F4066" t="inlineStr">
        <is>
          <t>SCA</t>
        </is>
      </c>
      <c r="G4066" t="n">
        <v>5.4</v>
      </c>
      <c r="H4066" t="n">
        <v>0</v>
      </c>
      <c r="I4066" t="n">
        <v>0</v>
      </c>
      <c r="J4066" t="n">
        <v>0</v>
      </c>
      <c r="K4066" t="n">
        <v>0</v>
      </c>
      <c r="L4066" t="n">
        <v>0</v>
      </c>
      <c r="M4066" t="n">
        <v>0</v>
      </c>
      <c r="N4066" t="n">
        <v>0</v>
      </c>
      <c r="O4066" t="n">
        <v>0</v>
      </c>
      <c r="P4066" t="n">
        <v>0</v>
      </c>
      <c r="Q4066" t="n">
        <v>0</v>
      </c>
      <c r="R4066" s="2" t="inlineStr"/>
    </row>
    <row r="4067" ht="15" customHeight="1">
      <c r="A4067" t="inlineStr">
        <is>
          <t>A 43525-2021</t>
        </is>
      </c>
      <c r="B4067" s="1" t="n">
        <v>44433</v>
      </c>
      <c r="C4067" s="1" t="n">
        <v>45212</v>
      </c>
      <c r="D4067" t="inlineStr">
        <is>
          <t>VÄSTERNORRLANDS LÄN</t>
        </is>
      </c>
      <c r="E4067" t="inlineStr">
        <is>
          <t>SOLLEFTEÅ</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44027-2021</t>
        </is>
      </c>
      <c r="B4068" s="1" t="n">
        <v>44434</v>
      </c>
      <c r="C4068" s="1" t="n">
        <v>45212</v>
      </c>
      <c r="D4068" t="inlineStr">
        <is>
          <t>VÄSTERNORRLANDS LÄN</t>
        </is>
      </c>
      <c r="E4068" t="inlineStr">
        <is>
          <t>HÄRNÖSAND</t>
        </is>
      </c>
      <c r="G4068" t="n">
        <v>3.8</v>
      </c>
      <c r="H4068" t="n">
        <v>0</v>
      </c>
      <c r="I4068" t="n">
        <v>0</v>
      </c>
      <c r="J4068" t="n">
        <v>0</v>
      </c>
      <c r="K4068" t="n">
        <v>0</v>
      </c>
      <c r="L4068" t="n">
        <v>0</v>
      </c>
      <c r="M4068" t="n">
        <v>0</v>
      </c>
      <c r="N4068" t="n">
        <v>0</v>
      </c>
      <c r="O4068" t="n">
        <v>0</v>
      </c>
      <c r="P4068" t="n">
        <v>0</v>
      </c>
      <c r="Q4068" t="n">
        <v>0</v>
      </c>
      <c r="R4068" s="2" t="inlineStr"/>
    </row>
    <row r="4069" ht="15" customHeight="1">
      <c r="A4069" t="inlineStr">
        <is>
          <t>A 44035-2021</t>
        </is>
      </c>
      <c r="B4069" s="1" t="n">
        <v>44434</v>
      </c>
      <c r="C4069" s="1" t="n">
        <v>45212</v>
      </c>
      <c r="D4069" t="inlineStr">
        <is>
          <t>VÄSTERNORRLANDS LÄN</t>
        </is>
      </c>
      <c r="E4069" t="inlineStr">
        <is>
          <t>HÄRNÖSAND</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44047-2021</t>
        </is>
      </c>
      <c r="B4070" s="1" t="n">
        <v>44434</v>
      </c>
      <c r="C4070" s="1" t="n">
        <v>45212</v>
      </c>
      <c r="D4070" t="inlineStr">
        <is>
          <t>VÄSTERNORRLANDS LÄN</t>
        </is>
      </c>
      <c r="E4070" t="inlineStr">
        <is>
          <t>HÄRNÖSAND</t>
        </is>
      </c>
      <c r="G4070" t="n">
        <v>5.1</v>
      </c>
      <c r="H4070" t="n">
        <v>0</v>
      </c>
      <c r="I4070" t="n">
        <v>0</v>
      </c>
      <c r="J4070" t="n">
        <v>0</v>
      </c>
      <c r="K4070" t="n">
        <v>0</v>
      </c>
      <c r="L4070" t="n">
        <v>0</v>
      </c>
      <c r="M4070" t="n">
        <v>0</v>
      </c>
      <c r="N4070" t="n">
        <v>0</v>
      </c>
      <c r="O4070" t="n">
        <v>0</v>
      </c>
      <c r="P4070" t="n">
        <v>0</v>
      </c>
      <c r="Q4070" t="n">
        <v>0</v>
      </c>
      <c r="R4070" s="2" t="inlineStr"/>
    </row>
    <row r="4071" ht="15" customHeight="1">
      <c r="A4071" t="inlineStr">
        <is>
          <t>A 44258-2021</t>
        </is>
      </c>
      <c r="B4071" s="1" t="n">
        <v>44434</v>
      </c>
      <c r="C4071" s="1" t="n">
        <v>45212</v>
      </c>
      <c r="D4071" t="inlineStr">
        <is>
          <t>VÄSTERNORRLANDS LÄN</t>
        </is>
      </c>
      <c r="E4071" t="inlineStr">
        <is>
          <t>KRAMFORS</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44039-2021</t>
        </is>
      </c>
      <c r="B4072" s="1" t="n">
        <v>44434</v>
      </c>
      <c r="C4072" s="1" t="n">
        <v>45212</v>
      </c>
      <c r="D4072" t="inlineStr">
        <is>
          <t>VÄSTERNORRLANDS LÄN</t>
        </is>
      </c>
      <c r="E4072" t="inlineStr">
        <is>
          <t>SUNDSVALL</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44259-2021</t>
        </is>
      </c>
      <c r="B4073" s="1" t="n">
        <v>44434</v>
      </c>
      <c r="C4073" s="1" t="n">
        <v>45212</v>
      </c>
      <c r="D4073" t="inlineStr">
        <is>
          <t>VÄSTERNORRLANDS LÄN</t>
        </is>
      </c>
      <c r="E4073" t="inlineStr">
        <is>
          <t>ÖRNSKÖLDSVIK</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44023-2021</t>
        </is>
      </c>
      <c r="B4074" s="1" t="n">
        <v>44434</v>
      </c>
      <c r="C4074" s="1" t="n">
        <v>45212</v>
      </c>
      <c r="D4074" t="inlineStr">
        <is>
          <t>VÄSTERNORRLANDS LÄN</t>
        </is>
      </c>
      <c r="E4074" t="inlineStr">
        <is>
          <t>HÄRNÖSAND</t>
        </is>
      </c>
      <c r="G4074" t="n">
        <v>9.9</v>
      </c>
      <c r="H4074" t="n">
        <v>0</v>
      </c>
      <c r="I4074" t="n">
        <v>0</v>
      </c>
      <c r="J4074" t="n">
        <v>0</v>
      </c>
      <c r="K4074" t="n">
        <v>0</v>
      </c>
      <c r="L4074" t="n">
        <v>0</v>
      </c>
      <c r="M4074" t="n">
        <v>0</v>
      </c>
      <c r="N4074" t="n">
        <v>0</v>
      </c>
      <c r="O4074" t="n">
        <v>0</v>
      </c>
      <c r="P4074" t="n">
        <v>0</v>
      </c>
      <c r="Q4074" t="n">
        <v>0</v>
      </c>
      <c r="R4074" s="2" t="inlineStr"/>
    </row>
    <row r="4075" ht="15" customHeight="1">
      <c r="A4075" t="inlineStr">
        <is>
          <t>A 44030-2021</t>
        </is>
      </c>
      <c r="B4075" s="1" t="n">
        <v>44434</v>
      </c>
      <c r="C4075" s="1" t="n">
        <v>45212</v>
      </c>
      <c r="D4075" t="inlineStr">
        <is>
          <t>VÄSTERNORRLANDS LÄN</t>
        </is>
      </c>
      <c r="E4075" t="inlineStr">
        <is>
          <t>SUNDSVALL</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44437-2021</t>
        </is>
      </c>
      <c r="B4076" s="1" t="n">
        <v>44435</v>
      </c>
      <c r="C4076" s="1" t="n">
        <v>45212</v>
      </c>
      <c r="D4076" t="inlineStr">
        <is>
          <t>VÄSTERNORRLANDS LÄN</t>
        </is>
      </c>
      <c r="E4076" t="inlineStr">
        <is>
          <t>ÖRNSKÖLDSVIK</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44587-2021</t>
        </is>
      </c>
      <c r="B4077" s="1" t="n">
        <v>44435</v>
      </c>
      <c r="C4077" s="1" t="n">
        <v>45212</v>
      </c>
      <c r="D4077" t="inlineStr">
        <is>
          <t>VÄSTERNORRLANDS LÄN</t>
        </is>
      </c>
      <c r="E4077" t="inlineStr">
        <is>
          <t>SOLLEFTEÅ</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44446-2021</t>
        </is>
      </c>
      <c r="B4078" s="1" t="n">
        <v>44435</v>
      </c>
      <c r="C4078" s="1" t="n">
        <v>45212</v>
      </c>
      <c r="D4078" t="inlineStr">
        <is>
          <t>VÄSTERNORRLANDS LÄN</t>
        </is>
      </c>
      <c r="E4078" t="inlineStr">
        <is>
          <t>ÖRNSKÖLDSVIK</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44592-2021</t>
        </is>
      </c>
      <c r="B4079" s="1" t="n">
        <v>44435</v>
      </c>
      <c r="C4079" s="1" t="n">
        <v>45212</v>
      </c>
      <c r="D4079" t="inlineStr">
        <is>
          <t>VÄSTERNORRLANDS LÄN</t>
        </is>
      </c>
      <c r="E4079" t="inlineStr">
        <is>
          <t>SOLLEFTEÅ</t>
        </is>
      </c>
      <c r="F4079" t="inlineStr">
        <is>
          <t>SCA</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44613-2021</t>
        </is>
      </c>
      <c r="B4080" s="1" t="n">
        <v>44435</v>
      </c>
      <c r="C4080" s="1" t="n">
        <v>45212</v>
      </c>
      <c r="D4080" t="inlineStr">
        <is>
          <t>VÄSTERNORRLANDS LÄN</t>
        </is>
      </c>
      <c r="E4080" t="inlineStr">
        <is>
          <t>ÖRNSKÖLDSVIK</t>
        </is>
      </c>
      <c r="G4080" t="n">
        <v>13.5</v>
      </c>
      <c r="H4080" t="n">
        <v>0</v>
      </c>
      <c r="I4080" t="n">
        <v>0</v>
      </c>
      <c r="J4080" t="n">
        <v>0</v>
      </c>
      <c r="K4080" t="n">
        <v>0</v>
      </c>
      <c r="L4080" t="n">
        <v>0</v>
      </c>
      <c r="M4080" t="n">
        <v>0</v>
      </c>
      <c r="N4080" t="n">
        <v>0</v>
      </c>
      <c r="O4080" t="n">
        <v>0</v>
      </c>
      <c r="P4080" t="n">
        <v>0</v>
      </c>
      <c r="Q4080" t="n">
        <v>0</v>
      </c>
      <c r="R4080" s="2" t="inlineStr"/>
    </row>
    <row r="4081" ht="15" customHeight="1">
      <c r="A4081" t="inlineStr">
        <is>
          <t>A 44415-2021</t>
        </is>
      </c>
      <c r="B4081" s="1" t="n">
        <v>44435</v>
      </c>
      <c r="C4081" s="1" t="n">
        <v>45212</v>
      </c>
      <c r="D4081" t="inlineStr">
        <is>
          <t>VÄSTERNORRLANDS LÄN</t>
        </is>
      </c>
      <c r="E4081" t="inlineStr">
        <is>
          <t>ÅNGE</t>
        </is>
      </c>
      <c r="G4081" t="n">
        <v>5.2</v>
      </c>
      <c r="H4081" t="n">
        <v>0</v>
      </c>
      <c r="I4081" t="n">
        <v>0</v>
      </c>
      <c r="J4081" t="n">
        <v>0</v>
      </c>
      <c r="K4081" t="n">
        <v>0</v>
      </c>
      <c r="L4081" t="n">
        <v>0</v>
      </c>
      <c r="M4081" t="n">
        <v>0</v>
      </c>
      <c r="N4081" t="n">
        <v>0</v>
      </c>
      <c r="O4081" t="n">
        <v>0</v>
      </c>
      <c r="P4081" t="n">
        <v>0</v>
      </c>
      <c r="Q4081" t="n">
        <v>0</v>
      </c>
      <c r="R4081" s="2" t="inlineStr"/>
    </row>
    <row r="4082" ht="15" customHeight="1">
      <c r="A4082" t="inlineStr">
        <is>
          <t>A 44442-2021</t>
        </is>
      </c>
      <c r="B4082" s="1" t="n">
        <v>44435</v>
      </c>
      <c r="C4082" s="1" t="n">
        <v>45212</v>
      </c>
      <c r="D4082" t="inlineStr">
        <is>
          <t>VÄSTERNORRLANDS LÄN</t>
        </is>
      </c>
      <c r="E4082" t="inlineStr">
        <is>
          <t>ÖRNSKÖLDSVIK</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44829-2021</t>
        </is>
      </c>
      <c r="B4083" s="1" t="n">
        <v>44438</v>
      </c>
      <c r="C4083" s="1" t="n">
        <v>45212</v>
      </c>
      <c r="D4083" t="inlineStr">
        <is>
          <t>VÄSTERNORRLANDS LÄN</t>
        </is>
      </c>
      <c r="E4083" t="inlineStr">
        <is>
          <t>KRAMFORS</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44920-2021</t>
        </is>
      </c>
      <c r="B4084" s="1" t="n">
        <v>44438</v>
      </c>
      <c r="C4084" s="1" t="n">
        <v>45212</v>
      </c>
      <c r="D4084" t="inlineStr">
        <is>
          <t>VÄSTERNORRLANDS LÄN</t>
        </is>
      </c>
      <c r="E4084" t="inlineStr">
        <is>
          <t>SUNDSVALL</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44771-2021</t>
        </is>
      </c>
      <c r="B4085" s="1" t="n">
        <v>44438</v>
      </c>
      <c r="C4085" s="1" t="n">
        <v>45212</v>
      </c>
      <c r="D4085" t="inlineStr">
        <is>
          <t>VÄSTERNORRLANDS LÄN</t>
        </is>
      </c>
      <c r="E4085" t="inlineStr">
        <is>
          <t>HÄRNÖSAND</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44934-2021</t>
        </is>
      </c>
      <c r="B4086" s="1" t="n">
        <v>44438</v>
      </c>
      <c r="C4086" s="1" t="n">
        <v>45212</v>
      </c>
      <c r="D4086" t="inlineStr">
        <is>
          <t>VÄSTERNORRLANDS LÄN</t>
        </is>
      </c>
      <c r="E4086" t="inlineStr">
        <is>
          <t>SUNDSVALL</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45145-2021</t>
        </is>
      </c>
      <c r="B4087" s="1" t="n">
        <v>44439</v>
      </c>
      <c r="C4087" s="1" t="n">
        <v>45212</v>
      </c>
      <c r="D4087" t="inlineStr">
        <is>
          <t>VÄSTERNORRLANDS LÄN</t>
        </is>
      </c>
      <c r="E4087" t="inlineStr">
        <is>
          <t>ÅNGE</t>
        </is>
      </c>
      <c r="F4087" t="inlineStr">
        <is>
          <t>Holmen skog AB</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45126-2021</t>
        </is>
      </c>
      <c r="B4088" s="1" t="n">
        <v>44439</v>
      </c>
      <c r="C4088" s="1" t="n">
        <v>45212</v>
      </c>
      <c r="D4088" t="inlineStr">
        <is>
          <t>VÄSTERNORRLANDS LÄN</t>
        </is>
      </c>
      <c r="E4088" t="inlineStr">
        <is>
          <t>ÖRNSKÖLDSVIK</t>
        </is>
      </c>
      <c r="G4088" t="n">
        <v>3.8</v>
      </c>
      <c r="H4088" t="n">
        <v>0</v>
      </c>
      <c r="I4088" t="n">
        <v>0</v>
      </c>
      <c r="J4088" t="n">
        <v>0</v>
      </c>
      <c r="K4088" t="n">
        <v>0</v>
      </c>
      <c r="L4088" t="n">
        <v>0</v>
      </c>
      <c r="M4088" t="n">
        <v>0</v>
      </c>
      <c r="N4088" t="n">
        <v>0</v>
      </c>
      <c r="O4088" t="n">
        <v>0</v>
      </c>
      <c r="P4088" t="n">
        <v>0</v>
      </c>
      <c r="Q4088" t="n">
        <v>0</v>
      </c>
      <c r="R4088" s="2" t="inlineStr"/>
    </row>
    <row r="4089" ht="15" customHeight="1">
      <c r="A4089" t="inlineStr">
        <is>
          <t>A 45187-2021</t>
        </is>
      </c>
      <c r="B4089" s="1" t="n">
        <v>44439</v>
      </c>
      <c r="C4089" s="1" t="n">
        <v>45212</v>
      </c>
      <c r="D4089" t="inlineStr">
        <is>
          <t>VÄSTERNORRLANDS LÄN</t>
        </is>
      </c>
      <c r="E4089" t="inlineStr">
        <is>
          <t>SOLLEFTEÅ</t>
        </is>
      </c>
      <c r="G4089" t="n">
        <v>3.2</v>
      </c>
      <c r="H4089" t="n">
        <v>0</v>
      </c>
      <c r="I4089" t="n">
        <v>0</v>
      </c>
      <c r="J4089" t="n">
        <v>0</v>
      </c>
      <c r="K4089" t="n">
        <v>0</v>
      </c>
      <c r="L4089" t="n">
        <v>0</v>
      </c>
      <c r="M4089" t="n">
        <v>0</v>
      </c>
      <c r="N4089" t="n">
        <v>0</v>
      </c>
      <c r="O4089" t="n">
        <v>0</v>
      </c>
      <c r="P4089" t="n">
        <v>0</v>
      </c>
      <c r="Q4089" t="n">
        <v>0</v>
      </c>
      <c r="R4089" s="2" t="inlineStr"/>
    </row>
    <row r="4090" ht="15" customHeight="1">
      <c r="A4090" t="inlineStr">
        <is>
          <t>A 45050-2021</t>
        </is>
      </c>
      <c r="B4090" s="1" t="n">
        <v>44439</v>
      </c>
      <c r="C4090" s="1" t="n">
        <v>45212</v>
      </c>
      <c r="D4090" t="inlineStr">
        <is>
          <t>VÄSTERNORRLANDS LÄN</t>
        </is>
      </c>
      <c r="E4090" t="inlineStr">
        <is>
          <t>ÖRNSKÖLDSVIK</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45105-2021</t>
        </is>
      </c>
      <c r="B4091" s="1" t="n">
        <v>44439</v>
      </c>
      <c r="C4091" s="1" t="n">
        <v>45212</v>
      </c>
      <c r="D4091" t="inlineStr">
        <is>
          <t>VÄSTERNORRLANDS LÄN</t>
        </is>
      </c>
      <c r="E4091" t="inlineStr">
        <is>
          <t>SOLLEFTEÅ</t>
        </is>
      </c>
      <c r="F4091" t="inlineStr">
        <is>
          <t>Kommuner</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45353-2021</t>
        </is>
      </c>
      <c r="B4092" s="1" t="n">
        <v>44439</v>
      </c>
      <c r="C4092" s="1" t="n">
        <v>45212</v>
      </c>
      <c r="D4092" t="inlineStr">
        <is>
          <t>VÄSTERNORRLANDS LÄN</t>
        </is>
      </c>
      <c r="E4092" t="inlineStr">
        <is>
          <t>ÅNGE</t>
        </is>
      </c>
      <c r="F4092" t="inlineStr">
        <is>
          <t>SCA</t>
        </is>
      </c>
      <c r="G4092" t="n">
        <v>3.6</v>
      </c>
      <c r="H4092" t="n">
        <v>0</v>
      </c>
      <c r="I4092" t="n">
        <v>0</v>
      </c>
      <c r="J4092" t="n">
        <v>0</v>
      </c>
      <c r="K4092" t="n">
        <v>0</v>
      </c>
      <c r="L4092" t="n">
        <v>0</v>
      </c>
      <c r="M4092" t="n">
        <v>0</v>
      </c>
      <c r="N4092" t="n">
        <v>0</v>
      </c>
      <c r="O4092" t="n">
        <v>0</v>
      </c>
      <c r="P4092" t="n">
        <v>0</v>
      </c>
      <c r="Q4092" t="n">
        <v>0</v>
      </c>
      <c r="R4092" s="2" t="inlineStr"/>
    </row>
    <row r="4093" ht="15" customHeight="1">
      <c r="A4093" t="inlineStr">
        <is>
          <t>A 45506-2021</t>
        </is>
      </c>
      <c r="B4093" s="1" t="n">
        <v>44440</v>
      </c>
      <c r="C4093" s="1" t="n">
        <v>45212</v>
      </c>
      <c r="D4093" t="inlineStr">
        <is>
          <t>VÄSTERNORRLANDS LÄN</t>
        </is>
      </c>
      <c r="E4093" t="inlineStr">
        <is>
          <t>SUNDSVALL</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45551-2021</t>
        </is>
      </c>
      <c r="B4094" s="1" t="n">
        <v>44440</v>
      </c>
      <c r="C4094" s="1" t="n">
        <v>45212</v>
      </c>
      <c r="D4094" t="inlineStr">
        <is>
          <t>VÄSTERNORRLANDS LÄN</t>
        </is>
      </c>
      <c r="E4094" t="inlineStr">
        <is>
          <t>ÖRNSKÖLDSVIK</t>
        </is>
      </c>
      <c r="F4094" t="inlineStr">
        <is>
          <t>Holmen skog AB</t>
        </is>
      </c>
      <c r="G4094" t="n">
        <v>8.9</v>
      </c>
      <c r="H4094" t="n">
        <v>0</v>
      </c>
      <c r="I4094" t="n">
        <v>0</v>
      </c>
      <c r="J4094" t="n">
        <v>0</v>
      </c>
      <c r="K4094" t="n">
        <v>0</v>
      </c>
      <c r="L4094" t="n">
        <v>0</v>
      </c>
      <c r="M4094" t="n">
        <v>0</v>
      </c>
      <c r="N4094" t="n">
        <v>0</v>
      </c>
      <c r="O4094" t="n">
        <v>0</v>
      </c>
      <c r="P4094" t="n">
        <v>0</v>
      </c>
      <c r="Q4094" t="n">
        <v>0</v>
      </c>
      <c r="R4094" s="2" t="inlineStr"/>
    </row>
    <row r="4095" ht="15" customHeight="1">
      <c r="A4095" t="inlineStr">
        <is>
          <t>A 45664-2021</t>
        </is>
      </c>
      <c r="B4095" s="1" t="n">
        <v>44440</v>
      </c>
      <c r="C4095" s="1" t="n">
        <v>45212</v>
      </c>
      <c r="D4095" t="inlineStr">
        <is>
          <t>VÄSTERNORRLANDS LÄN</t>
        </is>
      </c>
      <c r="E4095" t="inlineStr">
        <is>
          <t>KRAMFORS</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45426-2021</t>
        </is>
      </c>
      <c r="B4096" s="1" t="n">
        <v>44440</v>
      </c>
      <c r="C4096" s="1" t="n">
        <v>45212</v>
      </c>
      <c r="D4096" t="inlineStr">
        <is>
          <t>VÄSTERNORRLANDS LÄN</t>
        </is>
      </c>
      <c r="E4096" t="inlineStr">
        <is>
          <t>ÖRNSKÖLDSVIK</t>
        </is>
      </c>
      <c r="F4096" t="inlineStr">
        <is>
          <t>Holmen skog AB</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45441-2021</t>
        </is>
      </c>
      <c r="B4097" s="1" t="n">
        <v>44440</v>
      </c>
      <c r="C4097" s="1" t="n">
        <v>45212</v>
      </c>
      <c r="D4097" t="inlineStr">
        <is>
          <t>VÄSTERNORRLANDS LÄN</t>
        </is>
      </c>
      <c r="E4097" t="inlineStr">
        <is>
          <t>TIMRÅ</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45456-2021</t>
        </is>
      </c>
      <c r="B4098" s="1" t="n">
        <v>44440</v>
      </c>
      <c r="C4098" s="1" t="n">
        <v>45212</v>
      </c>
      <c r="D4098" t="inlineStr">
        <is>
          <t>VÄSTERNORRLANDS LÄN</t>
        </is>
      </c>
      <c r="E4098" t="inlineStr">
        <is>
          <t>ÖRNSKÖLDSVIK</t>
        </is>
      </c>
      <c r="F4098" t="inlineStr">
        <is>
          <t>Holmen skog AB</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45646-2021</t>
        </is>
      </c>
      <c r="B4099" s="1" t="n">
        <v>44440</v>
      </c>
      <c r="C4099" s="1" t="n">
        <v>45212</v>
      </c>
      <c r="D4099" t="inlineStr">
        <is>
          <t>VÄSTERNORRLANDS LÄN</t>
        </is>
      </c>
      <c r="E4099" t="inlineStr">
        <is>
          <t>SUNDSVALL</t>
        </is>
      </c>
      <c r="F4099" t="inlineStr">
        <is>
          <t>SCA</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45739-2021</t>
        </is>
      </c>
      <c r="B4100" s="1" t="n">
        <v>44441</v>
      </c>
      <c r="C4100" s="1" t="n">
        <v>45212</v>
      </c>
      <c r="D4100" t="inlineStr">
        <is>
          <t>VÄSTERNORRLANDS LÄN</t>
        </is>
      </c>
      <c r="E4100" t="inlineStr">
        <is>
          <t>SUNDSVALL</t>
        </is>
      </c>
      <c r="G4100" t="n">
        <v>14.8</v>
      </c>
      <c r="H4100" t="n">
        <v>0</v>
      </c>
      <c r="I4100" t="n">
        <v>0</v>
      </c>
      <c r="J4100" t="n">
        <v>0</v>
      </c>
      <c r="K4100" t="n">
        <v>0</v>
      </c>
      <c r="L4100" t="n">
        <v>0</v>
      </c>
      <c r="M4100" t="n">
        <v>0</v>
      </c>
      <c r="N4100" t="n">
        <v>0</v>
      </c>
      <c r="O4100" t="n">
        <v>0</v>
      </c>
      <c r="P4100" t="n">
        <v>0</v>
      </c>
      <c r="Q4100" t="n">
        <v>0</v>
      </c>
      <c r="R4100" s="2" t="inlineStr"/>
    </row>
    <row r="4101" ht="15" customHeight="1">
      <c r="A4101" t="inlineStr">
        <is>
          <t>A 45775-2021</t>
        </is>
      </c>
      <c r="B4101" s="1" t="n">
        <v>44441</v>
      </c>
      <c r="C4101" s="1" t="n">
        <v>45212</v>
      </c>
      <c r="D4101" t="inlineStr">
        <is>
          <t>VÄSTERNORRLANDS LÄN</t>
        </is>
      </c>
      <c r="E4101" t="inlineStr">
        <is>
          <t>SUNDSVALL</t>
        </is>
      </c>
      <c r="G4101" t="n">
        <v>3.7</v>
      </c>
      <c r="H4101" t="n">
        <v>0</v>
      </c>
      <c r="I4101" t="n">
        <v>0</v>
      </c>
      <c r="J4101" t="n">
        <v>0</v>
      </c>
      <c r="K4101" t="n">
        <v>0</v>
      </c>
      <c r="L4101" t="n">
        <v>0</v>
      </c>
      <c r="M4101" t="n">
        <v>0</v>
      </c>
      <c r="N4101" t="n">
        <v>0</v>
      </c>
      <c r="O4101" t="n">
        <v>0</v>
      </c>
      <c r="P4101" t="n">
        <v>0</v>
      </c>
      <c r="Q4101" t="n">
        <v>0</v>
      </c>
      <c r="R4101" s="2" t="inlineStr"/>
    </row>
    <row r="4102" ht="15" customHeight="1">
      <c r="A4102" t="inlineStr">
        <is>
          <t>A 45874-2021</t>
        </is>
      </c>
      <c r="B4102" s="1" t="n">
        <v>44441</v>
      </c>
      <c r="C4102" s="1" t="n">
        <v>45212</v>
      </c>
      <c r="D4102" t="inlineStr">
        <is>
          <t>VÄSTERNORRLANDS LÄN</t>
        </is>
      </c>
      <c r="E4102" t="inlineStr">
        <is>
          <t>ÖRNSKÖLDSVIK</t>
        </is>
      </c>
      <c r="F4102" t="inlineStr">
        <is>
          <t>Holmen skog AB</t>
        </is>
      </c>
      <c r="G4102" t="n">
        <v>8.6</v>
      </c>
      <c r="H4102" t="n">
        <v>0</v>
      </c>
      <c r="I4102" t="n">
        <v>0</v>
      </c>
      <c r="J4102" t="n">
        <v>0</v>
      </c>
      <c r="K4102" t="n">
        <v>0</v>
      </c>
      <c r="L4102" t="n">
        <v>0</v>
      </c>
      <c r="M4102" t="n">
        <v>0</v>
      </c>
      <c r="N4102" t="n">
        <v>0</v>
      </c>
      <c r="O4102" t="n">
        <v>0</v>
      </c>
      <c r="P4102" t="n">
        <v>0</v>
      </c>
      <c r="Q4102" t="n">
        <v>0</v>
      </c>
      <c r="R4102" s="2" t="inlineStr"/>
    </row>
    <row r="4103" ht="15" customHeight="1">
      <c r="A4103" t="inlineStr">
        <is>
          <t>A 45735-2021</t>
        </is>
      </c>
      <c r="B4103" s="1" t="n">
        <v>44441</v>
      </c>
      <c r="C4103" s="1" t="n">
        <v>45212</v>
      </c>
      <c r="D4103" t="inlineStr">
        <is>
          <t>VÄSTERNORRLANDS LÄN</t>
        </is>
      </c>
      <c r="E4103" t="inlineStr">
        <is>
          <t>ÅNGE</t>
        </is>
      </c>
      <c r="F4103" t="inlineStr">
        <is>
          <t>Sveaskog</t>
        </is>
      </c>
      <c r="G4103" t="n">
        <v>9.199999999999999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45890-2021</t>
        </is>
      </c>
      <c r="B4104" s="1" t="n">
        <v>44441</v>
      </c>
      <c r="C4104" s="1" t="n">
        <v>45212</v>
      </c>
      <c r="D4104" t="inlineStr">
        <is>
          <t>VÄSTERNORRLANDS LÄN</t>
        </is>
      </c>
      <c r="E4104" t="inlineStr">
        <is>
          <t>ÅNGE</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45959-2021</t>
        </is>
      </c>
      <c r="B4105" s="1" t="n">
        <v>44441</v>
      </c>
      <c r="C4105" s="1" t="n">
        <v>45212</v>
      </c>
      <c r="D4105" t="inlineStr">
        <is>
          <t>VÄSTERNORRLANDS LÄN</t>
        </is>
      </c>
      <c r="E4105" t="inlineStr">
        <is>
          <t>SUNDSVALL</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46053-2021</t>
        </is>
      </c>
      <c r="B4106" s="1" t="n">
        <v>44441</v>
      </c>
      <c r="C4106" s="1" t="n">
        <v>45212</v>
      </c>
      <c r="D4106" t="inlineStr">
        <is>
          <t>VÄSTERNORRLANDS LÄN</t>
        </is>
      </c>
      <c r="E4106" t="inlineStr">
        <is>
          <t>ÅNGE</t>
        </is>
      </c>
      <c r="F4106" t="inlineStr">
        <is>
          <t>SCA</t>
        </is>
      </c>
      <c r="G4106" t="n">
        <v>0.2</v>
      </c>
      <c r="H4106" t="n">
        <v>0</v>
      </c>
      <c r="I4106" t="n">
        <v>0</v>
      </c>
      <c r="J4106" t="n">
        <v>0</v>
      </c>
      <c r="K4106" t="n">
        <v>0</v>
      </c>
      <c r="L4106" t="n">
        <v>0</v>
      </c>
      <c r="M4106" t="n">
        <v>0</v>
      </c>
      <c r="N4106" t="n">
        <v>0</v>
      </c>
      <c r="O4106" t="n">
        <v>0</v>
      </c>
      <c r="P4106" t="n">
        <v>0</v>
      </c>
      <c r="Q4106" t="n">
        <v>0</v>
      </c>
      <c r="R4106" s="2" t="inlineStr"/>
    </row>
    <row r="4107" ht="15" customHeight="1">
      <c r="A4107" t="inlineStr">
        <is>
          <t>A 46277-2021</t>
        </is>
      </c>
      <c r="B4107" s="1" t="n">
        <v>44442</v>
      </c>
      <c r="C4107" s="1" t="n">
        <v>45212</v>
      </c>
      <c r="D4107" t="inlineStr">
        <is>
          <t>VÄSTERNORRLANDS LÄN</t>
        </is>
      </c>
      <c r="E4107" t="inlineStr">
        <is>
          <t>ÖRNSKÖLDSVIK</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46269-2021</t>
        </is>
      </c>
      <c r="B4108" s="1" t="n">
        <v>44442</v>
      </c>
      <c r="C4108" s="1" t="n">
        <v>45212</v>
      </c>
      <c r="D4108" t="inlineStr">
        <is>
          <t>VÄSTERNORRLANDS LÄN</t>
        </is>
      </c>
      <c r="E4108" t="inlineStr">
        <is>
          <t>ÖRNSKÖLDSVIK</t>
        </is>
      </c>
      <c r="F4108" t="inlineStr">
        <is>
          <t>Kyrkan</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46669-2021</t>
        </is>
      </c>
      <c r="B4109" s="1" t="n">
        <v>44445</v>
      </c>
      <c r="C4109" s="1" t="n">
        <v>45212</v>
      </c>
      <c r="D4109" t="inlineStr">
        <is>
          <t>VÄSTERNORRLANDS LÄN</t>
        </is>
      </c>
      <c r="E4109" t="inlineStr">
        <is>
          <t>ÖRNSKÖLDSVIK</t>
        </is>
      </c>
      <c r="F4109" t="inlineStr">
        <is>
          <t>Holmen skog AB</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46948-2021</t>
        </is>
      </c>
      <c r="B4110" s="1" t="n">
        <v>44446</v>
      </c>
      <c r="C4110" s="1" t="n">
        <v>45212</v>
      </c>
      <c r="D4110" t="inlineStr">
        <is>
          <t>VÄSTERNORRLANDS LÄN</t>
        </is>
      </c>
      <c r="E4110" t="inlineStr">
        <is>
          <t>ÖRNSKÖLDSVIK</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47143-2021</t>
        </is>
      </c>
      <c r="B4111" s="1" t="n">
        <v>44446</v>
      </c>
      <c r="C4111" s="1" t="n">
        <v>45212</v>
      </c>
      <c r="D4111" t="inlineStr">
        <is>
          <t>VÄSTERNORRLANDS LÄN</t>
        </is>
      </c>
      <c r="E4111" t="inlineStr">
        <is>
          <t>ÖRNSKÖLDSVIK</t>
        </is>
      </c>
      <c r="G4111" t="n">
        <v>32.5</v>
      </c>
      <c r="H4111" t="n">
        <v>0</v>
      </c>
      <c r="I4111" t="n">
        <v>0</v>
      </c>
      <c r="J4111" t="n">
        <v>0</v>
      </c>
      <c r="K4111" t="n">
        <v>0</v>
      </c>
      <c r="L4111" t="n">
        <v>0</v>
      </c>
      <c r="M4111" t="n">
        <v>0</v>
      </c>
      <c r="N4111" t="n">
        <v>0</v>
      </c>
      <c r="O4111" t="n">
        <v>0</v>
      </c>
      <c r="P4111" t="n">
        <v>0</v>
      </c>
      <c r="Q4111" t="n">
        <v>0</v>
      </c>
      <c r="R4111" s="2" t="inlineStr"/>
    </row>
    <row r="4112" ht="15" customHeight="1">
      <c r="A4112" t="inlineStr">
        <is>
          <t>A 46911-2021</t>
        </is>
      </c>
      <c r="B4112" s="1" t="n">
        <v>44446</v>
      </c>
      <c r="C4112" s="1" t="n">
        <v>45212</v>
      </c>
      <c r="D4112" t="inlineStr">
        <is>
          <t>VÄSTERNORRLANDS LÄN</t>
        </is>
      </c>
      <c r="E4112" t="inlineStr">
        <is>
          <t>ÖRNSKÖLDSVIK</t>
        </is>
      </c>
      <c r="G4112" t="n">
        <v>14.9</v>
      </c>
      <c r="H4112" t="n">
        <v>0</v>
      </c>
      <c r="I4112" t="n">
        <v>0</v>
      </c>
      <c r="J4112" t="n">
        <v>0</v>
      </c>
      <c r="K4112" t="n">
        <v>0</v>
      </c>
      <c r="L4112" t="n">
        <v>0</v>
      </c>
      <c r="M4112" t="n">
        <v>0</v>
      </c>
      <c r="N4112" t="n">
        <v>0</v>
      </c>
      <c r="O4112" t="n">
        <v>0</v>
      </c>
      <c r="P4112" t="n">
        <v>0</v>
      </c>
      <c r="Q4112" t="n">
        <v>0</v>
      </c>
      <c r="R4112" s="2" t="inlineStr"/>
    </row>
    <row r="4113" ht="15" customHeight="1">
      <c r="A4113" t="inlineStr">
        <is>
          <t>A 47569-2021</t>
        </is>
      </c>
      <c r="B4113" s="1" t="n">
        <v>44447</v>
      </c>
      <c r="C4113" s="1" t="n">
        <v>45212</v>
      </c>
      <c r="D4113" t="inlineStr">
        <is>
          <t>VÄSTERNORRLANDS LÄN</t>
        </is>
      </c>
      <c r="E4113" t="inlineStr">
        <is>
          <t>TIMRÅ</t>
        </is>
      </c>
      <c r="F4113" t="inlineStr">
        <is>
          <t>SCA</t>
        </is>
      </c>
      <c r="G4113" t="n">
        <v>2.9</v>
      </c>
      <c r="H4113" t="n">
        <v>0</v>
      </c>
      <c r="I4113" t="n">
        <v>0</v>
      </c>
      <c r="J4113" t="n">
        <v>0</v>
      </c>
      <c r="K4113" t="n">
        <v>0</v>
      </c>
      <c r="L4113" t="n">
        <v>0</v>
      </c>
      <c r="M4113" t="n">
        <v>0</v>
      </c>
      <c r="N4113" t="n">
        <v>0</v>
      </c>
      <c r="O4113" t="n">
        <v>0</v>
      </c>
      <c r="P4113" t="n">
        <v>0</v>
      </c>
      <c r="Q4113" t="n">
        <v>0</v>
      </c>
      <c r="R4113" s="2" t="inlineStr"/>
    </row>
    <row r="4114" ht="15" customHeight="1">
      <c r="A4114" t="inlineStr">
        <is>
          <t>A 47572-2021</t>
        </is>
      </c>
      <c r="B4114" s="1" t="n">
        <v>44447</v>
      </c>
      <c r="C4114" s="1" t="n">
        <v>45212</v>
      </c>
      <c r="D4114" t="inlineStr">
        <is>
          <t>VÄSTERNORRLANDS LÄN</t>
        </is>
      </c>
      <c r="E4114" t="inlineStr">
        <is>
          <t>KRAMFORS</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47413-2021</t>
        </is>
      </c>
      <c r="B4115" s="1" t="n">
        <v>44447</v>
      </c>
      <c r="C4115" s="1" t="n">
        <v>45212</v>
      </c>
      <c r="D4115" t="inlineStr">
        <is>
          <t>VÄSTERNORRLANDS LÄN</t>
        </is>
      </c>
      <c r="E4115" t="inlineStr">
        <is>
          <t>ÖRNSKÖLDSVIK</t>
        </is>
      </c>
      <c r="F4115" t="inlineStr">
        <is>
          <t>Holmen skog AB</t>
        </is>
      </c>
      <c r="G4115" t="n">
        <v>0.4</v>
      </c>
      <c r="H4115" t="n">
        <v>0</v>
      </c>
      <c r="I4115" t="n">
        <v>0</v>
      </c>
      <c r="J4115" t="n">
        <v>0</v>
      </c>
      <c r="K4115" t="n">
        <v>0</v>
      </c>
      <c r="L4115" t="n">
        <v>0</v>
      </c>
      <c r="M4115" t="n">
        <v>0</v>
      </c>
      <c r="N4115" t="n">
        <v>0</v>
      </c>
      <c r="O4115" t="n">
        <v>0</v>
      </c>
      <c r="P4115" t="n">
        <v>0</v>
      </c>
      <c r="Q4115" t="n">
        <v>0</v>
      </c>
      <c r="R4115" s="2" t="inlineStr"/>
    </row>
    <row r="4116" ht="15" customHeight="1">
      <c r="A4116" t="inlineStr">
        <is>
          <t>A 47488-2021</t>
        </is>
      </c>
      <c r="B4116" s="1" t="n">
        <v>44447</v>
      </c>
      <c r="C4116" s="1" t="n">
        <v>45212</v>
      </c>
      <c r="D4116" t="inlineStr">
        <is>
          <t>VÄSTERNORRLANDS LÄN</t>
        </is>
      </c>
      <c r="E4116" t="inlineStr">
        <is>
          <t>ÖRNSKÖLDSVIK</t>
        </is>
      </c>
      <c r="F4116" t="inlineStr">
        <is>
          <t>Holmen skog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47547-2021</t>
        </is>
      </c>
      <c r="B4117" s="1" t="n">
        <v>44447</v>
      </c>
      <c r="C4117" s="1" t="n">
        <v>45212</v>
      </c>
      <c r="D4117" t="inlineStr">
        <is>
          <t>VÄSTERNORRLANDS LÄN</t>
        </is>
      </c>
      <c r="E4117" t="inlineStr">
        <is>
          <t>HÄRNÖSAND</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47565-2021</t>
        </is>
      </c>
      <c r="B4118" s="1" t="n">
        <v>44447</v>
      </c>
      <c r="C4118" s="1" t="n">
        <v>45212</v>
      </c>
      <c r="D4118" t="inlineStr">
        <is>
          <t>VÄSTERNORRLANDS LÄN</t>
        </is>
      </c>
      <c r="E4118" t="inlineStr">
        <is>
          <t>SUNDSVALL</t>
        </is>
      </c>
      <c r="F4118" t="inlineStr">
        <is>
          <t>SCA</t>
        </is>
      </c>
      <c r="G4118" t="n">
        <v>1.6</v>
      </c>
      <c r="H4118" t="n">
        <v>0</v>
      </c>
      <c r="I4118" t="n">
        <v>0</v>
      </c>
      <c r="J4118" t="n">
        <v>0</v>
      </c>
      <c r="K4118" t="n">
        <v>0</v>
      </c>
      <c r="L4118" t="n">
        <v>0</v>
      </c>
      <c r="M4118" t="n">
        <v>0</v>
      </c>
      <c r="N4118" t="n">
        <v>0</v>
      </c>
      <c r="O4118" t="n">
        <v>0</v>
      </c>
      <c r="P4118" t="n">
        <v>0</v>
      </c>
      <c r="Q4118" t="n">
        <v>0</v>
      </c>
      <c r="R4118" s="2" t="inlineStr"/>
    </row>
    <row r="4119" ht="15" customHeight="1">
      <c r="A4119" t="inlineStr">
        <is>
          <t>A 47702-2021</t>
        </is>
      </c>
      <c r="B4119" s="1" t="n">
        <v>44448</v>
      </c>
      <c r="C4119" s="1" t="n">
        <v>45212</v>
      </c>
      <c r="D4119" t="inlineStr">
        <is>
          <t>VÄSTERNORRLANDS LÄN</t>
        </is>
      </c>
      <c r="E4119" t="inlineStr">
        <is>
          <t>HÄRNÖSAND</t>
        </is>
      </c>
      <c r="G4119" t="n">
        <v>4.5</v>
      </c>
      <c r="H4119" t="n">
        <v>0</v>
      </c>
      <c r="I4119" t="n">
        <v>0</v>
      </c>
      <c r="J4119" t="n">
        <v>0</v>
      </c>
      <c r="K4119" t="n">
        <v>0</v>
      </c>
      <c r="L4119" t="n">
        <v>0</v>
      </c>
      <c r="M4119" t="n">
        <v>0</v>
      </c>
      <c r="N4119" t="n">
        <v>0</v>
      </c>
      <c r="O4119" t="n">
        <v>0</v>
      </c>
      <c r="P4119" t="n">
        <v>0</v>
      </c>
      <c r="Q4119" t="n">
        <v>0</v>
      </c>
      <c r="R4119" s="2" t="inlineStr"/>
    </row>
    <row r="4120" ht="15" customHeight="1">
      <c r="A4120" t="inlineStr">
        <is>
          <t>A 47675-2021</t>
        </is>
      </c>
      <c r="B4120" s="1" t="n">
        <v>44448</v>
      </c>
      <c r="C4120" s="1" t="n">
        <v>45212</v>
      </c>
      <c r="D4120" t="inlineStr">
        <is>
          <t>VÄSTERNORRLANDS LÄN</t>
        </is>
      </c>
      <c r="E4120" t="inlineStr">
        <is>
          <t>SOLLEFTEÅ</t>
        </is>
      </c>
      <c r="F4120" t="inlineStr">
        <is>
          <t>Holmen skog AB</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47767-2021</t>
        </is>
      </c>
      <c r="B4121" s="1" t="n">
        <v>44448</v>
      </c>
      <c r="C4121" s="1" t="n">
        <v>45212</v>
      </c>
      <c r="D4121" t="inlineStr">
        <is>
          <t>VÄSTERNORRLANDS LÄN</t>
        </is>
      </c>
      <c r="E4121" t="inlineStr">
        <is>
          <t>ÖRNSKÖLDSVIK</t>
        </is>
      </c>
      <c r="F4121" t="inlineStr">
        <is>
          <t>Holmen skog AB</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47626-2021</t>
        </is>
      </c>
      <c r="B4122" s="1" t="n">
        <v>44448</v>
      </c>
      <c r="C4122" s="1" t="n">
        <v>45212</v>
      </c>
      <c r="D4122" t="inlineStr">
        <is>
          <t>VÄSTERNORRLANDS LÄN</t>
        </is>
      </c>
      <c r="E4122" t="inlineStr">
        <is>
          <t>SOLLEFTEÅ</t>
        </is>
      </c>
      <c r="F4122" t="inlineStr">
        <is>
          <t>Holmen skog AB</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47672-2021</t>
        </is>
      </c>
      <c r="B4123" s="1" t="n">
        <v>44448</v>
      </c>
      <c r="C4123" s="1" t="n">
        <v>45212</v>
      </c>
      <c r="D4123" t="inlineStr">
        <is>
          <t>VÄSTERNORRLANDS LÄN</t>
        </is>
      </c>
      <c r="E4123" t="inlineStr">
        <is>
          <t>ÖRNSKÖLDSVIK</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47681-2021</t>
        </is>
      </c>
      <c r="B4124" s="1" t="n">
        <v>44448</v>
      </c>
      <c r="C4124" s="1" t="n">
        <v>45212</v>
      </c>
      <c r="D4124" t="inlineStr">
        <is>
          <t>VÄSTERNORRLANDS LÄN</t>
        </is>
      </c>
      <c r="E4124" t="inlineStr">
        <is>
          <t>SOLLEFTEÅ</t>
        </is>
      </c>
      <c r="F4124" t="inlineStr">
        <is>
          <t>Holmen skog AB</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47643-2021</t>
        </is>
      </c>
      <c r="B4125" s="1" t="n">
        <v>44448</v>
      </c>
      <c r="C4125" s="1" t="n">
        <v>45212</v>
      </c>
      <c r="D4125" t="inlineStr">
        <is>
          <t>VÄSTERNORRLANDS LÄN</t>
        </is>
      </c>
      <c r="E4125" t="inlineStr">
        <is>
          <t>SOLLEFTEÅ</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47944-2021</t>
        </is>
      </c>
      <c r="B4126" s="1" t="n">
        <v>44448</v>
      </c>
      <c r="C4126" s="1" t="n">
        <v>45212</v>
      </c>
      <c r="D4126" t="inlineStr">
        <is>
          <t>VÄSTERNORRLANDS LÄN</t>
        </is>
      </c>
      <c r="E4126" t="inlineStr">
        <is>
          <t>SUNDSVALL</t>
        </is>
      </c>
      <c r="F4126" t="inlineStr">
        <is>
          <t>SCA</t>
        </is>
      </c>
      <c r="G4126" t="n">
        <v>5.5</v>
      </c>
      <c r="H4126" t="n">
        <v>0</v>
      </c>
      <c r="I4126" t="n">
        <v>0</v>
      </c>
      <c r="J4126" t="n">
        <v>0</v>
      </c>
      <c r="K4126" t="n">
        <v>0</v>
      </c>
      <c r="L4126" t="n">
        <v>0</v>
      </c>
      <c r="M4126" t="n">
        <v>0</v>
      </c>
      <c r="N4126" t="n">
        <v>0</v>
      </c>
      <c r="O4126" t="n">
        <v>0</v>
      </c>
      <c r="P4126" t="n">
        <v>0</v>
      </c>
      <c r="Q4126" t="n">
        <v>0</v>
      </c>
      <c r="R4126" s="2" t="inlineStr"/>
    </row>
    <row r="4127" ht="15" customHeight="1">
      <c r="A4127" t="inlineStr">
        <is>
          <t>A 48350-2021</t>
        </is>
      </c>
      <c r="B4127" s="1" t="n">
        <v>44451</v>
      </c>
      <c r="C4127" s="1" t="n">
        <v>45212</v>
      </c>
      <c r="D4127" t="inlineStr">
        <is>
          <t>VÄSTERNORRLANDS LÄN</t>
        </is>
      </c>
      <c r="E4127" t="inlineStr">
        <is>
          <t>ÖRNSKÖLDSVIK</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48705-2021</t>
        </is>
      </c>
      <c r="B4128" s="1" t="n">
        <v>44452</v>
      </c>
      <c r="C4128" s="1" t="n">
        <v>45212</v>
      </c>
      <c r="D4128" t="inlineStr">
        <is>
          <t>VÄSTERNORRLANDS LÄN</t>
        </is>
      </c>
      <c r="E4128" t="inlineStr">
        <is>
          <t>SUNDSVALL</t>
        </is>
      </c>
      <c r="G4128" t="n">
        <v>3.3</v>
      </c>
      <c r="H4128" t="n">
        <v>0</v>
      </c>
      <c r="I4128" t="n">
        <v>0</v>
      </c>
      <c r="J4128" t="n">
        <v>0</v>
      </c>
      <c r="K4128" t="n">
        <v>0</v>
      </c>
      <c r="L4128" t="n">
        <v>0</v>
      </c>
      <c r="M4128" t="n">
        <v>0</v>
      </c>
      <c r="N4128" t="n">
        <v>0</v>
      </c>
      <c r="O4128" t="n">
        <v>0</v>
      </c>
      <c r="P4128" t="n">
        <v>0</v>
      </c>
      <c r="Q4128" t="n">
        <v>0</v>
      </c>
      <c r="R4128" s="2" t="inlineStr"/>
    </row>
    <row r="4129" ht="15" customHeight="1">
      <c r="A4129" t="inlineStr">
        <is>
          <t>A 48876-2021</t>
        </is>
      </c>
      <c r="B4129" s="1" t="n">
        <v>44452</v>
      </c>
      <c r="C4129" s="1" t="n">
        <v>45212</v>
      </c>
      <c r="D4129" t="inlineStr">
        <is>
          <t>VÄSTERNORRLANDS LÄN</t>
        </is>
      </c>
      <c r="E4129" t="inlineStr">
        <is>
          <t>ÅNGE</t>
        </is>
      </c>
      <c r="F4129" t="inlineStr">
        <is>
          <t>SCA</t>
        </is>
      </c>
      <c r="G4129" t="n">
        <v>3.9</v>
      </c>
      <c r="H4129" t="n">
        <v>0</v>
      </c>
      <c r="I4129" t="n">
        <v>0</v>
      </c>
      <c r="J4129" t="n">
        <v>0</v>
      </c>
      <c r="K4129" t="n">
        <v>0</v>
      </c>
      <c r="L4129" t="n">
        <v>0</v>
      </c>
      <c r="M4129" t="n">
        <v>0</v>
      </c>
      <c r="N4129" t="n">
        <v>0</v>
      </c>
      <c r="O4129" t="n">
        <v>0</v>
      </c>
      <c r="P4129" t="n">
        <v>0</v>
      </c>
      <c r="Q4129" t="n">
        <v>0</v>
      </c>
      <c r="R4129" s="2" t="inlineStr"/>
    </row>
    <row r="4130" ht="15" customHeight="1">
      <c r="A4130" t="inlineStr">
        <is>
          <t>A 48554-2021</t>
        </is>
      </c>
      <c r="B4130" s="1" t="n">
        <v>44452</v>
      </c>
      <c r="C4130" s="1" t="n">
        <v>45212</v>
      </c>
      <c r="D4130" t="inlineStr">
        <is>
          <t>VÄSTERNORRLANDS LÄN</t>
        </is>
      </c>
      <c r="E4130" t="inlineStr">
        <is>
          <t>ÖRNSKÖLDSVIK</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48578-2021</t>
        </is>
      </c>
      <c r="B4131" s="1" t="n">
        <v>44452</v>
      </c>
      <c r="C4131" s="1" t="n">
        <v>45212</v>
      </c>
      <c r="D4131" t="inlineStr">
        <is>
          <t>VÄSTERNORRLANDS LÄN</t>
        </is>
      </c>
      <c r="E4131" t="inlineStr">
        <is>
          <t>SOLLEFTEÅ</t>
        </is>
      </c>
      <c r="G4131" t="n">
        <v>26</v>
      </c>
      <c r="H4131" t="n">
        <v>0</v>
      </c>
      <c r="I4131" t="n">
        <v>0</v>
      </c>
      <c r="J4131" t="n">
        <v>0</v>
      </c>
      <c r="K4131" t="n">
        <v>0</v>
      </c>
      <c r="L4131" t="n">
        <v>0</v>
      </c>
      <c r="M4131" t="n">
        <v>0</v>
      </c>
      <c r="N4131" t="n">
        <v>0</v>
      </c>
      <c r="O4131" t="n">
        <v>0</v>
      </c>
      <c r="P4131" t="n">
        <v>0</v>
      </c>
      <c r="Q4131" t="n">
        <v>0</v>
      </c>
      <c r="R4131" s="2" t="inlineStr"/>
    </row>
    <row r="4132" ht="15" customHeight="1">
      <c r="A4132" t="inlineStr">
        <is>
          <t>A 48589-2021</t>
        </is>
      </c>
      <c r="B4132" s="1" t="n">
        <v>44452</v>
      </c>
      <c r="C4132" s="1" t="n">
        <v>45212</v>
      </c>
      <c r="D4132" t="inlineStr">
        <is>
          <t>VÄSTERNORRLANDS LÄN</t>
        </is>
      </c>
      <c r="E4132" t="inlineStr">
        <is>
          <t>ÖRNSKÖLDSVIK</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48682-2021</t>
        </is>
      </c>
      <c r="B4133" s="1" t="n">
        <v>44452</v>
      </c>
      <c r="C4133" s="1" t="n">
        <v>45212</v>
      </c>
      <c r="D4133" t="inlineStr">
        <is>
          <t>VÄSTERNORRLANDS LÄN</t>
        </is>
      </c>
      <c r="E4133" t="inlineStr">
        <is>
          <t>ÖRNSKÖLDSVIK</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48479-2021</t>
        </is>
      </c>
      <c r="B4134" s="1" t="n">
        <v>44452</v>
      </c>
      <c r="C4134" s="1" t="n">
        <v>45212</v>
      </c>
      <c r="D4134" t="inlineStr">
        <is>
          <t>VÄSTERNORRLANDS LÄN</t>
        </is>
      </c>
      <c r="E4134" t="inlineStr">
        <is>
          <t>ÖRNSKÖLDSVIK</t>
        </is>
      </c>
      <c r="F4134" t="inlineStr">
        <is>
          <t>Holmen skog AB</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48541-2021</t>
        </is>
      </c>
      <c r="B4135" s="1" t="n">
        <v>44452</v>
      </c>
      <c r="C4135" s="1" t="n">
        <v>45212</v>
      </c>
      <c r="D4135" t="inlineStr">
        <is>
          <t>VÄSTERNORRLANDS LÄN</t>
        </is>
      </c>
      <c r="E4135" t="inlineStr">
        <is>
          <t>ÖRNSKÖLDSVIK</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48555-2021</t>
        </is>
      </c>
      <c r="B4136" s="1" t="n">
        <v>44452</v>
      </c>
      <c r="C4136" s="1" t="n">
        <v>45212</v>
      </c>
      <c r="D4136" t="inlineStr">
        <is>
          <t>VÄSTERNORRLANDS LÄN</t>
        </is>
      </c>
      <c r="E4136" t="inlineStr">
        <is>
          <t>SOLLEFTEÅ</t>
        </is>
      </c>
      <c r="G4136" t="n">
        <v>9.300000000000001</v>
      </c>
      <c r="H4136" t="n">
        <v>0</v>
      </c>
      <c r="I4136" t="n">
        <v>0</v>
      </c>
      <c r="J4136" t="n">
        <v>0</v>
      </c>
      <c r="K4136" t="n">
        <v>0</v>
      </c>
      <c r="L4136" t="n">
        <v>0</v>
      </c>
      <c r="M4136" t="n">
        <v>0</v>
      </c>
      <c r="N4136" t="n">
        <v>0</v>
      </c>
      <c r="O4136" t="n">
        <v>0</v>
      </c>
      <c r="P4136" t="n">
        <v>0</v>
      </c>
      <c r="Q4136" t="n">
        <v>0</v>
      </c>
      <c r="R4136" s="2" t="inlineStr"/>
    </row>
    <row r="4137" ht="15" customHeight="1">
      <c r="A4137" t="inlineStr">
        <is>
          <t>A 48662-2021</t>
        </is>
      </c>
      <c r="B4137" s="1" t="n">
        <v>44452</v>
      </c>
      <c r="C4137" s="1" t="n">
        <v>45212</v>
      </c>
      <c r="D4137" t="inlineStr">
        <is>
          <t>VÄSTERNORRLANDS LÄN</t>
        </is>
      </c>
      <c r="E4137" t="inlineStr">
        <is>
          <t>SUNDSVALL</t>
        </is>
      </c>
      <c r="G4137" t="n">
        <v>2.5</v>
      </c>
      <c r="H4137" t="n">
        <v>0</v>
      </c>
      <c r="I4137" t="n">
        <v>0</v>
      </c>
      <c r="J4137" t="n">
        <v>0</v>
      </c>
      <c r="K4137" t="n">
        <v>0</v>
      </c>
      <c r="L4137" t="n">
        <v>0</v>
      </c>
      <c r="M4137" t="n">
        <v>0</v>
      </c>
      <c r="N4137" t="n">
        <v>0</v>
      </c>
      <c r="O4137" t="n">
        <v>0</v>
      </c>
      <c r="P4137" t="n">
        <v>0</v>
      </c>
      <c r="Q4137" t="n">
        <v>0</v>
      </c>
      <c r="R4137" s="2" t="inlineStr"/>
    </row>
    <row r="4138" ht="15" customHeight="1">
      <c r="A4138" t="inlineStr">
        <is>
          <t>A 48858-2021</t>
        </is>
      </c>
      <c r="B4138" s="1" t="n">
        <v>44452</v>
      </c>
      <c r="C4138" s="1" t="n">
        <v>45212</v>
      </c>
      <c r="D4138" t="inlineStr">
        <is>
          <t>VÄSTERNORRLANDS LÄN</t>
        </is>
      </c>
      <c r="E4138" t="inlineStr">
        <is>
          <t>HÄRNÖSAND</t>
        </is>
      </c>
      <c r="F4138" t="inlineStr">
        <is>
          <t>SCA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48897-2021</t>
        </is>
      </c>
      <c r="B4139" s="1" t="n">
        <v>44452</v>
      </c>
      <c r="C4139" s="1" t="n">
        <v>45212</v>
      </c>
      <c r="D4139" t="inlineStr">
        <is>
          <t>VÄSTERNORRLANDS LÄN</t>
        </is>
      </c>
      <c r="E4139" t="inlineStr">
        <is>
          <t>KRAMFORS</t>
        </is>
      </c>
      <c r="G4139" t="n">
        <v>18.3</v>
      </c>
      <c r="H4139" t="n">
        <v>0</v>
      </c>
      <c r="I4139" t="n">
        <v>0</v>
      </c>
      <c r="J4139" t="n">
        <v>0</v>
      </c>
      <c r="K4139" t="n">
        <v>0</v>
      </c>
      <c r="L4139" t="n">
        <v>0</v>
      </c>
      <c r="M4139" t="n">
        <v>0</v>
      </c>
      <c r="N4139" t="n">
        <v>0</v>
      </c>
      <c r="O4139" t="n">
        <v>0</v>
      </c>
      <c r="P4139" t="n">
        <v>0</v>
      </c>
      <c r="Q4139" t="n">
        <v>0</v>
      </c>
      <c r="R4139" s="2" t="inlineStr"/>
    </row>
    <row r="4140" ht="15" customHeight="1">
      <c r="A4140" t="inlineStr">
        <is>
          <t>A 48691-2021</t>
        </is>
      </c>
      <c r="B4140" s="1" t="n">
        <v>44452</v>
      </c>
      <c r="C4140" s="1" t="n">
        <v>45212</v>
      </c>
      <c r="D4140" t="inlineStr">
        <is>
          <t>VÄSTERNORRLANDS LÄN</t>
        </is>
      </c>
      <c r="E4140" t="inlineStr">
        <is>
          <t>ÖRNSKÖLDSVIK</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48990-2021</t>
        </is>
      </c>
      <c r="B4141" s="1" t="n">
        <v>44453</v>
      </c>
      <c r="C4141" s="1" t="n">
        <v>45212</v>
      </c>
      <c r="D4141" t="inlineStr">
        <is>
          <t>VÄSTERNORRLANDS LÄN</t>
        </is>
      </c>
      <c r="E4141" t="inlineStr">
        <is>
          <t>ÅNGE</t>
        </is>
      </c>
      <c r="F4141" t="inlineStr">
        <is>
          <t>Sveaskog</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49137-2021</t>
        </is>
      </c>
      <c r="B4142" s="1" t="n">
        <v>44453</v>
      </c>
      <c r="C4142" s="1" t="n">
        <v>45212</v>
      </c>
      <c r="D4142" t="inlineStr">
        <is>
          <t>VÄSTERNORRLANDS LÄN</t>
        </is>
      </c>
      <c r="E4142" t="inlineStr">
        <is>
          <t>ÅNGE</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49056-2021</t>
        </is>
      </c>
      <c r="B4143" s="1" t="n">
        <v>44453</v>
      </c>
      <c r="C4143" s="1" t="n">
        <v>45212</v>
      </c>
      <c r="D4143" t="inlineStr">
        <is>
          <t>VÄSTERNORRLANDS LÄN</t>
        </is>
      </c>
      <c r="E4143" t="inlineStr">
        <is>
          <t>TIMRÅ</t>
        </is>
      </c>
      <c r="G4143" t="n">
        <v>3.4</v>
      </c>
      <c r="H4143" t="n">
        <v>0</v>
      </c>
      <c r="I4143" t="n">
        <v>0</v>
      </c>
      <c r="J4143" t="n">
        <v>0</v>
      </c>
      <c r="K4143" t="n">
        <v>0</v>
      </c>
      <c r="L4143" t="n">
        <v>0</v>
      </c>
      <c r="M4143" t="n">
        <v>0</v>
      </c>
      <c r="N4143" t="n">
        <v>0</v>
      </c>
      <c r="O4143" t="n">
        <v>0</v>
      </c>
      <c r="P4143" t="n">
        <v>0</v>
      </c>
      <c r="Q4143" t="n">
        <v>0</v>
      </c>
      <c r="R4143" s="2" t="inlineStr"/>
    </row>
    <row r="4144" ht="15" customHeight="1">
      <c r="A4144" t="inlineStr">
        <is>
          <t>A 49002-2021</t>
        </is>
      </c>
      <c r="B4144" s="1" t="n">
        <v>44453</v>
      </c>
      <c r="C4144" s="1" t="n">
        <v>45212</v>
      </c>
      <c r="D4144" t="inlineStr">
        <is>
          <t>VÄSTERNORRLANDS LÄN</t>
        </is>
      </c>
      <c r="E4144" t="inlineStr">
        <is>
          <t>ÖRNSKÖLDSVIK</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49380-2021</t>
        </is>
      </c>
      <c r="B4145" s="1" t="n">
        <v>44454</v>
      </c>
      <c r="C4145" s="1" t="n">
        <v>45212</v>
      </c>
      <c r="D4145" t="inlineStr">
        <is>
          <t>VÄSTERNORRLANDS LÄN</t>
        </is>
      </c>
      <c r="E4145" t="inlineStr">
        <is>
          <t>SUNDSVALL</t>
        </is>
      </c>
      <c r="F4145" t="inlineStr">
        <is>
          <t>Kommuner</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49368-2021</t>
        </is>
      </c>
      <c r="B4146" s="1" t="n">
        <v>44454</v>
      </c>
      <c r="C4146" s="1" t="n">
        <v>45212</v>
      </c>
      <c r="D4146" t="inlineStr">
        <is>
          <t>VÄSTERNORRLANDS LÄN</t>
        </is>
      </c>
      <c r="E4146" t="inlineStr">
        <is>
          <t>SUNDSVALL</t>
        </is>
      </c>
      <c r="F4146" t="inlineStr">
        <is>
          <t>Kommuner</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49480-2021</t>
        </is>
      </c>
      <c r="B4147" s="1" t="n">
        <v>44454</v>
      </c>
      <c r="C4147" s="1" t="n">
        <v>45212</v>
      </c>
      <c r="D4147" t="inlineStr">
        <is>
          <t>VÄSTERNORRLANDS LÄN</t>
        </is>
      </c>
      <c r="E4147" t="inlineStr">
        <is>
          <t>SUNDSVALL</t>
        </is>
      </c>
      <c r="F4147" t="inlineStr">
        <is>
          <t>SCA</t>
        </is>
      </c>
      <c r="G4147" t="n">
        <v>5.4</v>
      </c>
      <c r="H4147" t="n">
        <v>0</v>
      </c>
      <c r="I4147" t="n">
        <v>0</v>
      </c>
      <c r="J4147" t="n">
        <v>0</v>
      </c>
      <c r="K4147" t="n">
        <v>0</v>
      </c>
      <c r="L4147" t="n">
        <v>0</v>
      </c>
      <c r="M4147" t="n">
        <v>0</v>
      </c>
      <c r="N4147" t="n">
        <v>0</v>
      </c>
      <c r="O4147" t="n">
        <v>0</v>
      </c>
      <c r="P4147" t="n">
        <v>0</v>
      </c>
      <c r="Q4147" t="n">
        <v>0</v>
      </c>
      <c r="R4147" s="2" t="inlineStr"/>
    </row>
    <row r="4148" ht="15" customHeight="1">
      <c r="A4148" t="inlineStr">
        <is>
          <t>A 50333-2021</t>
        </is>
      </c>
      <c r="B4148" s="1" t="n">
        <v>44454</v>
      </c>
      <c r="C4148" s="1" t="n">
        <v>45212</v>
      </c>
      <c r="D4148" t="inlineStr">
        <is>
          <t>VÄSTERNORRLANDS LÄN</t>
        </is>
      </c>
      <c r="E4148" t="inlineStr">
        <is>
          <t>ÅNGE</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49552-2021</t>
        </is>
      </c>
      <c r="B4149" s="1" t="n">
        <v>44455</v>
      </c>
      <c r="C4149" s="1" t="n">
        <v>45212</v>
      </c>
      <c r="D4149" t="inlineStr">
        <is>
          <t>VÄSTERNORRLANDS LÄN</t>
        </is>
      </c>
      <c r="E4149" t="inlineStr">
        <is>
          <t>ÖRNSKÖLDSVIK</t>
        </is>
      </c>
      <c r="F4149" t="inlineStr">
        <is>
          <t>Holmen skog AB</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49711-2021</t>
        </is>
      </c>
      <c r="B4150" s="1" t="n">
        <v>44455</v>
      </c>
      <c r="C4150" s="1" t="n">
        <v>45212</v>
      </c>
      <c r="D4150" t="inlineStr">
        <is>
          <t>VÄSTERNORRLANDS LÄN</t>
        </is>
      </c>
      <c r="E4150" t="inlineStr">
        <is>
          <t>SOLLEFTEÅ</t>
        </is>
      </c>
      <c r="G4150" t="n">
        <v>3.7</v>
      </c>
      <c r="H4150" t="n">
        <v>0</v>
      </c>
      <c r="I4150" t="n">
        <v>0</v>
      </c>
      <c r="J4150" t="n">
        <v>0</v>
      </c>
      <c r="K4150" t="n">
        <v>0</v>
      </c>
      <c r="L4150" t="n">
        <v>0</v>
      </c>
      <c r="M4150" t="n">
        <v>0</v>
      </c>
      <c r="N4150" t="n">
        <v>0</v>
      </c>
      <c r="O4150" t="n">
        <v>0</v>
      </c>
      <c r="P4150" t="n">
        <v>0</v>
      </c>
      <c r="Q4150" t="n">
        <v>0</v>
      </c>
      <c r="R4150" s="2" t="inlineStr"/>
    </row>
    <row r="4151" ht="15" customHeight="1">
      <c r="A4151" t="inlineStr">
        <is>
          <t>A 49963-2021</t>
        </is>
      </c>
      <c r="B4151" s="1" t="n">
        <v>44456</v>
      </c>
      <c r="C4151" s="1" t="n">
        <v>45212</v>
      </c>
      <c r="D4151" t="inlineStr">
        <is>
          <t>VÄSTERNORRLANDS LÄN</t>
        </is>
      </c>
      <c r="E4151" t="inlineStr">
        <is>
          <t>ÖRNSKÖLDSVIK</t>
        </is>
      </c>
      <c r="F4151" t="inlineStr">
        <is>
          <t>Holmen skog AB</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50125-2021</t>
        </is>
      </c>
      <c r="B4152" s="1" t="n">
        <v>44456</v>
      </c>
      <c r="C4152" s="1" t="n">
        <v>45212</v>
      </c>
      <c r="D4152" t="inlineStr">
        <is>
          <t>VÄSTERNORRLANDS LÄN</t>
        </is>
      </c>
      <c r="E4152" t="inlineStr">
        <is>
          <t>ÅNGE</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50175-2021</t>
        </is>
      </c>
      <c r="B4153" s="1" t="n">
        <v>44456</v>
      </c>
      <c r="C4153" s="1" t="n">
        <v>45212</v>
      </c>
      <c r="D4153" t="inlineStr">
        <is>
          <t>VÄSTERNORRLANDS LÄN</t>
        </is>
      </c>
      <c r="E4153" t="inlineStr">
        <is>
          <t>KRAMFORS</t>
        </is>
      </c>
      <c r="G4153" t="n">
        <v>9.5</v>
      </c>
      <c r="H4153" t="n">
        <v>0</v>
      </c>
      <c r="I4153" t="n">
        <v>0</v>
      </c>
      <c r="J4153" t="n">
        <v>0</v>
      </c>
      <c r="K4153" t="n">
        <v>0</v>
      </c>
      <c r="L4153" t="n">
        <v>0</v>
      </c>
      <c r="M4153" t="n">
        <v>0</v>
      </c>
      <c r="N4153" t="n">
        <v>0</v>
      </c>
      <c r="O4153" t="n">
        <v>0</v>
      </c>
      <c r="P4153" t="n">
        <v>0</v>
      </c>
      <c r="Q4153" t="n">
        <v>0</v>
      </c>
      <c r="R4153" s="2" t="inlineStr"/>
    </row>
    <row r="4154" ht="15" customHeight="1">
      <c r="A4154" t="inlineStr">
        <is>
          <t>A 50186-2021</t>
        </is>
      </c>
      <c r="B4154" s="1" t="n">
        <v>44456</v>
      </c>
      <c r="C4154" s="1" t="n">
        <v>45212</v>
      </c>
      <c r="D4154" t="inlineStr">
        <is>
          <t>VÄSTERNORRLANDS LÄN</t>
        </is>
      </c>
      <c r="E4154" t="inlineStr">
        <is>
          <t>ÅNGE</t>
        </is>
      </c>
      <c r="F4154" t="inlineStr">
        <is>
          <t>SCA</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50314-2021</t>
        </is>
      </c>
      <c r="B4155" s="1" t="n">
        <v>44456</v>
      </c>
      <c r="C4155" s="1" t="n">
        <v>45212</v>
      </c>
      <c r="D4155" t="inlineStr">
        <is>
          <t>VÄSTERNORRLANDS LÄN</t>
        </is>
      </c>
      <c r="E4155" t="inlineStr">
        <is>
          <t>KRAMFORS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50127-2021</t>
        </is>
      </c>
      <c r="B4156" s="1" t="n">
        <v>44456</v>
      </c>
      <c r="C4156" s="1" t="n">
        <v>45212</v>
      </c>
      <c r="D4156" t="inlineStr">
        <is>
          <t>VÄSTERNORRLANDS LÄN</t>
        </is>
      </c>
      <c r="E4156" t="inlineStr">
        <is>
          <t>SUNDSVALL</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50235-2021</t>
        </is>
      </c>
      <c r="B4157" s="1" t="n">
        <v>44457</v>
      </c>
      <c r="C4157" s="1" t="n">
        <v>45212</v>
      </c>
      <c r="D4157" t="inlineStr">
        <is>
          <t>VÄSTERNORRLANDS LÄN</t>
        </is>
      </c>
      <c r="E4157" t="inlineStr">
        <is>
          <t>ÅNGE</t>
        </is>
      </c>
      <c r="G4157" t="n">
        <v>3.8</v>
      </c>
      <c r="H4157" t="n">
        <v>0</v>
      </c>
      <c r="I4157" t="n">
        <v>0</v>
      </c>
      <c r="J4157" t="n">
        <v>0</v>
      </c>
      <c r="K4157" t="n">
        <v>0</v>
      </c>
      <c r="L4157" t="n">
        <v>0</v>
      </c>
      <c r="M4157" t="n">
        <v>0</v>
      </c>
      <c r="N4157" t="n">
        <v>0</v>
      </c>
      <c r="O4157" t="n">
        <v>0</v>
      </c>
      <c r="P4157" t="n">
        <v>0</v>
      </c>
      <c r="Q4157" t="n">
        <v>0</v>
      </c>
      <c r="R4157" s="2" t="inlineStr"/>
    </row>
    <row r="4158" ht="15" customHeight="1">
      <c r="A4158" t="inlineStr">
        <is>
          <t>A 50360-2021</t>
        </is>
      </c>
      <c r="B4158" s="1" t="n">
        <v>44459</v>
      </c>
      <c r="C4158" s="1" t="n">
        <v>45212</v>
      </c>
      <c r="D4158" t="inlineStr">
        <is>
          <t>VÄSTERNORRLANDS LÄN</t>
        </is>
      </c>
      <c r="E4158" t="inlineStr">
        <is>
          <t>SOLLEFTEÅ</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50727-2021</t>
        </is>
      </c>
      <c r="B4159" s="1" t="n">
        <v>44459</v>
      </c>
      <c r="C4159" s="1" t="n">
        <v>45212</v>
      </c>
      <c r="D4159" t="inlineStr">
        <is>
          <t>VÄSTERNORRLANDS LÄN</t>
        </is>
      </c>
      <c r="E4159" t="inlineStr">
        <is>
          <t>ÖRNSKÖLDSVIK</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50332-2021</t>
        </is>
      </c>
      <c r="B4160" s="1" t="n">
        <v>44459</v>
      </c>
      <c r="C4160" s="1" t="n">
        <v>45212</v>
      </c>
      <c r="D4160" t="inlineStr">
        <is>
          <t>VÄSTERNORRLANDS LÄN</t>
        </is>
      </c>
      <c r="E4160" t="inlineStr">
        <is>
          <t>ÖRNSKÖLDSVIK</t>
        </is>
      </c>
      <c r="G4160" t="n">
        <v>10.2</v>
      </c>
      <c r="H4160" t="n">
        <v>0</v>
      </c>
      <c r="I4160" t="n">
        <v>0</v>
      </c>
      <c r="J4160" t="n">
        <v>0</v>
      </c>
      <c r="K4160" t="n">
        <v>0</v>
      </c>
      <c r="L4160" t="n">
        <v>0</v>
      </c>
      <c r="M4160" t="n">
        <v>0</v>
      </c>
      <c r="N4160" t="n">
        <v>0</v>
      </c>
      <c r="O4160" t="n">
        <v>0</v>
      </c>
      <c r="P4160" t="n">
        <v>0</v>
      </c>
      <c r="Q4160" t="n">
        <v>0</v>
      </c>
      <c r="R4160" s="2" t="inlineStr"/>
    </row>
    <row r="4161" ht="15" customHeight="1">
      <c r="A4161" t="inlineStr">
        <is>
          <t>A 50456-2021</t>
        </is>
      </c>
      <c r="B4161" s="1" t="n">
        <v>44459</v>
      </c>
      <c r="C4161" s="1" t="n">
        <v>45212</v>
      </c>
      <c r="D4161" t="inlineStr">
        <is>
          <t>VÄSTERNORRLANDS LÄN</t>
        </is>
      </c>
      <c r="E4161" t="inlineStr">
        <is>
          <t>ÖRNSKÖLDSVIK</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50567-2021</t>
        </is>
      </c>
      <c r="B4162" s="1" t="n">
        <v>44459</v>
      </c>
      <c r="C4162" s="1" t="n">
        <v>45212</v>
      </c>
      <c r="D4162" t="inlineStr">
        <is>
          <t>VÄSTERNORRLANDS LÄN</t>
        </is>
      </c>
      <c r="E4162" t="inlineStr">
        <is>
          <t>KRAMFORS</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50651-2021</t>
        </is>
      </c>
      <c r="B4163" s="1" t="n">
        <v>44459</v>
      </c>
      <c r="C4163" s="1" t="n">
        <v>45212</v>
      </c>
      <c r="D4163" t="inlineStr">
        <is>
          <t>VÄSTERNORRLANDS LÄN</t>
        </is>
      </c>
      <c r="E4163" t="inlineStr">
        <is>
          <t>ÅNGE</t>
        </is>
      </c>
      <c r="G4163" t="n">
        <v>20.6</v>
      </c>
      <c r="H4163" t="n">
        <v>0</v>
      </c>
      <c r="I4163" t="n">
        <v>0</v>
      </c>
      <c r="J4163" t="n">
        <v>0</v>
      </c>
      <c r="K4163" t="n">
        <v>0</v>
      </c>
      <c r="L4163" t="n">
        <v>0</v>
      </c>
      <c r="M4163" t="n">
        <v>0</v>
      </c>
      <c r="N4163" t="n">
        <v>0</v>
      </c>
      <c r="O4163" t="n">
        <v>0</v>
      </c>
      <c r="P4163" t="n">
        <v>0</v>
      </c>
      <c r="Q4163" t="n">
        <v>0</v>
      </c>
      <c r="R4163" s="2" t="inlineStr"/>
    </row>
    <row r="4164" ht="15" customHeight="1">
      <c r="A4164" t="inlineStr">
        <is>
          <t>A 51104-2021</t>
        </is>
      </c>
      <c r="B4164" s="1" t="n">
        <v>44459</v>
      </c>
      <c r="C4164" s="1" t="n">
        <v>45212</v>
      </c>
      <c r="D4164" t="inlineStr">
        <is>
          <t>VÄSTERNORRLANDS LÄN</t>
        </is>
      </c>
      <c r="E4164" t="inlineStr">
        <is>
          <t>SOLLEFTEÅ</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50411-2021</t>
        </is>
      </c>
      <c r="B4165" s="1" t="n">
        <v>44459</v>
      </c>
      <c r="C4165" s="1" t="n">
        <v>45212</v>
      </c>
      <c r="D4165" t="inlineStr">
        <is>
          <t>VÄSTERNORRLANDS LÄN</t>
        </is>
      </c>
      <c r="E4165" t="inlineStr">
        <is>
          <t>ÖRNSKÖLDSVIK</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50723-2021</t>
        </is>
      </c>
      <c r="B4166" s="1" t="n">
        <v>44459</v>
      </c>
      <c r="C4166" s="1" t="n">
        <v>45212</v>
      </c>
      <c r="D4166" t="inlineStr">
        <is>
          <t>VÄSTERNORRLANDS LÄN</t>
        </is>
      </c>
      <c r="E4166" t="inlineStr">
        <is>
          <t>ÖRNSKÖLDSVIK</t>
        </is>
      </c>
      <c r="G4166" t="n">
        <v>3.6</v>
      </c>
      <c r="H4166" t="n">
        <v>0</v>
      </c>
      <c r="I4166" t="n">
        <v>0</v>
      </c>
      <c r="J4166" t="n">
        <v>0</v>
      </c>
      <c r="K4166" t="n">
        <v>0</v>
      </c>
      <c r="L4166" t="n">
        <v>0</v>
      </c>
      <c r="M4166" t="n">
        <v>0</v>
      </c>
      <c r="N4166" t="n">
        <v>0</v>
      </c>
      <c r="O4166" t="n">
        <v>0</v>
      </c>
      <c r="P4166" t="n">
        <v>0</v>
      </c>
      <c r="Q4166" t="n">
        <v>0</v>
      </c>
      <c r="R4166" s="2" t="inlineStr"/>
    </row>
    <row r="4167" ht="15" customHeight="1">
      <c r="A4167" t="inlineStr">
        <is>
          <t>A 51011-2021</t>
        </is>
      </c>
      <c r="B4167" s="1" t="n">
        <v>44460</v>
      </c>
      <c r="C4167" s="1" t="n">
        <v>45212</v>
      </c>
      <c r="D4167" t="inlineStr">
        <is>
          <t>VÄSTERNORRLANDS LÄN</t>
        </is>
      </c>
      <c r="E4167" t="inlineStr">
        <is>
          <t>SUNDSVALL</t>
        </is>
      </c>
      <c r="G4167" t="n">
        <v>0.4</v>
      </c>
      <c r="H4167" t="n">
        <v>0</v>
      </c>
      <c r="I4167" t="n">
        <v>0</v>
      </c>
      <c r="J4167" t="n">
        <v>0</v>
      </c>
      <c r="K4167" t="n">
        <v>0</v>
      </c>
      <c r="L4167" t="n">
        <v>0</v>
      </c>
      <c r="M4167" t="n">
        <v>0</v>
      </c>
      <c r="N4167" t="n">
        <v>0</v>
      </c>
      <c r="O4167" t="n">
        <v>0</v>
      </c>
      <c r="P4167" t="n">
        <v>0</v>
      </c>
      <c r="Q4167" t="n">
        <v>0</v>
      </c>
      <c r="R4167" s="2" t="inlineStr"/>
    </row>
    <row r="4168" ht="15" customHeight="1">
      <c r="A4168" t="inlineStr">
        <is>
          <t>A 50960-2021</t>
        </is>
      </c>
      <c r="B4168" s="1" t="n">
        <v>44460</v>
      </c>
      <c r="C4168" s="1" t="n">
        <v>45212</v>
      </c>
      <c r="D4168" t="inlineStr">
        <is>
          <t>VÄSTERNORRLANDS LÄN</t>
        </is>
      </c>
      <c r="E4168" t="inlineStr">
        <is>
          <t>ÅNGE</t>
        </is>
      </c>
      <c r="F4168" t="inlineStr">
        <is>
          <t>Holmen skog AB</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51020-2021</t>
        </is>
      </c>
      <c r="B4169" s="1" t="n">
        <v>44460</v>
      </c>
      <c r="C4169" s="1" t="n">
        <v>45212</v>
      </c>
      <c r="D4169" t="inlineStr">
        <is>
          <t>VÄSTERNORRLANDS LÄN</t>
        </is>
      </c>
      <c r="E4169" t="inlineStr">
        <is>
          <t>SOLLEFTEÅ</t>
        </is>
      </c>
      <c r="F4169" t="inlineStr">
        <is>
          <t>SCA</t>
        </is>
      </c>
      <c r="G4169" t="n">
        <v>3.9</v>
      </c>
      <c r="H4169" t="n">
        <v>0</v>
      </c>
      <c r="I4169" t="n">
        <v>0</v>
      </c>
      <c r="J4169" t="n">
        <v>0</v>
      </c>
      <c r="K4169" t="n">
        <v>0</v>
      </c>
      <c r="L4169" t="n">
        <v>0</v>
      </c>
      <c r="M4169" t="n">
        <v>0</v>
      </c>
      <c r="N4169" t="n">
        <v>0</v>
      </c>
      <c r="O4169" t="n">
        <v>0</v>
      </c>
      <c r="P4169" t="n">
        <v>0</v>
      </c>
      <c r="Q4169" t="n">
        <v>0</v>
      </c>
      <c r="R4169" s="2" t="inlineStr"/>
    </row>
    <row r="4170" ht="15" customHeight="1">
      <c r="A4170" t="inlineStr">
        <is>
          <t>A 50733-2021</t>
        </is>
      </c>
      <c r="B4170" s="1" t="n">
        <v>44460</v>
      </c>
      <c r="C4170" s="1" t="n">
        <v>45212</v>
      </c>
      <c r="D4170" t="inlineStr">
        <is>
          <t>VÄSTERNORRLANDS LÄN</t>
        </is>
      </c>
      <c r="E4170" t="inlineStr">
        <is>
          <t>ÅNGE</t>
        </is>
      </c>
      <c r="G4170" t="n">
        <v>2.1</v>
      </c>
      <c r="H4170" t="n">
        <v>0</v>
      </c>
      <c r="I4170" t="n">
        <v>0</v>
      </c>
      <c r="J4170" t="n">
        <v>0</v>
      </c>
      <c r="K4170" t="n">
        <v>0</v>
      </c>
      <c r="L4170" t="n">
        <v>0</v>
      </c>
      <c r="M4170" t="n">
        <v>0</v>
      </c>
      <c r="N4170" t="n">
        <v>0</v>
      </c>
      <c r="O4170" t="n">
        <v>0</v>
      </c>
      <c r="P4170" t="n">
        <v>0</v>
      </c>
      <c r="Q4170" t="n">
        <v>0</v>
      </c>
      <c r="R4170" s="2" t="inlineStr"/>
    </row>
    <row r="4171" ht="15" customHeight="1">
      <c r="A4171" t="inlineStr">
        <is>
          <t>A 51440-2021</t>
        </is>
      </c>
      <c r="B4171" s="1" t="n">
        <v>44461</v>
      </c>
      <c r="C4171" s="1" t="n">
        <v>45212</v>
      </c>
      <c r="D4171" t="inlineStr">
        <is>
          <t>VÄSTERNORRLANDS LÄN</t>
        </is>
      </c>
      <c r="E4171" t="inlineStr">
        <is>
          <t>SOLLEFTEÅ</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51599-2021</t>
        </is>
      </c>
      <c r="B4172" s="1" t="n">
        <v>44461</v>
      </c>
      <c r="C4172" s="1" t="n">
        <v>45212</v>
      </c>
      <c r="D4172" t="inlineStr">
        <is>
          <t>VÄSTERNORRLANDS LÄN</t>
        </is>
      </c>
      <c r="E4172" t="inlineStr">
        <is>
          <t>SUNDSVALL</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51427-2021</t>
        </is>
      </c>
      <c r="B4173" s="1" t="n">
        <v>44461</v>
      </c>
      <c r="C4173" s="1" t="n">
        <v>45212</v>
      </c>
      <c r="D4173" t="inlineStr">
        <is>
          <t>VÄSTERNORRLANDS LÄN</t>
        </is>
      </c>
      <c r="E4173" t="inlineStr">
        <is>
          <t>ÅNGE</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51443-2021</t>
        </is>
      </c>
      <c r="B4174" s="1" t="n">
        <v>44461</v>
      </c>
      <c r="C4174" s="1" t="n">
        <v>45212</v>
      </c>
      <c r="D4174" t="inlineStr">
        <is>
          <t>VÄSTERNORRLANDS LÄN</t>
        </is>
      </c>
      <c r="E4174" t="inlineStr">
        <is>
          <t>SOLLEFTEÅ</t>
        </is>
      </c>
      <c r="F4174" t="inlineStr">
        <is>
          <t>SCA</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51601-2021</t>
        </is>
      </c>
      <c r="B4175" s="1" t="n">
        <v>44461</v>
      </c>
      <c r="C4175" s="1" t="n">
        <v>45212</v>
      </c>
      <c r="D4175" t="inlineStr">
        <is>
          <t>VÄSTERNORRLANDS LÄN</t>
        </is>
      </c>
      <c r="E4175" t="inlineStr">
        <is>
          <t>ÖRNSKÖLDSVIK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51110-2021</t>
        </is>
      </c>
      <c r="B4176" s="1" t="n">
        <v>44461</v>
      </c>
      <c r="C4176" s="1" t="n">
        <v>45212</v>
      </c>
      <c r="D4176" t="inlineStr">
        <is>
          <t>VÄSTERNORRLANDS LÄN</t>
        </is>
      </c>
      <c r="E4176" t="inlineStr">
        <is>
          <t>ÖRNSKÖLDSVIK</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51681-2021</t>
        </is>
      </c>
      <c r="B4177" s="1" t="n">
        <v>44461</v>
      </c>
      <c r="C4177" s="1" t="n">
        <v>45212</v>
      </c>
      <c r="D4177" t="inlineStr">
        <is>
          <t>VÄSTERNORRLANDS LÄN</t>
        </is>
      </c>
      <c r="E4177" t="inlineStr">
        <is>
          <t>SUNDSVALL</t>
        </is>
      </c>
      <c r="G4177" t="n">
        <v>9.199999999999999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51428-2021</t>
        </is>
      </c>
      <c r="B4178" s="1" t="n">
        <v>44461</v>
      </c>
      <c r="C4178" s="1" t="n">
        <v>45212</v>
      </c>
      <c r="D4178" t="inlineStr">
        <is>
          <t>VÄSTERNORRLANDS LÄN</t>
        </is>
      </c>
      <c r="E4178" t="inlineStr">
        <is>
          <t>ÅNGE</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51491-2021</t>
        </is>
      </c>
      <c r="B4179" s="1" t="n">
        <v>44462</v>
      </c>
      <c r="C4179" s="1" t="n">
        <v>45212</v>
      </c>
      <c r="D4179" t="inlineStr">
        <is>
          <t>VÄSTERNORRLANDS LÄN</t>
        </is>
      </c>
      <c r="E4179" t="inlineStr">
        <is>
          <t>SOLLEFTEÅ</t>
        </is>
      </c>
      <c r="F4179" t="inlineStr">
        <is>
          <t>Kyrkan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51690-2021</t>
        </is>
      </c>
      <c r="B4180" s="1" t="n">
        <v>44462</v>
      </c>
      <c r="C4180" s="1" t="n">
        <v>45212</v>
      </c>
      <c r="D4180" t="inlineStr">
        <is>
          <t>VÄSTERNORRLANDS LÄN</t>
        </is>
      </c>
      <c r="E4180" t="inlineStr">
        <is>
          <t>KRAMFORS</t>
        </is>
      </c>
      <c r="G4180" t="n">
        <v>16.7</v>
      </c>
      <c r="H4180" t="n">
        <v>0</v>
      </c>
      <c r="I4180" t="n">
        <v>0</v>
      </c>
      <c r="J4180" t="n">
        <v>0</v>
      </c>
      <c r="K4180" t="n">
        <v>0</v>
      </c>
      <c r="L4180" t="n">
        <v>0</v>
      </c>
      <c r="M4180" t="n">
        <v>0</v>
      </c>
      <c r="N4180" t="n">
        <v>0</v>
      </c>
      <c r="O4180" t="n">
        <v>0</v>
      </c>
      <c r="P4180" t="n">
        <v>0</v>
      </c>
      <c r="Q4180" t="n">
        <v>0</v>
      </c>
      <c r="R4180" s="2" t="inlineStr"/>
    </row>
    <row r="4181" ht="15" customHeight="1">
      <c r="A4181" t="inlineStr">
        <is>
          <t>A 51754-2021</t>
        </is>
      </c>
      <c r="B4181" s="1" t="n">
        <v>44462</v>
      </c>
      <c r="C4181" s="1" t="n">
        <v>45212</v>
      </c>
      <c r="D4181" t="inlineStr">
        <is>
          <t>VÄSTERNORRLANDS LÄN</t>
        </is>
      </c>
      <c r="E4181" t="inlineStr">
        <is>
          <t>ÖRNSKÖLDSVIK</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51816-2021</t>
        </is>
      </c>
      <c r="B4182" s="1" t="n">
        <v>44462</v>
      </c>
      <c r="C4182" s="1" t="n">
        <v>45212</v>
      </c>
      <c r="D4182" t="inlineStr">
        <is>
          <t>VÄSTERNORRLANDS LÄN</t>
        </is>
      </c>
      <c r="E4182" t="inlineStr">
        <is>
          <t>ÖRNSKÖLDSVIK</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51687-2021</t>
        </is>
      </c>
      <c r="B4183" s="1" t="n">
        <v>44462</v>
      </c>
      <c r="C4183" s="1" t="n">
        <v>45212</v>
      </c>
      <c r="D4183" t="inlineStr">
        <is>
          <t>VÄSTERNORRLANDS LÄN</t>
        </is>
      </c>
      <c r="E4183" t="inlineStr">
        <is>
          <t>SUNDSVALL</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51768-2021</t>
        </is>
      </c>
      <c r="B4184" s="1" t="n">
        <v>44462</v>
      </c>
      <c r="C4184" s="1" t="n">
        <v>45212</v>
      </c>
      <c r="D4184" t="inlineStr">
        <is>
          <t>VÄSTERNORRLANDS LÄN</t>
        </is>
      </c>
      <c r="E4184" t="inlineStr">
        <is>
          <t>SUNDSVALL</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51798-2021</t>
        </is>
      </c>
      <c r="B4185" s="1" t="n">
        <v>44462</v>
      </c>
      <c r="C4185" s="1" t="n">
        <v>45212</v>
      </c>
      <c r="D4185" t="inlineStr">
        <is>
          <t>VÄSTERNORRLANDS LÄN</t>
        </is>
      </c>
      <c r="E4185" t="inlineStr">
        <is>
          <t>ÖRNSKÖLDSVIK</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51921-2021</t>
        </is>
      </c>
      <c r="B4186" s="1" t="n">
        <v>44462</v>
      </c>
      <c r="C4186" s="1" t="n">
        <v>45212</v>
      </c>
      <c r="D4186" t="inlineStr">
        <is>
          <t>VÄSTERNORRLANDS LÄN</t>
        </is>
      </c>
      <c r="E4186" t="inlineStr">
        <is>
          <t>TIMRÅ</t>
        </is>
      </c>
      <c r="F4186" t="inlineStr">
        <is>
          <t>SCA</t>
        </is>
      </c>
      <c r="G4186" t="n">
        <v>3.2</v>
      </c>
      <c r="H4186" t="n">
        <v>0</v>
      </c>
      <c r="I4186" t="n">
        <v>0</v>
      </c>
      <c r="J4186" t="n">
        <v>0</v>
      </c>
      <c r="K4186" t="n">
        <v>0</v>
      </c>
      <c r="L4186" t="n">
        <v>0</v>
      </c>
      <c r="M4186" t="n">
        <v>0</v>
      </c>
      <c r="N4186" t="n">
        <v>0</v>
      </c>
      <c r="O4186" t="n">
        <v>0</v>
      </c>
      <c r="P4186" t="n">
        <v>0</v>
      </c>
      <c r="Q4186" t="n">
        <v>0</v>
      </c>
      <c r="R4186" s="2" t="inlineStr"/>
    </row>
    <row r="4187" ht="15" customHeight="1">
      <c r="A4187" t="inlineStr">
        <is>
          <t>A 51770-2021</t>
        </is>
      </c>
      <c r="B4187" s="1" t="n">
        <v>44462</v>
      </c>
      <c r="C4187" s="1" t="n">
        <v>45212</v>
      </c>
      <c r="D4187" t="inlineStr">
        <is>
          <t>VÄSTERNORRLANDS LÄN</t>
        </is>
      </c>
      <c r="E4187" t="inlineStr">
        <is>
          <t>ÖRNSKÖLDSVIK</t>
        </is>
      </c>
      <c r="F4187" t="inlineStr">
        <is>
          <t>Holmen skog AB</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52315-2021</t>
        </is>
      </c>
      <c r="B4188" s="1" t="n">
        <v>44463</v>
      </c>
      <c r="C4188" s="1" t="n">
        <v>45212</v>
      </c>
      <c r="D4188" t="inlineStr">
        <is>
          <t>VÄSTERNORRLANDS LÄN</t>
        </is>
      </c>
      <c r="E4188" t="inlineStr">
        <is>
          <t>SUNDSVALL</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52258-2021</t>
        </is>
      </c>
      <c r="B4189" s="1" t="n">
        <v>44463</v>
      </c>
      <c r="C4189" s="1" t="n">
        <v>45212</v>
      </c>
      <c r="D4189" t="inlineStr">
        <is>
          <t>VÄSTERNORRLANDS LÄN</t>
        </is>
      </c>
      <c r="E4189" t="inlineStr">
        <is>
          <t>ÖRNSKÖLDSVIK</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52114-2021</t>
        </is>
      </c>
      <c r="B4190" s="1" t="n">
        <v>44463</v>
      </c>
      <c r="C4190" s="1" t="n">
        <v>45212</v>
      </c>
      <c r="D4190" t="inlineStr">
        <is>
          <t>VÄSTERNORRLANDS LÄN</t>
        </is>
      </c>
      <c r="E4190" t="inlineStr">
        <is>
          <t>ÖRNSKÖLDSVIK</t>
        </is>
      </c>
      <c r="F4190" t="inlineStr">
        <is>
          <t>Holmen skog AB</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52318-2021</t>
        </is>
      </c>
      <c r="B4191" s="1" t="n">
        <v>44463</v>
      </c>
      <c r="C4191" s="1" t="n">
        <v>45212</v>
      </c>
      <c r="D4191" t="inlineStr">
        <is>
          <t>VÄSTERNORRLANDS LÄN</t>
        </is>
      </c>
      <c r="E4191" t="inlineStr">
        <is>
          <t>SUNDSVALL</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52554-2021</t>
        </is>
      </c>
      <c r="B4192" s="1" t="n">
        <v>44466</v>
      </c>
      <c r="C4192" s="1" t="n">
        <v>45212</v>
      </c>
      <c r="D4192" t="inlineStr">
        <is>
          <t>VÄSTERNORRLANDS LÄN</t>
        </is>
      </c>
      <c r="E4192" t="inlineStr">
        <is>
          <t>SUNDSVALL</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52652-2021</t>
        </is>
      </c>
      <c r="B4193" s="1" t="n">
        <v>44466</v>
      </c>
      <c r="C4193" s="1" t="n">
        <v>45212</v>
      </c>
      <c r="D4193" t="inlineStr">
        <is>
          <t>VÄSTERNORRLANDS LÄN</t>
        </is>
      </c>
      <c r="E4193" t="inlineStr">
        <is>
          <t>ÖRNSKÖLDSVIK</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52447-2021</t>
        </is>
      </c>
      <c r="B4194" s="1" t="n">
        <v>44466</v>
      </c>
      <c r="C4194" s="1" t="n">
        <v>45212</v>
      </c>
      <c r="D4194" t="inlineStr">
        <is>
          <t>VÄSTERNORRLANDS LÄN</t>
        </is>
      </c>
      <c r="E4194" t="inlineStr">
        <is>
          <t>SOLLEFTEÅ</t>
        </is>
      </c>
      <c r="F4194" t="inlineStr">
        <is>
          <t>Holmen skog AB</t>
        </is>
      </c>
      <c r="G4194" t="n">
        <v>8.9</v>
      </c>
      <c r="H4194" t="n">
        <v>0</v>
      </c>
      <c r="I4194" t="n">
        <v>0</v>
      </c>
      <c r="J4194" t="n">
        <v>0</v>
      </c>
      <c r="K4194" t="n">
        <v>0</v>
      </c>
      <c r="L4194" t="n">
        <v>0</v>
      </c>
      <c r="M4194" t="n">
        <v>0</v>
      </c>
      <c r="N4194" t="n">
        <v>0</v>
      </c>
      <c r="O4194" t="n">
        <v>0</v>
      </c>
      <c r="P4194" t="n">
        <v>0</v>
      </c>
      <c r="Q4194" t="n">
        <v>0</v>
      </c>
      <c r="R4194" s="2" t="inlineStr"/>
    </row>
    <row r="4195" ht="15" customHeight="1">
      <c r="A4195" t="inlineStr">
        <is>
          <t>A 52723-2021</t>
        </is>
      </c>
      <c r="B4195" s="1" t="n">
        <v>44466</v>
      </c>
      <c r="C4195" s="1" t="n">
        <v>45212</v>
      </c>
      <c r="D4195" t="inlineStr">
        <is>
          <t>VÄSTERNORRLANDS LÄN</t>
        </is>
      </c>
      <c r="E4195" t="inlineStr">
        <is>
          <t>KRAMFORS</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53308-2021</t>
        </is>
      </c>
      <c r="B4196" s="1" t="n">
        <v>44466</v>
      </c>
      <c r="C4196" s="1" t="n">
        <v>45212</v>
      </c>
      <c r="D4196" t="inlineStr">
        <is>
          <t>VÄSTERNORRLANDS LÄN</t>
        </is>
      </c>
      <c r="E4196" t="inlineStr">
        <is>
          <t>ÖRNSKÖLDSVIK</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52705-2021</t>
        </is>
      </c>
      <c r="B4197" s="1" t="n">
        <v>44466</v>
      </c>
      <c r="C4197" s="1" t="n">
        <v>45212</v>
      </c>
      <c r="D4197" t="inlineStr">
        <is>
          <t>VÄSTERNORRLANDS LÄN</t>
        </is>
      </c>
      <c r="E4197" t="inlineStr">
        <is>
          <t>ÅNGE</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52726-2021</t>
        </is>
      </c>
      <c r="B4198" s="1" t="n">
        <v>44466</v>
      </c>
      <c r="C4198" s="1" t="n">
        <v>45212</v>
      </c>
      <c r="D4198" t="inlineStr">
        <is>
          <t>VÄSTERNORRLANDS LÄN</t>
        </is>
      </c>
      <c r="E4198" t="inlineStr">
        <is>
          <t>ÅNGE</t>
        </is>
      </c>
      <c r="F4198" t="inlineStr">
        <is>
          <t>SCA</t>
        </is>
      </c>
      <c r="G4198" t="n">
        <v>9.5</v>
      </c>
      <c r="H4198" t="n">
        <v>0</v>
      </c>
      <c r="I4198" t="n">
        <v>0</v>
      </c>
      <c r="J4198" t="n">
        <v>0</v>
      </c>
      <c r="K4198" t="n">
        <v>0</v>
      </c>
      <c r="L4198" t="n">
        <v>0</v>
      </c>
      <c r="M4198" t="n">
        <v>0</v>
      </c>
      <c r="N4198" t="n">
        <v>0</v>
      </c>
      <c r="O4198" t="n">
        <v>0</v>
      </c>
      <c r="P4198" t="n">
        <v>0</v>
      </c>
      <c r="Q4198" t="n">
        <v>0</v>
      </c>
      <c r="R4198" s="2" t="inlineStr"/>
    </row>
    <row r="4199" ht="15" customHeight="1">
      <c r="A4199" t="inlineStr">
        <is>
          <t>A 53224-2021</t>
        </is>
      </c>
      <c r="B4199" s="1" t="n">
        <v>44467</v>
      </c>
      <c r="C4199" s="1" t="n">
        <v>45212</v>
      </c>
      <c r="D4199" t="inlineStr">
        <is>
          <t>VÄSTERNORRLANDS LÄN</t>
        </is>
      </c>
      <c r="E4199" t="inlineStr">
        <is>
          <t>ÖRNSKÖLDSVIK</t>
        </is>
      </c>
      <c r="G4199" t="n">
        <v>8.4</v>
      </c>
      <c r="H4199" t="n">
        <v>0</v>
      </c>
      <c r="I4199" t="n">
        <v>0</v>
      </c>
      <c r="J4199" t="n">
        <v>0</v>
      </c>
      <c r="K4199" t="n">
        <v>0</v>
      </c>
      <c r="L4199" t="n">
        <v>0</v>
      </c>
      <c r="M4199" t="n">
        <v>0</v>
      </c>
      <c r="N4199" t="n">
        <v>0</v>
      </c>
      <c r="O4199" t="n">
        <v>0</v>
      </c>
      <c r="P4199" t="n">
        <v>0</v>
      </c>
      <c r="Q4199" t="n">
        <v>0</v>
      </c>
      <c r="R4199" s="2" t="inlineStr"/>
    </row>
    <row r="4200" ht="15" customHeight="1">
      <c r="A4200" t="inlineStr">
        <is>
          <t>A 53289-2021</t>
        </is>
      </c>
      <c r="B4200" s="1" t="n">
        <v>44467</v>
      </c>
      <c r="C4200" s="1" t="n">
        <v>45212</v>
      </c>
      <c r="D4200" t="inlineStr">
        <is>
          <t>VÄSTERNORRLANDS LÄN</t>
        </is>
      </c>
      <c r="E4200" t="inlineStr">
        <is>
          <t>SOLLEFTEÅ</t>
        </is>
      </c>
      <c r="G4200" t="n">
        <v>6.5</v>
      </c>
      <c r="H4200" t="n">
        <v>0</v>
      </c>
      <c r="I4200" t="n">
        <v>0</v>
      </c>
      <c r="J4200" t="n">
        <v>0</v>
      </c>
      <c r="K4200" t="n">
        <v>0</v>
      </c>
      <c r="L4200" t="n">
        <v>0</v>
      </c>
      <c r="M4200" t="n">
        <v>0</v>
      </c>
      <c r="N4200" t="n">
        <v>0</v>
      </c>
      <c r="O4200" t="n">
        <v>0</v>
      </c>
      <c r="P4200" t="n">
        <v>0</v>
      </c>
      <c r="Q4200" t="n">
        <v>0</v>
      </c>
      <c r="R4200" s="2" t="inlineStr"/>
    </row>
    <row r="4201" ht="15" customHeight="1">
      <c r="A4201" t="inlineStr">
        <is>
          <t>A 53231-2021</t>
        </is>
      </c>
      <c r="B4201" s="1" t="n">
        <v>44467</v>
      </c>
      <c r="C4201" s="1" t="n">
        <v>45212</v>
      </c>
      <c r="D4201" t="inlineStr">
        <is>
          <t>VÄSTERNORRLANDS LÄN</t>
        </is>
      </c>
      <c r="E4201" t="inlineStr">
        <is>
          <t>ÖRNSKÖLDSVIK</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53292-2021</t>
        </is>
      </c>
      <c r="B4202" s="1" t="n">
        <v>44467</v>
      </c>
      <c r="C4202" s="1" t="n">
        <v>45212</v>
      </c>
      <c r="D4202" t="inlineStr">
        <is>
          <t>VÄSTERNORRLANDS LÄN</t>
        </is>
      </c>
      <c r="E4202" t="inlineStr">
        <is>
          <t>ÖRNSKÖLDSVIK</t>
        </is>
      </c>
      <c r="G4202" t="n">
        <v>8.5</v>
      </c>
      <c r="H4202" t="n">
        <v>0</v>
      </c>
      <c r="I4202" t="n">
        <v>0</v>
      </c>
      <c r="J4202" t="n">
        <v>0</v>
      </c>
      <c r="K4202" t="n">
        <v>0</v>
      </c>
      <c r="L4202" t="n">
        <v>0</v>
      </c>
      <c r="M4202" t="n">
        <v>0</v>
      </c>
      <c r="N4202" t="n">
        <v>0</v>
      </c>
      <c r="O4202" t="n">
        <v>0</v>
      </c>
      <c r="P4202" t="n">
        <v>0</v>
      </c>
      <c r="Q4202" t="n">
        <v>0</v>
      </c>
      <c r="R4202" s="2" t="inlineStr"/>
    </row>
    <row r="4203" ht="15" customHeight="1">
      <c r="A4203" t="inlineStr">
        <is>
          <t>A 53305-2021</t>
        </is>
      </c>
      <c r="B4203" s="1" t="n">
        <v>44467</v>
      </c>
      <c r="C4203" s="1" t="n">
        <v>45212</v>
      </c>
      <c r="D4203" t="inlineStr">
        <is>
          <t>VÄSTERNORRLANDS LÄN</t>
        </is>
      </c>
      <c r="E4203" t="inlineStr">
        <is>
          <t>TIMRÅ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53221-2021</t>
        </is>
      </c>
      <c r="B4204" s="1" t="n">
        <v>44467</v>
      </c>
      <c r="C4204" s="1" t="n">
        <v>45212</v>
      </c>
      <c r="D4204" t="inlineStr">
        <is>
          <t>VÄSTERNORRLANDS LÄN</t>
        </is>
      </c>
      <c r="E4204" t="inlineStr">
        <is>
          <t>ÖRNSKÖLDSVIK</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53278-2021</t>
        </is>
      </c>
      <c r="B4205" s="1" t="n">
        <v>44467</v>
      </c>
      <c r="C4205" s="1" t="n">
        <v>45212</v>
      </c>
      <c r="D4205" t="inlineStr">
        <is>
          <t>VÄSTERNORRLANDS LÄN</t>
        </is>
      </c>
      <c r="E4205" t="inlineStr">
        <is>
          <t>SOLLEFTEÅ</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53215-2021</t>
        </is>
      </c>
      <c r="B4206" s="1" t="n">
        <v>44468</v>
      </c>
      <c r="C4206" s="1" t="n">
        <v>45212</v>
      </c>
      <c r="D4206" t="inlineStr">
        <is>
          <t>VÄSTERNORRLANDS LÄN</t>
        </is>
      </c>
      <c r="E4206" t="inlineStr">
        <is>
          <t>ÖRNSKÖLDSVIK</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53401-2021</t>
        </is>
      </c>
      <c r="B4207" s="1" t="n">
        <v>44468</v>
      </c>
      <c r="C4207" s="1" t="n">
        <v>45212</v>
      </c>
      <c r="D4207" t="inlineStr">
        <is>
          <t>VÄSTERNORRLANDS LÄN</t>
        </is>
      </c>
      <c r="E4207" t="inlineStr">
        <is>
          <t>ÖRNSKÖLDSVIK</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53163-2021</t>
        </is>
      </c>
      <c r="B4208" s="1" t="n">
        <v>44468</v>
      </c>
      <c r="C4208" s="1" t="n">
        <v>45212</v>
      </c>
      <c r="D4208" t="inlineStr">
        <is>
          <t>VÄSTERNORRLANDS LÄN</t>
        </is>
      </c>
      <c r="E4208" t="inlineStr">
        <is>
          <t>ÖRNSKÖLDSVIK</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53162-2021</t>
        </is>
      </c>
      <c r="B4209" s="1" t="n">
        <v>44468</v>
      </c>
      <c r="C4209" s="1" t="n">
        <v>45212</v>
      </c>
      <c r="D4209" t="inlineStr">
        <is>
          <t>VÄSTERNORRLANDS LÄN</t>
        </is>
      </c>
      <c r="E4209" t="inlineStr">
        <is>
          <t>ÖRNSKÖLDSVIK</t>
        </is>
      </c>
      <c r="F4209" t="inlineStr">
        <is>
          <t>Holmen skog AB</t>
        </is>
      </c>
      <c r="G4209" t="n">
        <v>9.199999999999999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53524-2021</t>
        </is>
      </c>
      <c r="B4210" s="1" t="n">
        <v>44468</v>
      </c>
      <c r="C4210" s="1" t="n">
        <v>45212</v>
      </c>
      <c r="D4210" t="inlineStr">
        <is>
          <t>VÄSTERNORRLANDS LÄN</t>
        </is>
      </c>
      <c r="E4210" t="inlineStr">
        <is>
          <t>SOLLEFTEÅ</t>
        </is>
      </c>
      <c r="F4210" t="inlineStr">
        <is>
          <t>SCA</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53332-2021</t>
        </is>
      </c>
      <c r="B4211" s="1" t="n">
        <v>44468</v>
      </c>
      <c r="C4211" s="1" t="n">
        <v>45212</v>
      </c>
      <c r="D4211" t="inlineStr">
        <is>
          <t>VÄSTERNORRLANDS LÄN</t>
        </is>
      </c>
      <c r="E4211" t="inlineStr">
        <is>
          <t>ÖRNSKÖLDSVIK</t>
        </is>
      </c>
      <c r="G4211" t="n">
        <v>10.5</v>
      </c>
      <c r="H4211" t="n">
        <v>0</v>
      </c>
      <c r="I4211" t="n">
        <v>0</v>
      </c>
      <c r="J4211" t="n">
        <v>0</v>
      </c>
      <c r="K4211" t="n">
        <v>0</v>
      </c>
      <c r="L4211" t="n">
        <v>0</v>
      </c>
      <c r="M4211" t="n">
        <v>0</v>
      </c>
      <c r="N4211" t="n">
        <v>0</v>
      </c>
      <c r="O4211" t="n">
        <v>0</v>
      </c>
      <c r="P4211" t="n">
        <v>0</v>
      </c>
      <c r="Q4211" t="n">
        <v>0</v>
      </c>
      <c r="R4211" s="2" t="inlineStr"/>
    </row>
    <row r="4212" ht="15" customHeight="1">
      <c r="A4212" t="inlineStr">
        <is>
          <t>A 53578-2021</t>
        </is>
      </c>
      <c r="B4212" s="1" t="n">
        <v>44469</v>
      </c>
      <c r="C4212" s="1" t="n">
        <v>45212</v>
      </c>
      <c r="D4212" t="inlineStr">
        <is>
          <t>VÄSTERNORRLANDS LÄN</t>
        </is>
      </c>
      <c r="E4212" t="inlineStr">
        <is>
          <t>KRAMFORS</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53576-2021</t>
        </is>
      </c>
      <c r="B4213" s="1" t="n">
        <v>44469</v>
      </c>
      <c r="C4213" s="1" t="n">
        <v>45212</v>
      </c>
      <c r="D4213" t="inlineStr">
        <is>
          <t>VÄSTERNORRLANDS LÄN</t>
        </is>
      </c>
      <c r="E4213" t="inlineStr">
        <is>
          <t>KRAMFORS</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53626-2021</t>
        </is>
      </c>
      <c r="B4214" s="1" t="n">
        <v>44469</v>
      </c>
      <c r="C4214" s="1" t="n">
        <v>45212</v>
      </c>
      <c r="D4214" t="inlineStr">
        <is>
          <t>VÄSTERNORRLANDS LÄN</t>
        </is>
      </c>
      <c r="E4214" t="inlineStr">
        <is>
          <t>ÖRNSKÖLDSVIK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53703-2021</t>
        </is>
      </c>
      <c r="B4215" s="1" t="n">
        <v>44469</v>
      </c>
      <c r="C4215" s="1" t="n">
        <v>45212</v>
      </c>
      <c r="D4215" t="inlineStr">
        <is>
          <t>VÄSTERNORRLANDS LÄN</t>
        </is>
      </c>
      <c r="E4215" t="inlineStr">
        <is>
          <t>TIMRÅ</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53812-2021</t>
        </is>
      </c>
      <c r="B4216" s="1" t="n">
        <v>44469</v>
      </c>
      <c r="C4216" s="1" t="n">
        <v>45212</v>
      </c>
      <c r="D4216" t="inlineStr">
        <is>
          <t>VÄSTERNORRLANDS LÄN</t>
        </is>
      </c>
      <c r="E4216" t="inlineStr">
        <is>
          <t>ÖRNSKÖLDSVIK</t>
        </is>
      </c>
      <c r="F4216" t="inlineStr">
        <is>
          <t>Holmen skog AB</t>
        </is>
      </c>
      <c r="G4216" t="n">
        <v>4.1</v>
      </c>
      <c r="H4216" t="n">
        <v>0</v>
      </c>
      <c r="I4216" t="n">
        <v>0</v>
      </c>
      <c r="J4216" t="n">
        <v>0</v>
      </c>
      <c r="K4216" t="n">
        <v>0</v>
      </c>
      <c r="L4216" t="n">
        <v>0</v>
      </c>
      <c r="M4216" t="n">
        <v>0</v>
      </c>
      <c r="N4216" t="n">
        <v>0</v>
      </c>
      <c r="O4216" t="n">
        <v>0</v>
      </c>
      <c r="P4216" t="n">
        <v>0</v>
      </c>
      <c r="Q4216" t="n">
        <v>0</v>
      </c>
      <c r="R4216" s="2" t="inlineStr"/>
    </row>
    <row r="4217" ht="15" customHeight="1">
      <c r="A4217" t="inlineStr">
        <is>
          <t>A 54146-2021</t>
        </is>
      </c>
      <c r="B4217" s="1" t="n">
        <v>44469</v>
      </c>
      <c r="C4217" s="1" t="n">
        <v>45212</v>
      </c>
      <c r="D4217" t="inlineStr">
        <is>
          <t>VÄSTERNORRLANDS LÄN</t>
        </is>
      </c>
      <c r="E4217" t="inlineStr">
        <is>
          <t>SOLLEFTEÅ</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53699-2021</t>
        </is>
      </c>
      <c r="B4218" s="1" t="n">
        <v>44469</v>
      </c>
      <c r="C4218" s="1" t="n">
        <v>45212</v>
      </c>
      <c r="D4218" t="inlineStr">
        <is>
          <t>VÄSTERNORRLANDS LÄN</t>
        </is>
      </c>
      <c r="E4218" t="inlineStr">
        <is>
          <t>TIMRÅ</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53807-2021</t>
        </is>
      </c>
      <c r="B4219" s="1" t="n">
        <v>44469</v>
      </c>
      <c r="C4219" s="1" t="n">
        <v>45212</v>
      </c>
      <c r="D4219" t="inlineStr">
        <is>
          <t>VÄSTERNORRLANDS LÄN</t>
        </is>
      </c>
      <c r="E4219" t="inlineStr">
        <is>
          <t>ÖRNSKÖLDSVIK</t>
        </is>
      </c>
      <c r="F4219" t="inlineStr">
        <is>
          <t>Holmen skog AB</t>
        </is>
      </c>
      <c r="G4219" t="n">
        <v>5.6</v>
      </c>
      <c r="H4219" t="n">
        <v>0</v>
      </c>
      <c r="I4219" t="n">
        <v>0</v>
      </c>
      <c r="J4219" t="n">
        <v>0</v>
      </c>
      <c r="K4219" t="n">
        <v>0</v>
      </c>
      <c r="L4219" t="n">
        <v>0</v>
      </c>
      <c r="M4219" t="n">
        <v>0</v>
      </c>
      <c r="N4219" t="n">
        <v>0</v>
      </c>
      <c r="O4219" t="n">
        <v>0</v>
      </c>
      <c r="P4219" t="n">
        <v>0</v>
      </c>
      <c r="Q4219" t="n">
        <v>0</v>
      </c>
      <c r="R4219" s="2" t="inlineStr"/>
    </row>
    <row r="4220" ht="15" customHeight="1">
      <c r="A4220" t="inlineStr">
        <is>
          <t>A 53955-2021</t>
        </is>
      </c>
      <c r="B4220" s="1" t="n">
        <v>44469</v>
      </c>
      <c r="C4220" s="1" t="n">
        <v>45212</v>
      </c>
      <c r="D4220" t="inlineStr">
        <is>
          <t>VÄSTERNORRLANDS LÄN</t>
        </is>
      </c>
      <c r="E4220" t="inlineStr">
        <is>
          <t>SOLLEFTEÅ</t>
        </is>
      </c>
      <c r="F4220" t="inlineStr">
        <is>
          <t>SCA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53970-2021</t>
        </is>
      </c>
      <c r="B4221" s="1" t="n">
        <v>44469</v>
      </c>
      <c r="C4221" s="1" t="n">
        <v>45212</v>
      </c>
      <c r="D4221" t="inlineStr">
        <is>
          <t>VÄSTERNORRLANDS LÄN</t>
        </is>
      </c>
      <c r="E4221" t="inlineStr">
        <is>
          <t>ÅNGE</t>
        </is>
      </c>
      <c r="G4221" t="n">
        <v>3.4</v>
      </c>
      <c r="H4221" t="n">
        <v>0</v>
      </c>
      <c r="I4221" t="n">
        <v>0</v>
      </c>
      <c r="J4221" t="n">
        <v>0</v>
      </c>
      <c r="K4221" t="n">
        <v>0</v>
      </c>
      <c r="L4221" t="n">
        <v>0</v>
      </c>
      <c r="M4221" t="n">
        <v>0</v>
      </c>
      <c r="N4221" t="n">
        <v>0</v>
      </c>
      <c r="O4221" t="n">
        <v>0</v>
      </c>
      <c r="P4221" t="n">
        <v>0</v>
      </c>
      <c r="Q4221" t="n">
        <v>0</v>
      </c>
      <c r="R4221" s="2" t="inlineStr"/>
    </row>
    <row r="4222" ht="15" customHeight="1">
      <c r="A4222" t="inlineStr">
        <is>
          <t>A 53568-2021</t>
        </is>
      </c>
      <c r="B4222" s="1" t="n">
        <v>44469</v>
      </c>
      <c r="C4222" s="1" t="n">
        <v>45212</v>
      </c>
      <c r="D4222" t="inlineStr">
        <is>
          <t>VÄSTERNORRLANDS LÄN</t>
        </is>
      </c>
      <c r="E4222" t="inlineStr">
        <is>
          <t>HÄRNÖSAND</t>
        </is>
      </c>
      <c r="G4222" t="n">
        <v>3.9</v>
      </c>
      <c r="H4222" t="n">
        <v>0</v>
      </c>
      <c r="I4222" t="n">
        <v>0</v>
      </c>
      <c r="J4222" t="n">
        <v>0</v>
      </c>
      <c r="K4222" t="n">
        <v>0</v>
      </c>
      <c r="L4222" t="n">
        <v>0</v>
      </c>
      <c r="M4222" t="n">
        <v>0</v>
      </c>
      <c r="N4222" t="n">
        <v>0</v>
      </c>
      <c r="O4222" t="n">
        <v>0</v>
      </c>
      <c r="P4222" t="n">
        <v>0</v>
      </c>
      <c r="Q4222" t="n">
        <v>0</v>
      </c>
      <c r="R4222" s="2" t="inlineStr"/>
    </row>
    <row r="4223" ht="15" customHeight="1">
      <c r="A4223" t="inlineStr">
        <is>
          <t>A 53969-2021</t>
        </is>
      </c>
      <c r="B4223" s="1" t="n">
        <v>44469</v>
      </c>
      <c r="C4223" s="1" t="n">
        <v>45212</v>
      </c>
      <c r="D4223" t="inlineStr">
        <is>
          <t>VÄSTERNORRLANDS LÄN</t>
        </is>
      </c>
      <c r="E4223" t="inlineStr">
        <is>
          <t>ÅNGE</t>
        </is>
      </c>
      <c r="G4223" t="n">
        <v>0.7</v>
      </c>
      <c r="H4223" t="n">
        <v>0</v>
      </c>
      <c r="I4223" t="n">
        <v>0</v>
      </c>
      <c r="J4223" t="n">
        <v>0</v>
      </c>
      <c r="K4223" t="n">
        <v>0</v>
      </c>
      <c r="L4223" t="n">
        <v>0</v>
      </c>
      <c r="M4223" t="n">
        <v>0</v>
      </c>
      <c r="N4223" t="n">
        <v>0</v>
      </c>
      <c r="O4223" t="n">
        <v>0</v>
      </c>
      <c r="P4223" t="n">
        <v>0</v>
      </c>
      <c r="Q4223" t="n">
        <v>0</v>
      </c>
      <c r="R4223" s="2" t="inlineStr"/>
    </row>
    <row r="4224" ht="15" customHeight="1">
      <c r="A4224" t="inlineStr">
        <is>
          <t>A 54034-2021</t>
        </is>
      </c>
      <c r="B4224" s="1" t="n">
        <v>44470</v>
      </c>
      <c r="C4224" s="1" t="n">
        <v>45212</v>
      </c>
      <c r="D4224" t="inlineStr">
        <is>
          <t>VÄSTERNORRLANDS LÄN</t>
        </is>
      </c>
      <c r="E4224" t="inlineStr">
        <is>
          <t>ÖRNSKÖLDSVIK</t>
        </is>
      </c>
      <c r="F4224" t="inlineStr">
        <is>
          <t>Holmen skog AB</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54401-2021</t>
        </is>
      </c>
      <c r="B4225" s="1" t="n">
        <v>44472</v>
      </c>
      <c r="C4225" s="1" t="n">
        <v>45212</v>
      </c>
      <c r="D4225" t="inlineStr">
        <is>
          <t>VÄSTERNORRLANDS LÄN</t>
        </is>
      </c>
      <c r="E4225" t="inlineStr">
        <is>
          <t>ÖRNSKÖLDSVIK</t>
        </is>
      </c>
      <c r="G4225" t="n">
        <v>10.7</v>
      </c>
      <c r="H4225" t="n">
        <v>0</v>
      </c>
      <c r="I4225" t="n">
        <v>0</v>
      </c>
      <c r="J4225" t="n">
        <v>0</v>
      </c>
      <c r="K4225" t="n">
        <v>0</v>
      </c>
      <c r="L4225" t="n">
        <v>0</v>
      </c>
      <c r="M4225" t="n">
        <v>0</v>
      </c>
      <c r="N4225" t="n">
        <v>0</v>
      </c>
      <c r="O4225" t="n">
        <v>0</v>
      </c>
      <c r="P4225" t="n">
        <v>0</v>
      </c>
      <c r="Q4225" t="n">
        <v>0</v>
      </c>
      <c r="R4225" s="2" t="inlineStr"/>
    </row>
    <row r="4226" ht="15" customHeight="1">
      <c r="A4226" t="inlineStr">
        <is>
          <t>A 54416-2021</t>
        </is>
      </c>
      <c r="B4226" s="1" t="n">
        <v>44472</v>
      </c>
      <c r="C4226" s="1" t="n">
        <v>45212</v>
      </c>
      <c r="D4226" t="inlineStr">
        <is>
          <t>VÄSTERNORRLANDS LÄN</t>
        </is>
      </c>
      <c r="E4226" t="inlineStr">
        <is>
          <t>ÖRNSKÖLDSVIK</t>
        </is>
      </c>
      <c r="G4226" t="n">
        <v>6.3</v>
      </c>
      <c r="H4226" t="n">
        <v>0</v>
      </c>
      <c r="I4226" t="n">
        <v>0</v>
      </c>
      <c r="J4226" t="n">
        <v>0</v>
      </c>
      <c r="K4226" t="n">
        <v>0</v>
      </c>
      <c r="L4226" t="n">
        <v>0</v>
      </c>
      <c r="M4226" t="n">
        <v>0</v>
      </c>
      <c r="N4226" t="n">
        <v>0</v>
      </c>
      <c r="O4226" t="n">
        <v>0</v>
      </c>
      <c r="P4226" t="n">
        <v>0</v>
      </c>
      <c r="Q4226" t="n">
        <v>0</v>
      </c>
      <c r="R4226" s="2" t="inlineStr"/>
    </row>
    <row r="4227" ht="15" customHeight="1">
      <c r="A4227" t="inlineStr">
        <is>
          <t>A 54739-2021</t>
        </is>
      </c>
      <c r="B4227" s="1" t="n">
        <v>44473</v>
      </c>
      <c r="C4227" s="1" t="n">
        <v>45212</v>
      </c>
      <c r="D4227" t="inlineStr">
        <is>
          <t>VÄSTERNORRLANDS LÄN</t>
        </is>
      </c>
      <c r="E4227" t="inlineStr">
        <is>
          <t>SUNDSVALL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54461-2021</t>
        </is>
      </c>
      <c r="B4228" s="1" t="n">
        <v>44473</v>
      </c>
      <c r="C4228" s="1" t="n">
        <v>45212</v>
      </c>
      <c r="D4228" t="inlineStr">
        <is>
          <t>VÄSTERNORRLANDS LÄN</t>
        </is>
      </c>
      <c r="E4228" t="inlineStr">
        <is>
          <t>ÖRNSKÖLDSVIK</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54626-2021</t>
        </is>
      </c>
      <c r="B4229" s="1" t="n">
        <v>44473</v>
      </c>
      <c r="C4229" s="1" t="n">
        <v>45212</v>
      </c>
      <c r="D4229" t="inlineStr">
        <is>
          <t>VÄSTERNORRLANDS LÄN</t>
        </is>
      </c>
      <c r="E4229" t="inlineStr">
        <is>
          <t>ÖRNSKÖLDSVIK</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54506-2021</t>
        </is>
      </c>
      <c r="B4230" s="1" t="n">
        <v>44473</v>
      </c>
      <c r="C4230" s="1" t="n">
        <v>45212</v>
      </c>
      <c r="D4230" t="inlineStr">
        <is>
          <t>VÄSTERNORRLANDS LÄN</t>
        </is>
      </c>
      <c r="E4230" t="inlineStr">
        <is>
          <t>SUNDSVALL</t>
        </is>
      </c>
      <c r="F4230" t="inlineStr">
        <is>
          <t>SCA</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54728-2021</t>
        </is>
      </c>
      <c r="B4231" s="1" t="n">
        <v>44473</v>
      </c>
      <c r="C4231" s="1" t="n">
        <v>45212</v>
      </c>
      <c r="D4231" t="inlineStr">
        <is>
          <t>VÄSTERNORRLANDS LÄN</t>
        </is>
      </c>
      <c r="E4231" t="inlineStr">
        <is>
          <t>SOLLEFTEÅ</t>
        </is>
      </c>
      <c r="F4231" t="inlineStr">
        <is>
          <t>Holmen skog AB</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54750-2021</t>
        </is>
      </c>
      <c r="B4232" s="1" t="n">
        <v>44473</v>
      </c>
      <c r="C4232" s="1" t="n">
        <v>45212</v>
      </c>
      <c r="D4232" t="inlineStr">
        <is>
          <t>VÄSTERNORRLANDS LÄN</t>
        </is>
      </c>
      <c r="E4232" t="inlineStr">
        <is>
          <t>ÅNGE</t>
        </is>
      </c>
      <c r="G4232" t="n">
        <v>4.8</v>
      </c>
      <c r="H4232" t="n">
        <v>0</v>
      </c>
      <c r="I4232" t="n">
        <v>0</v>
      </c>
      <c r="J4232" t="n">
        <v>0</v>
      </c>
      <c r="K4232" t="n">
        <v>0</v>
      </c>
      <c r="L4232" t="n">
        <v>0</v>
      </c>
      <c r="M4232" t="n">
        <v>0</v>
      </c>
      <c r="N4232" t="n">
        <v>0</v>
      </c>
      <c r="O4232" t="n">
        <v>0</v>
      </c>
      <c r="P4232" t="n">
        <v>0</v>
      </c>
      <c r="Q4232" t="n">
        <v>0</v>
      </c>
      <c r="R4232" s="2" t="inlineStr"/>
    </row>
    <row r="4233" ht="15" customHeight="1">
      <c r="A4233" t="inlineStr">
        <is>
          <t>A 54436-2021</t>
        </is>
      </c>
      <c r="B4233" s="1" t="n">
        <v>44473</v>
      </c>
      <c r="C4233" s="1" t="n">
        <v>45212</v>
      </c>
      <c r="D4233" t="inlineStr">
        <is>
          <t>VÄSTERNORRLANDS LÄN</t>
        </is>
      </c>
      <c r="E4233" t="inlineStr">
        <is>
          <t>ÖRNSKÖLDSVIK</t>
        </is>
      </c>
      <c r="F4233" t="inlineStr">
        <is>
          <t>Holmen skog AB</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55109-2021</t>
        </is>
      </c>
      <c r="B4234" s="1" t="n">
        <v>44474</v>
      </c>
      <c r="C4234" s="1" t="n">
        <v>45212</v>
      </c>
      <c r="D4234" t="inlineStr">
        <is>
          <t>VÄSTERNORRLANDS LÄN</t>
        </is>
      </c>
      <c r="E4234" t="inlineStr">
        <is>
          <t>SOLLEFTEÅ</t>
        </is>
      </c>
      <c r="F4234" t="inlineStr">
        <is>
          <t>Holmen skog AB</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55158-2021</t>
        </is>
      </c>
      <c r="B4235" s="1" t="n">
        <v>44474</v>
      </c>
      <c r="C4235" s="1" t="n">
        <v>45212</v>
      </c>
      <c r="D4235" t="inlineStr">
        <is>
          <t>VÄSTERNORRLANDS LÄN</t>
        </is>
      </c>
      <c r="E4235" t="inlineStr">
        <is>
          <t>SUNDSVALL</t>
        </is>
      </c>
      <c r="G4235" t="n">
        <v>3.6</v>
      </c>
      <c r="H4235" t="n">
        <v>0</v>
      </c>
      <c r="I4235" t="n">
        <v>0</v>
      </c>
      <c r="J4235" t="n">
        <v>0</v>
      </c>
      <c r="K4235" t="n">
        <v>0</v>
      </c>
      <c r="L4235" t="n">
        <v>0</v>
      </c>
      <c r="M4235" t="n">
        <v>0</v>
      </c>
      <c r="N4235" t="n">
        <v>0</v>
      </c>
      <c r="O4235" t="n">
        <v>0</v>
      </c>
      <c r="P4235" t="n">
        <v>0</v>
      </c>
      <c r="Q4235" t="n">
        <v>0</v>
      </c>
      <c r="R4235" s="2" t="inlineStr"/>
    </row>
    <row r="4236" ht="15" customHeight="1">
      <c r="A4236" t="inlineStr">
        <is>
          <t>A 54987-2021</t>
        </is>
      </c>
      <c r="B4236" s="1" t="n">
        <v>44474</v>
      </c>
      <c r="C4236" s="1" t="n">
        <v>45212</v>
      </c>
      <c r="D4236" t="inlineStr">
        <is>
          <t>VÄSTERNORRLANDS LÄN</t>
        </is>
      </c>
      <c r="E4236" t="inlineStr">
        <is>
          <t>ÖRNSKÖLDSVIK</t>
        </is>
      </c>
      <c r="G4236" t="n">
        <v>14.3</v>
      </c>
      <c r="H4236" t="n">
        <v>0</v>
      </c>
      <c r="I4236" t="n">
        <v>0</v>
      </c>
      <c r="J4236" t="n">
        <v>0</v>
      </c>
      <c r="K4236" t="n">
        <v>0</v>
      </c>
      <c r="L4236" t="n">
        <v>0</v>
      </c>
      <c r="M4236" t="n">
        <v>0</v>
      </c>
      <c r="N4236" t="n">
        <v>0</v>
      </c>
      <c r="O4236" t="n">
        <v>0</v>
      </c>
      <c r="P4236" t="n">
        <v>0</v>
      </c>
      <c r="Q4236" t="n">
        <v>0</v>
      </c>
      <c r="R4236" s="2" t="inlineStr"/>
    </row>
    <row r="4237" ht="15" customHeight="1">
      <c r="A4237" t="inlineStr">
        <is>
          <t>A 55311-2021</t>
        </is>
      </c>
      <c r="B4237" s="1" t="n">
        <v>44475</v>
      </c>
      <c r="C4237" s="1" t="n">
        <v>45212</v>
      </c>
      <c r="D4237" t="inlineStr">
        <is>
          <t>VÄSTERNORRLANDS LÄN</t>
        </is>
      </c>
      <c r="E4237" t="inlineStr">
        <is>
          <t>ÖRNSKÖLDSVIK</t>
        </is>
      </c>
      <c r="F4237" t="inlineStr">
        <is>
          <t>Holmen skog AB</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55351-2021</t>
        </is>
      </c>
      <c r="B4238" s="1" t="n">
        <v>44475</v>
      </c>
      <c r="C4238" s="1" t="n">
        <v>45212</v>
      </c>
      <c r="D4238" t="inlineStr">
        <is>
          <t>VÄSTERNORRLANDS LÄN</t>
        </is>
      </c>
      <c r="E4238" t="inlineStr">
        <is>
          <t>ÖRNSKÖLDSVIK</t>
        </is>
      </c>
      <c r="F4238" t="inlineStr">
        <is>
          <t>Holmen skog AB</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55553-2021</t>
        </is>
      </c>
      <c r="B4239" s="1" t="n">
        <v>44475</v>
      </c>
      <c r="C4239" s="1" t="n">
        <v>45212</v>
      </c>
      <c r="D4239" t="inlineStr">
        <is>
          <t>VÄSTERNORRLANDS LÄN</t>
        </is>
      </c>
      <c r="E4239" t="inlineStr">
        <is>
          <t>ÖRNSKÖLDSVIK</t>
        </is>
      </c>
      <c r="F4239" t="inlineStr">
        <is>
          <t>Holmen skog AB</t>
        </is>
      </c>
      <c r="G4239" t="n">
        <v>5.3</v>
      </c>
      <c r="H4239" t="n">
        <v>0</v>
      </c>
      <c r="I4239" t="n">
        <v>0</v>
      </c>
      <c r="J4239" t="n">
        <v>0</v>
      </c>
      <c r="K4239" t="n">
        <v>0</v>
      </c>
      <c r="L4239" t="n">
        <v>0</v>
      </c>
      <c r="M4239" t="n">
        <v>0</v>
      </c>
      <c r="N4239" t="n">
        <v>0</v>
      </c>
      <c r="O4239" t="n">
        <v>0</v>
      </c>
      <c r="P4239" t="n">
        <v>0</v>
      </c>
      <c r="Q4239" t="n">
        <v>0</v>
      </c>
      <c r="R4239" s="2" t="inlineStr"/>
    </row>
    <row r="4240" ht="15" customHeight="1">
      <c r="A4240" t="inlineStr">
        <is>
          <t>A 55643-2021</t>
        </is>
      </c>
      <c r="B4240" s="1" t="n">
        <v>44475</v>
      </c>
      <c r="C4240" s="1" t="n">
        <v>45212</v>
      </c>
      <c r="D4240" t="inlineStr">
        <is>
          <t>VÄSTERNORRLANDS LÄN</t>
        </is>
      </c>
      <c r="E4240" t="inlineStr">
        <is>
          <t>SOLLEFTEÅ</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55402-2021</t>
        </is>
      </c>
      <c r="B4241" s="1" t="n">
        <v>44475</v>
      </c>
      <c r="C4241" s="1" t="n">
        <v>45212</v>
      </c>
      <c r="D4241" t="inlineStr">
        <is>
          <t>VÄSTERNORRLANDS LÄN</t>
        </is>
      </c>
      <c r="E4241" t="inlineStr">
        <is>
          <t>ÖRNSKÖLDSVIK</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55316-2021</t>
        </is>
      </c>
      <c r="B4242" s="1" t="n">
        <v>44475</v>
      </c>
      <c r="C4242" s="1" t="n">
        <v>45212</v>
      </c>
      <c r="D4242" t="inlineStr">
        <is>
          <t>VÄSTERNORRLANDS LÄN</t>
        </is>
      </c>
      <c r="E4242" t="inlineStr">
        <is>
          <t>ÅNGE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55411-2021</t>
        </is>
      </c>
      <c r="B4243" s="1" t="n">
        <v>44475</v>
      </c>
      <c r="C4243" s="1" t="n">
        <v>45212</v>
      </c>
      <c r="D4243" t="inlineStr">
        <is>
          <t>VÄSTERNORRLANDS LÄN</t>
        </is>
      </c>
      <c r="E4243" t="inlineStr">
        <is>
          <t>KRAMFORS</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55520-2021</t>
        </is>
      </c>
      <c r="B4244" s="1" t="n">
        <v>44475</v>
      </c>
      <c r="C4244" s="1" t="n">
        <v>45212</v>
      </c>
      <c r="D4244" t="inlineStr">
        <is>
          <t>VÄSTERNORRLANDS LÄN</t>
        </is>
      </c>
      <c r="E4244" t="inlineStr">
        <is>
          <t>ÖRNSKÖLDSVIK</t>
        </is>
      </c>
      <c r="F4244" t="inlineStr">
        <is>
          <t>Holmen skog AB</t>
        </is>
      </c>
      <c r="G4244" t="n">
        <v>9.300000000000001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55583-2021</t>
        </is>
      </c>
      <c r="B4245" s="1" t="n">
        <v>44475</v>
      </c>
      <c r="C4245" s="1" t="n">
        <v>45212</v>
      </c>
      <c r="D4245" t="inlineStr">
        <is>
          <t>VÄSTERNORRLANDS LÄN</t>
        </is>
      </c>
      <c r="E4245" t="inlineStr">
        <is>
          <t>HÄRNÖSAND</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55594-2021</t>
        </is>
      </c>
      <c r="B4246" s="1" t="n">
        <v>44475</v>
      </c>
      <c r="C4246" s="1" t="n">
        <v>45212</v>
      </c>
      <c r="D4246" t="inlineStr">
        <is>
          <t>VÄSTERNORRLANDS LÄN</t>
        </is>
      </c>
      <c r="E4246" t="inlineStr">
        <is>
          <t>SUNDSVALL</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55555-2021</t>
        </is>
      </c>
      <c r="B4247" s="1" t="n">
        <v>44475</v>
      </c>
      <c r="C4247" s="1" t="n">
        <v>45212</v>
      </c>
      <c r="D4247" t="inlineStr">
        <is>
          <t>VÄSTERNORRLANDS LÄN</t>
        </is>
      </c>
      <c r="E4247" t="inlineStr">
        <is>
          <t>ÖRNSKÖLDSVIK</t>
        </is>
      </c>
      <c r="F4247" t="inlineStr">
        <is>
          <t>Holmen skog AB</t>
        </is>
      </c>
      <c r="G4247" t="n">
        <v>4.1</v>
      </c>
      <c r="H4247" t="n">
        <v>0</v>
      </c>
      <c r="I4247" t="n">
        <v>0</v>
      </c>
      <c r="J4247" t="n">
        <v>0</v>
      </c>
      <c r="K4247" t="n">
        <v>0</v>
      </c>
      <c r="L4247" t="n">
        <v>0</v>
      </c>
      <c r="M4247" t="n">
        <v>0</v>
      </c>
      <c r="N4247" t="n">
        <v>0</v>
      </c>
      <c r="O4247" t="n">
        <v>0</v>
      </c>
      <c r="P4247" t="n">
        <v>0</v>
      </c>
      <c r="Q4247" t="n">
        <v>0</v>
      </c>
      <c r="R4247" s="2" t="inlineStr"/>
    </row>
    <row r="4248" ht="15" customHeight="1">
      <c r="A4248" t="inlineStr">
        <is>
          <t>A 55570-2021</t>
        </is>
      </c>
      <c r="B4248" s="1" t="n">
        <v>44475</v>
      </c>
      <c r="C4248" s="1" t="n">
        <v>45212</v>
      </c>
      <c r="D4248" t="inlineStr">
        <is>
          <t>VÄSTERNORRLANDS LÄN</t>
        </is>
      </c>
      <c r="E4248" t="inlineStr">
        <is>
          <t>ÖRNSKÖLDSVIK</t>
        </is>
      </c>
      <c r="F4248" t="inlineStr">
        <is>
          <t>Holmen skog AB</t>
        </is>
      </c>
      <c r="G4248" t="n">
        <v>4.9</v>
      </c>
      <c r="H4248" t="n">
        <v>0</v>
      </c>
      <c r="I4248" t="n">
        <v>0</v>
      </c>
      <c r="J4248" t="n">
        <v>0</v>
      </c>
      <c r="K4248" t="n">
        <v>0</v>
      </c>
      <c r="L4248" t="n">
        <v>0</v>
      </c>
      <c r="M4248" t="n">
        <v>0</v>
      </c>
      <c r="N4248" t="n">
        <v>0</v>
      </c>
      <c r="O4248" t="n">
        <v>0</v>
      </c>
      <c r="P4248" t="n">
        <v>0</v>
      </c>
      <c r="Q4248" t="n">
        <v>0</v>
      </c>
      <c r="R4248" s="2" t="inlineStr"/>
    </row>
    <row r="4249" ht="15" customHeight="1">
      <c r="A4249" t="inlineStr">
        <is>
          <t>A 55676-2021</t>
        </is>
      </c>
      <c r="B4249" s="1" t="n">
        <v>44476</v>
      </c>
      <c r="C4249" s="1" t="n">
        <v>45212</v>
      </c>
      <c r="D4249" t="inlineStr">
        <is>
          <t>VÄSTERNORRLANDS LÄN</t>
        </is>
      </c>
      <c r="E4249" t="inlineStr">
        <is>
          <t>SUNDSVALL</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55924-2021</t>
        </is>
      </c>
      <c r="B4250" s="1" t="n">
        <v>44476</v>
      </c>
      <c r="C4250" s="1" t="n">
        <v>45212</v>
      </c>
      <c r="D4250" t="inlineStr">
        <is>
          <t>VÄSTERNORRLANDS LÄN</t>
        </is>
      </c>
      <c r="E4250" t="inlineStr">
        <is>
          <t>KRAMFORS</t>
        </is>
      </c>
      <c r="G4250" t="n">
        <v>3.6</v>
      </c>
      <c r="H4250" t="n">
        <v>0</v>
      </c>
      <c r="I4250" t="n">
        <v>0</v>
      </c>
      <c r="J4250" t="n">
        <v>0</v>
      </c>
      <c r="K4250" t="n">
        <v>0</v>
      </c>
      <c r="L4250" t="n">
        <v>0</v>
      </c>
      <c r="M4250" t="n">
        <v>0</v>
      </c>
      <c r="N4250" t="n">
        <v>0</v>
      </c>
      <c r="O4250" t="n">
        <v>0</v>
      </c>
      <c r="P4250" t="n">
        <v>0</v>
      </c>
      <c r="Q4250" t="n">
        <v>0</v>
      </c>
      <c r="R4250" s="2" t="inlineStr"/>
    </row>
    <row r="4251" ht="15" customHeight="1">
      <c r="A4251" t="inlineStr">
        <is>
          <t>A 55904-2021</t>
        </is>
      </c>
      <c r="B4251" s="1" t="n">
        <v>44476</v>
      </c>
      <c r="C4251" s="1" t="n">
        <v>45212</v>
      </c>
      <c r="D4251" t="inlineStr">
        <is>
          <t>VÄSTERNORRLANDS LÄN</t>
        </is>
      </c>
      <c r="E4251" t="inlineStr">
        <is>
          <t>SOLLEFTEÅ</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55790-2021</t>
        </is>
      </c>
      <c r="B4252" s="1" t="n">
        <v>44476</v>
      </c>
      <c r="C4252" s="1" t="n">
        <v>45212</v>
      </c>
      <c r="D4252" t="inlineStr">
        <is>
          <t>VÄSTERNORRLANDS LÄN</t>
        </is>
      </c>
      <c r="E4252" t="inlineStr">
        <is>
          <t>HÄRNÖSAND</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56434-2021</t>
        </is>
      </c>
      <c r="B4253" s="1" t="n">
        <v>44477</v>
      </c>
      <c r="C4253" s="1" t="n">
        <v>45212</v>
      </c>
      <c r="D4253" t="inlineStr">
        <is>
          <t>VÄSTERNORRLANDS LÄN</t>
        </is>
      </c>
      <c r="E4253" t="inlineStr">
        <is>
          <t>ÅNGE</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56437-2021</t>
        </is>
      </c>
      <c r="B4254" s="1" t="n">
        <v>44477</v>
      </c>
      <c r="C4254" s="1" t="n">
        <v>45212</v>
      </c>
      <c r="D4254" t="inlineStr">
        <is>
          <t>VÄSTERNORRLANDS LÄN</t>
        </is>
      </c>
      <c r="E4254" t="inlineStr">
        <is>
          <t>ÅNGE</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56596-2021</t>
        </is>
      </c>
      <c r="B4255" s="1" t="n">
        <v>44480</v>
      </c>
      <c r="C4255" s="1" t="n">
        <v>45212</v>
      </c>
      <c r="D4255" t="inlineStr">
        <is>
          <t>VÄSTERNORRLANDS LÄN</t>
        </is>
      </c>
      <c r="E4255" t="inlineStr">
        <is>
          <t>ÖRNSKÖLDSVIK</t>
        </is>
      </c>
      <c r="F4255" t="inlineStr">
        <is>
          <t>Holmen skog AB</t>
        </is>
      </c>
      <c r="G4255" t="n">
        <v>5.7</v>
      </c>
      <c r="H4255" t="n">
        <v>0</v>
      </c>
      <c r="I4255" t="n">
        <v>0</v>
      </c>
      <c r="J4255" t="n">
        <v>0</v>
      </c>
      <c r="K4255" t="n">
        <v>0</v>
      </c>
      <c r="L4255" t="n">
        <v>0</v>
      </c>
      <c r="M4255" t="n">
        <v>0</v>
      </c>
      <c r="N4255" t="n">
        <v>0</v>
      </c>
      <c r="O4255" t="n">
        <v>0</v>
      </c>
      <c r="P4255" t="n">
        <v>0</v>
      </c>
      <c r="Q4255" t="n">
        <v>0</v>
      </c>
      <c r="R4255" s="2" t="inlineStr"/>
    </row>
    <row r="4256" ht="15" customHeight="1">
      <c r="A4256" t="inlineStr">
        <is>
          <t>A 56334-2021</t>
        </is>
      </c>
      <c r="B4256" s="1" t="n">
        <v>44480</v>
      </c>
      <c r="C4256" s="1" t="n">
        <v>45212</v>
      </c>
      <c r="D4256" t="inlineStr">
        <is>
          <t>VÄSTERNORRLANDS LÄN</t>
        </is>
      </c>
      <c r="E4256" t="inlineStr">
        <is>
          <t>ÖRNSKÖLDSVIK</t>
        </is>
      </c>
      <c r="F4256" t="inlineStr">
        <is>
          <t>Holmen skog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56755-2021</t>
        </is>
      </c>
      <c r="B4257" s="1" t="n">
        <v>44481</v>
      </c>
      <c r="C4257" s="1" t="n">
        <v>45212</v>
      </c>
      <c r="D4257" t="inlineStr">
        <is>
          <t>VÄSTERNORRLANDS LÄN</t>
        </is>
      </c>
      <c r="E4257" t="inlineStr">
        <is>
          <t>SUNDSVALL</t>
        </is>
      </c>
      <c r="F4257" t="inlineStr">
        <is>
          <t>Kommuner</t>
        </is>
      </c>
      <c r="G4257" t="n">
        <v>3.7</v>
      </c>
      <c r="H4257" t="n">
        <v>0</v>
      </c>
      <c r="I4257" t="n">
        <v>0</v>
      </c>
      <c r="J4257" t="n">
        <v>0</v>
      </c>
      <c r="K4257" t="n">
        <v>0</v>
      </c>
      <c r="L4257" t="n">
        <v>0</v>
      </c>
      <c r="M4257" t="n">
        <v>0</v>
      </c>
      <c r="N4257" t="n">
        <v>0</v>
      </c>
      <c r="O4257" t="n">
        <v>0</v>
      </c>
      <c r="P4257" t="n">
        <v>0</v>
      </c>
      <c r="Q4257" t="n">
        <v>0</v>
      </c>
      <c r="R4257" s="2" t="inlineStr"/>
    </row>
    <row r="4258" ht="15" customHeight="1">
      <c r="A4258" t="inlineStr">
        <is>
          <t>A 56892-2021</t>
        </is>
      </c>
      <c r="B4258" s="1" t="n">
        <v>44481</v>
      </c>
      <c r="C4258" s="1" t="n">
        <v>45212</v>
      </c>
      <c r="D4258" t="inlineStr">
        <is>
          <t>VÄSTERNORRLANDS LÄN</t>
        </is>
      </c>
      <c r="E4258" t="inlineStr">
        <is>
          <t>SUNDSVALL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56741-2021</t>
        </is>
      </c>
      <c r="B4259" s="1" t="n">
        <v>44481</v>
      </c>
      <c r="C4259" s="1" t="n">
        <v>45212</v>
      </c>
      <c r="D4259" t="inlineStr">
        <is>
          <t>VÄSTERNORRLANDS LÄN</t>
        </is>
      </c>
      <c r="E4259" t="inlineStr">
        <is>
          <t>ÖRNSKÖLDSVIK</t>
        </is>
      </c>
      <c r="F4259" t="inlineStr">
        <is>
          <t>Holmen skog AB</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56894-2021</t>
        </is>
      </c>
      <c r="B4260" s="1" t="n">
        <v>44481</v>
      </c>
      <c r="C4260" s="1" t="n">
        <v>45212</v>
      </c>
      <c r="D4260" t="inlineStr">
        <is>
          <t>VÄSTERNORRLANDS LÄN</t>
        </is>
      </c>
      <c r="E4260" t="inlineStr">
        <is>
          <t>SUNDSVALL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57162-2021</t>
        </is>
      </c>
      <c r="B4261" s="1" t="n">
        <v>44482</v>
      </c>
      <c r="C4261" s="1" t="n">
        <v>45212</v>
      </c>
      <c r="D4261" t="inlineStr">
        <is>
          <t>VÄSTERNORRLANDS LÄN</t>
        </is>
      </c>
      <c r="E4261" t="inlineStr">
        <is>
          <t>ÅNGE</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57202-2021</t>
        </is>
      </c>
      <c r="B4262" s="1" t="n">
        <v>44482</v>
      </c>
      <c r="C4262" s="1" t="n">
        <v>45212</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57082-2021</t>
        </is>
      </c>
      <c r="B4263" s="1" t="n">
        <v>44482</v>
      </c>
      <c r="C4263" s="1" t="n">
        <v>45212</v>
      </c>
      <c r="D4263" t="inlineStr">
        <is>
          <t>VÄSTERNORRLANDS LÄN</t>
        </is>
      </c>
      <c r="E4263" t="inlineStr">
        <is>
          <t>SUNDSVALL</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57203-2021</t>
        </is>
      </c>
      <c r="B4264" s="1" t="n">
        <v>44482</v>
      </c>
      <c r="C4264" s="1" t="n">
        <v>45212</v>
      </c>
      <c r="D4264" t="inlineStr">
        <is>
          <t>VÄSTERNORRLANDS LÄN</t>
        </is>
      </c>
      <c r="E4264" t="inlineStr">
        <is>
          <t>KRAMFORS</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57234-2021</t>
        </is>
      </c>
      <c r="B4265" s="1" t="n">
        <v>44482</v>
      </c>
      <c r="C4265" s="1" t="n">
        <v>45212</v>
      </c>
      <c r="D4265" t="inlineStr">
        <is>
          <t>VÄSTERNORRLANDS LÄN</t>
        </is>
      </c>
      <c r="E4265" t="inlineStr">
        <is>
          <t>SUNDSVALL</t>
        </is>
      </c>
      <c r="G4265" t="n">
        <v>3</v>
      </c>
      <c r="H4265" t="n">
        <v>0</v>
      </c>
      <c r="I4265" t="n">
        <v>0</v>
      </c>
      <c r="J4265" t="n">
        <v>0</v>
      </c>
      <c r="K4265" t="n">
        <v>0</v>
      </c>
      <c r="L4265" t="n">
        <v>0</v>
      </c>
      <c r="M4265" t="n">
        <v>0</v>
      </c>
      <c r="N4265" t="n">
        <v>0</v>
      </c>
      <c r="O4265" t="n">
        <v>0</v>
      </c>
      <c r="P4265" t="n">
        <v>0</v>
      </c>
      <c r="Q4265" t="n">
        <v>0</v>
      </c>
      <c r="R4265" s="2" t="inlineStr"/>
    </row>
    <row r="4266" ht="15" customHeight="1">
      <c r="A4266" t="inlineStr">
        <is>
          <t>A 57007-2021</t>
        </is>
      </c>
      <c r="B4266" s="1" t="n">
        <v>44482</v>
      </c>
      <c r="C4266" s="1" t="n">
        <v>45212</v>
      </c>
      <c r="D4266" t="inlineStr">
        <is>
          <t>VÄSTERNORRLANDS LÄN</t>
        </is>
      </c>
      <c r="E4266" t="inlineStr">
        <is>
          <t>SOLLEFTEÅ</t>
        </is>
      </c>
      <c r="G4266" t="n">
        <v>7.4</v>
      </c>
      <c r="H4266" t="n">
        <v>0</v>
      </c>
      <c r="I4266" t="n">
        <v>0</v>
      </c>
      <c r="J4266" t="n">
        <v>0</v>
      </c>
      <c r="K4266" t="n">
        <v>0</v>
      </c>
      <c r="L4266" t="n">
        <v>0</v>
      </c>
      <c r="M4266" t="n">
        <v>0</v>
      </c>
      <c r="N4266" t="n">
        <v>0</v>
      </c>
      <c r="O4266" t="n">
        <v>0</v>
      </c>
      <c r="P4266" t="n">
        <v>0</v>
      </c>
      <c r="Q4266" t="n">
        <v>0</v>
      </c>
      <c r="R4266" s="2" t="inlineStr"/>
    </row>
    <row r="4267" ht="15" customHeight="1">
      <c r="A4267" t="inlineStr">
        <is>
          <t>A 57204-2021</t>
        </is>
      </c>
      <c r="B4267" s="1" t="n">
        <v>44482</v>
      </c>
      <c r="C4267" s="1" t="n">
        <v>45212</v>
      </c>
      <c r="D4267" t="inlineStr">
        <is>
          <t>VÄSTERNORRLANDS LÄN</t>
        </is>
      </c>
      <c r="E4267" t="inlineStr">
        <is>
          <t>KRAMFORS</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57143-2021</t>
        </is>
      </c>
      <c r="B4268" s="1" t="n">
        <v>44482</v>
      </c>
      <c r="C4268" s="1" t="n">
        <v>45212</v>
      </c>
      <c r="D4268" t="inlineStr">
        <is>
          <t>VÄSTERNORRLANDS LÄN</t>
        </is>
      </c>
      <c r="E4268" t="inlineStr">
        <is>
          <t>ÖRNSKÖLDSVIK</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57213-2021</t>
        </is>
      </c>
      <c r="B4269" s="1" t="n">
        <v>44482</v>
      </c>
      <c r="C4269" s="1" t="n">
        <v>45212</v>
      </c>
      <c r="D4269" t="inlineStr">
        <is>
          <t>VÄSTERNORRLANDS LÄN</t>
        </is>
      </c>
      <c r="E4269" t="inlineStr">
        <is>
          <t>KRAMFORS</t>
        </is>
      </c>
      <c r="F4269" t="inlineStr">
        <is>
          <t>SCA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57552-2021</t>
        </is>
      </c>
      <c r="B4270" s="1" t="n">
        <v>44483</v>
      </c>
      <c r="C4270" s="1" t="n">
        <v>45212</v>
      </c>
      <c r="D4270" t="inlineStr">
        <is>
          <t>VÄSTERNORRLANDS LÄN</t>
        </is>
      </c>
      <c r="E4270" t="inlineStr">
        <is>
          <t>SOLLEFTEÅ</t>
        </is>
      </c>
      <c r="F4270" t="inlineStr">
        <is>
          <t>SCA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57543-2021</t>
        </is>
      </c>
      <c r="B4271" s="1" t="n">
        <v>44483</v>
      </c>
      <c r="C4271" s="1" t="n">
        <v>45212</v>
      </c>
      <c r="D4271" t="inlineStr">
        <is>
          <t>VÄSTERNORRLANDS LÄN</t>
        </is>
      </c>
      <c r="E4271" t="inlineStr">
        <is>
          <t>SUNDSVALL</t>
        </is>
      </c>
      <c r="F4271" t="inlineStr">
        <is>
          <t>SCA</t>
        </is>
      </c>
      <c r="G4271" t="n">
        <v>8</v>
      </c>
      <c r="H4271" t="n">
        <v>0</v>
      </c>
      <c r="I4271" t="n">
        <v>0</v>
      </c>
      <c r="J4271" t="n">
        <v>0</v>
      </c>
      <c r="K4271" t="n">
        <v>0</v>
      </c>
      <c r="L4271" t="n">
        <v>0</v>
      </c>
      <c r="M4271" t="n">
        <v>0</v>
      </c>
      <c r="N4271" t="n">
        <v>0</v>
      </c>
      <c r="O4271" t="n">
        <v>0</v>
      </c>
      <c r="P4271" t="n">
        <v>0</v>
      </c>
      <c r="Q4271" t="n">
        <v>0</v>
      </c>
      <c r="R4271" s="2" t="inlineStr"/>
    </row>
    <row r="4272" ht="15" customHeight="1">
      <c r="A4272" t="inlineStr">
        <is>
          <t>A 57342-2021</t>
        </is>
      </c>
      <c r="B4272" s="1" t="n">
        <v>44483</v>
      </c>
      <c r="C4272" s="1" t="n">
        <v>45212</v>
      </c>
      <c r="D4272" t="inlineStr">
        <is>
          <t>VÄSTERNORRLANDS LÄN</t>
        </is>
      </c>
      <c r="E4272" t="inlineStr">
        <is>
          <t>ÖRNSKÖLDSVIK</t>
        </is>
      </c>
      <c r="F4272" t="inlineStr">
        <is>
          <t>Holmen skog AB</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57438-2021</t>
        </is>
      </c>
      <c r="B4273" s="1" t="n">
        <v>44483</v>
      </c>
      <c r="C4273" s="1" t="n">
        <v>45212</v>
      </c>
      <c r="D4273" t="inlineStr">
        <is>
          <t>VÄSTERNORRLANDS LÄN</t>
        </is>
      </c>
      <c r="E4273" t="inlineStr">
        <is>
          <t>ÖRNSKÖLDSVIK</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57418-2021</t>
        </is>
      </c>
      <c r="B4274" s="1" t="n">
        <v>44483</v>
      </c>
      <c r="C4274" s="1" t="n">
        <v>45212</v>
      </c>
      <c r="D4274" t="inlineStr">
        <is>
          <t>VÄSTERNORRLANDS LÄN</t>
        </is>
      </c>
      <c r="E4274" t="inlineStr">
        <is>
          <t>ÅNGE</t>
        </is>
      </c>
      <c r="G4274" t="n">
        <v>4.4</v>
      </c>
      <c r="H4274" t="n">
        <v>0</v>
      </c>
      <c r="I4274" t="n">
        <v>0</v>
      </c>
      <c r="J4274" t="n">
        <v>0</v>
      </c>
      <c r="K4274" t="n">
        <v>0</v>
      </c>
      <c r="L4274" t="n">
        <v>0</v>
      </c>
      <c r="M4274" t="n">
        <v>0</v>
      </c>
      <c r="N4274" t="n">
        <v>0</v>
      </c>
      <c r="O4274" t="n">
        <v>0</v>
      </c>
      <c r="P4274" t="n">
        <v>0</v>
      </c>
      <c r="Q4274" t="n">
        <v>0</v>
      </c>
      <c r="R4274" s="2" t="inlineStr"/>
    </row>
    <row r="4275" ht="15" customHeight="1">
      <c r="A4275" t="inlineStr">
        <is>
          <t>A 57735-2021</t>
        </is>
      </c>
      <c r="B4275" s="1" t="n">
        <v>44484</v>
      </c>
      <c r="C4275" s="1" t="n">
        <v>45212</v>
      </c>
      <c r="D4275" t="inlineStr">
        <is>
          <t>VÄSTERNORRLANDS LÄN</t>
        </is>
      </c>
      <c r="E4275" t="inlineStr">
        <is>
          <t>KRAMFORS</t>
        </is>
      </c>
      <c r="G4275" t="n">
        <v>5.2</v>
      </c>
      <c r="H4275" t="n">
        <v>0</v>
      </c>
      <c r="I4275" t="n">
        <v>0</v>
      </c>
      <c r="J4275" t="n">
        <v>0</v>
      </c>
      <c r="K4275" t="n">
        <v>0</v>
      </c>
      <c r="L4275" t="n">
        <v>0</v>
      </c>
      <c r="M4275" t="n">
        <v>0</v>
      </c>
      <c r="N4275" t="n">
        <v>0</v>
      </c>
      <c r="O4275" t="n">
        <v>0</v>
      </c>
      <c r="P4275" t="n">
        <v>0</v>
      </c>
      <c r="Q4275" t="n">
        <v>0</v>
      </c>
      <c r="R4275" s="2" t="inlineStr"/>
    </row>
    <row r="4276" ht="15" customHeight="1">
      <c r="A4276" t="inlineStr">
        <is>
          <t>A 57742-2021</t>
        </is>
      </c>
      <c r="B4276" s="1" t="n">
        <v>44484</v>
      </c>
      <c r="C4276" s="1" t="n">
        <v>45212</v>
      </c>
      <c r="D4276" t="inlineStr">
        <is>
          <t>VÄSTERNORRLANDS LÄN</t>
        </is>
      </c>
      <c r="E4276" t="inlineStr">
        <is>
          <t>KRAMFORS</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57739-2021</t>
        </is>
      </c>
      <c r="B4277" s="1" t="n">
        <v>44484</v>
      </c>
      <c r="C4277" s="1" t="n">
        <v>45212</v>
      </c>
      <c r="D4277" t="inlineStr">
        <is>
          <t>VÄSTERNORRLANDS LÄN</t>
        </is>
      </c>
      <c r="E4277" t="inlineStr">
        <is>
          <t>KRAMFORS</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57737-2021</t>
        </is>
      </c>
      <c r="B4278" s="1" t="n">
        <v>44484</v>
      </c>
      <c r="C4278" s="1" t="n">
        <v>45212</v>
      </c>
      <c r="D4278" t="inlineStr">
        <is>
          <t>VÄSTERNORRLANDS LÄN</t>
        </is>
      </c>
      <c r="E4278" t="inlineStr">
        <is>
          <t>KRAMFORS</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58032-2021</t>
        </is>
      </c>
      <c r="B4279" s="1" t="n">
        <v>44487</v>
      </c>
      <c r="C4279" s="1" t="n">
        <v>45212</v>
      </c>
      <c r="D4279" t="inlineStr">
        <is>
          <t>VÄSTERNORRLANDS LÄN</t>
        </is>
      </c>
      <c r="E4279" t="inlineStr">
        <is>
          <t>SUNDSVALL</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58149-2021</t>
        </is>
      </c>
      <c r="B4280" s="1" t="n">
        <v>44487</v>
      </c>
      <c r="C4280" s="1" t="n">
        <v>45212</v>
      </c>
      <c r="D4280" t="inlineStr">
        <is>
          <t>VÄSTERNORRLANDS LÄN</t>
        </is>
      </c>
      <c r="E4280" t="inlineStr">
        <is>
          <t>HÄRNÖSAND</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58179-2021</t>
        </is>
      </c>
      <c r="B4281" s="1" t="n">
        <v>44487</v>
      </c>
      <c r="C4281" s="1" t="n">
        <v>45212</v>
      </c>
      <c r="D4281" t="inlineStr">
        <is>
          <t>VÄSTERNORRLANDS LÄN</t>
        </is>
      </c>
      <c r="E4281" t="inlineStr">
        <is>
          <t>SOLLEFTEÅ</t>
        </is>
      </c>
      <c r="G4281" t="n">
        <v>8.300000000000001</v>
      </c>
      <c r="H4281" t="n">
        <v>0</v>
      </c>
      <c r="I4281" t="n">
        <v>0</v>
      </c>
      <c r="J4281" t="n">
        <v>0</v>
      </c>
      <c r="K4281" t="n">
        <v>0</v>
      </c>
      <c r="L4281" t="n">
        <v>0</v>
      </c>
      <c r="M4281" t="n">
        <v>0</v>
      </c>
      <c r="N4281" t="n">
        <v>0</v>
      </c>
      <c r="O4281" t="n">
        <v>0</v>
      </c>
      <c r="P4281" t="n">
        <v>0</v>
      </c>
      <c r="Q4281" t="n">
        <v>0</v>
      </c>
      <c r="R4281" s="2" t="inlineStr"/>
    </row>
    <row r="4282" ht="15" customHeight="1">
      <c r="A4282" t="inlineStr">
        <is>
          <t>A 58037-2021</t>
        </is>
      </c>
      <c r="B4282" s="1" t="n">
        <v>44487</v>
      </c>
      <c r="C4282" s="1" t="n">
        <v>45212</v>
      </c>
      <c r="D4282" t="inlineStr">
        <is>
          <t>VÄSTERNORRLANDS LÄN</t>
        </is>
      </c>
      <c r="E4282" t="inlineStr">
        <is>
          <t>SUNDSVALL</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58268-2021</t>
        </is>
      </c>
      <c r="B4283" s="1" t="n">
        <v>44487</v>
      </c>
      <c r="C4283" s="1" t="n">
        <v>45212</v>
      </c>
      <c r="D4283" t="inlineStr">
        <is>
          <t>VÄSTERNORRLANDS LÄN</t>
        </is>
      </c>
      <c r="E4283" t="inlineStr">
        <is>
          <t>SOLLEFTEÅ</t>
        </is>
      </c>
      <c r="F4283" t="inlineStr">
        <is>
          <t>SCA</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58170-2021</t>
        </is>
      </c>
      <c r="B4284" s="1" t="n">
        <v>44487</v>
      </c>
      <c r="C4284" s="1" t="n">
        <v>45212</v>
      </c>
      <c r="D4284" t="inlineStr">
        <is>
          <t>VÄSTERNORRLANDS LÄN</t>
        </is>
      </c>
      <c r="E4284" t="inlineStr">
        <is>
          <t>ÖRNSKÖLDSVIK</t>
        </is>
      </c>
      <c r="G4284" t="n">
        <v>6.3</v>
      </c>
      <c r="H4284" t="n">
        <v>0</v>
      </c>
      <c r="I4284" t="n">
        <v>0</v>
      </c>
      <c r="J4284" t="n">
        <v>0</v>
      </c>
      <c r="K4284" t="n">
        <v>0</v>
      </c>
      <c r="L4284" t="n">
        <v>0</v>
      </c>
      <c r="M4284" t="n">
        <v>0</v>
      </c>
      <c r="N4284" t="n">
        <v>0</v>
      </c>
      <c r="O4284" t="n">
        <v>0</v>
      </c>
      <c r="P4284" t="n">
        <v>0</v>
      </c>
      <c r="Q4284" t="n">
        <v>0</v>
      </c>
      <c r="R4284" s="2" t="inlineStr"/>
    </row>
    <row r="4285" ht="15" customHeight="1">
      <c r="A4285" t="inlineStr">
        <is>
          <t>A 58572-2021</t>
        </is>
      </c>
      <c r="B4285" s="1" t="n">
        <v>44488</v>
      </c>
      <c r="C4285" s="1" t="n">
        <v>45212</v>
      </c>
      <c r="D4285" t="inlineStr">
        <is>
          <t>VÄSTERNORRLANDS LÄN</t>
        </is>
      </c>
      <c r="E4285" t="inlineStr">
        <is>
          <t>SOLLEFTEÅ</t>
        </is>
      </c>
      <c r="G4285" t="n">
        <v>0.1</v>
      </c>
      <c r="H4285" t="n">
        <v>0</v>
      </c>
      <c r="I4285" t="n">
        <v>0</v>
      </c>
      <c r="J4285" t="n">
        <v>0</v>
      </c>
      <c r="K4285" t="n">
        <v>0</v>
      </c>
      <c r="L4285" t="n">
        <v>0</v>
      </c>
      <c r="M4285" t="n">
        <v>0</v>
      </c>
      <c r="N4285" t="n">
        <v>0</v>
      </c>
      <c r="O4285" t="n">
        <v>0</v>
      </c>
      <c r="P4285" t="n">
        <v>0</v>
      </c>
      <c r="Q4285" t="n">
        <v>0</v>
      </c>
      <c r="R4285" s="2" t="inlineStr"/>
    </row>
    <row r="4286" ht="15" customHeight="1">
      <c r="A4286" t="inlineStr">
        <is>
          <t>A 58442-2021</t>
        </is>
      </c>
      <c r="B4286" s="1" t="n">
        <v>44488</v>
      </c>
      <c r="C4286" s="1" t="n">
        <v>45212</v>
      </c>
      <c r="D4286" t="inlineStr">
        <is>
          <t>VÄSTERNORRLANDS LÄN</t>
        </is>
      </c>
      <c r="E4286" t="inlineStr">
        <is>
          <t>ÖRNSKÖLDSVIK</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58475-2021</t>
        </is>
      </c>
      <c r="B4287" s="1" t="n">
        <v>44488</v>
      </c>
      <c r="C4287" s="1" t="n">
        <v>45212</v>
      </c>
      <c r="D4287" t="inlineStr">
        <is>
          <t>VÄSTERNORRLANDS LÄN</t>
        </is>
      </c>
      <c r="E4287" t="inlineStr">
        <is>
          <t>ÖRNSKÖLDSVIK</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58486-2021</t>
        </is>
      </c>
      <c r="B4288" s="1" t="n">
        <v>44488</v>
      </c>
      <c r="C4288" s="1" t="n">
        <v>45212</v>
      </c>
      <c r="D4288" t="inlineStr">
        <is>
          <t>VÄSTERNORRLANDS LÄN</t>
        </is>
      </c>
      <c r="E4288" t="inlineStr">
        <is>
          <t>SOLLEFTEÅ</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58571-2021</t>
        </is>
      </c>
      <c r="B4289" s="1" t="n">
        <v>44488</v>
      </c>
      <c r="C4289" s="1" t="n">
        <v>45212</v>
      </c>
      <c r="D4289" t="inlineStr">
        <is>
          <t>VÄSTERNORRLANDS LÄN</t>
        </is>
      </c>
      <c r="E4289" t="inlineStr">
        <is>
          <t>SOLLEFTEÅ</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58461-2021</t>
        </is>
      </c>
      <c r="B4290" s="1" t="n">
        <v>44488</v>
      </c>
      <c r="C4290" s="1" t="n">
        <v>45212</v>
      </c>
      <c r="D4290" t="inlineStr">
        <is>
          <t>VÄSTERNORRLANDS LÄN</t>
        </is>
      </c>
      <c r="E4290" t="inlineStr">
        <is>
          <t>ÖRNSKÖLDSVIK</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58478-2021</t>
        </is>
      </c>
      <c r="B4291" s="1" t="n">
        <v>44488</v>
      </c>
      <c r="C4291" s="1" t="n">
        <v>45212</v>
      </c>
      <c r="D4291" t="inlineStr">
        <is>
          <t>VÄSTERNORRLANDS LÄN</t>
        </is>
      </c>
      <c r="E4291" t="inlineStr">
        <is>
          <t>SOLLEFTEÅ</t>
        </is>
      </c>
      <c r="G4291" t="n">
        <v>9.5</v>
      </c>
      <c r="H4291" t="n">
        <v>0</v>
      </c>
      <c r="I4291" t="n">
        <v>0</v>
      </c>
      <c r="J4291" t="n">
        <v>0</v>
      </c>
      <c r="K4291" t="n">
        <v>0</v>
      </c>
      <c r="L4291" t="n">
        <v>0</v>
      </c>
      <c r="M4291" t="n">
        <v>0</v>
      </c>
      <c r="N4291" t="n">
        <v>0</v>
      </c>
      <c r="O4291" t="n">
        <v>0</v>
      </c>
      <c r="P4291" t="n">
        <v>0</v>
      </c>
      <c r="Q4291" t="n">
        <v>0</v>
      </c>
      <c r="R4291" s="2" t="inlineStr"/>
    </row>
    <row r="4292" ht="15" customHeight="1">
      <c r="A4292" t="inlineStr">
        <is>
          <t>A 58573-2021</t>
        </is>
      </c>
      <c r="B4292" s="1" t="n">
        <v>44488</v>
      </c>
      <c r="C4292" s="1" t="n">
        <v>45212</v>
      </c>
      <c r="D4292" t="inlineStr">
        <is>
          <t>VÄSTERNORRLANDS LÄN</t>
        </is>
      </c>
      <c r="E4292" t="inlineStr">
        <is>
          <t>SOLLEFTEÅ</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58688-2021</t>
        </is>
      </c>
      <c r="B4293" s="1" t="n">
        <v>44489</v>
      </c>
      <c r="C4293" s="1" t="n">
        <v>45212</v>
      </c>
      <c r="D4293" t="inlineStr">
        <is>
          <t>VÄSTERNORRLANDS LÄN</t>
        </is>
      </c>
      <c r="E4293" t="inlineStr">
        <is>
          <t>SOLLEFTEÅ</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58715-2021</t>
        </is>
      </c>
      <c r="B4294" s="1" t="n">
        <v>44489</v>
      </c>
      <c r="C4294" s="1" t="n">
        <v>45212</v>
      </c>
      <c r="D4294" t="inlineStr">
        <is>
          <t>VÄSTERNORRLANDS LÄN</t>
        </is>
      </c>
      <c r="E4294" t="inlineStr">
        <is>
          <t>SOLLEFTEÅ</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58726-2021</t>
        </is>
      </c>
      <c r="B4295" s="1" t="n">
        <v>44489</v>
      </c>
      <c r="C4295" s="1" t="n">
        <v>45212</v>
      </c>
      <c r="D4295" t="inlineStr">
        <is>
          <t>VÄSTERNORRLANDS LÄN</t>
        </is>
      </c>
      <c r="E4295" t="inlineStr">
        <is>
          <t>SOLLEFTEÅ</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58939-2021</t>
        </is>
      </c>
      <c r="B4296" s="1" t="n">
        <v>44489</v>
      </c>
      <c r="C4296" s="1" t="n">
        <v>45212</v>
      </c>
      <c r="D4296" t="inlineStr">
        <is>
          <t>VÄSTERNORRLANDS LÄN</t>
        </is>
      </c>
      <c r="E4296" t="inlineStr">
        <is>
          <t>ÅNGE</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58742-2021</t>
        </is>
      </c>
      <c r="B4297" s="1" t="n">
        <v>44489</v>
      </c>
      <c r="C4297" s="1" t="n">
        <v>45212</v>
      </c>
      <c r="D4297" t="inlineStr">
        <is>
          <t>VÄSTERNORRLANDS LÄN</t>
        </is>
      </c>
      <c r="E4297" t="inlineStr">
        <is>
          <t>SOLLEFTEÅ</t>
        </is>
      </c>
      <c r="G4297" t="n">
        <v>7</v>
      </c>
      <c r="H4297" t="n">
        <v>0</v>
      </c>
      <c r="I4297" t="n">
        <v>0</v>
      </c>
      <c r="J4297" t="n">
        <v>0</v>
      </c>
      <c r="K4297" t="n">
        <v>0</v>
      </c>
      <c r="L4297" t="n">
        <v>0</v>
      </c>
      <c r="M4297" t="n">
        <v>0</v>
      </c>
      <c r="N4297" t="n">
        <v>0</v>
      </c>
      <c r="O4297" t="n">
        <v>0</v>
      </c>
      <c r="P4297" t="n">
        <v>0</v>
      </c>
      <c r="Q4297" t="n">
        <v>0</v>
      </c>
      <c r="R4297" s="2" t="inlineStr"/>
    </row>
    <row r="4298" ht="15" customHeight="1">
      <c r="A4298" t="inlineStr">
        <is>
          <t>A 58755-2021</t>
        </is>
      </c>
      <c r="B4298" s="1" t="n">
        <v>44489</v>
      </c>
      <c r="C4298" s="1" t="n">
        <v>45212</v>
      </c>
      <c r="D4298" t="inlineStr">
        <is>
          <t>VÄSTERNORRLANDS LÄN</t>
        </is>
      </c>
      <c r="E4298" t="inlineStr">
        <is>
          <t>SOLLEFTEÅ</t>
        </is>
      </c>
      <c r="G4298" t="n">
        <v>12.2</v>
      </c>
      <c r="H4298" t="n">
        <v>0</v>
      </c>
      <c r="I4298" t="n">
        <v>0</v>
      </c>
      <c r="J4298" t="n">
        <v>0</v>
      </c>
      <c r="K4298" t="n">
        <v>0</v>
      </c>
      <c r="L4298" t="n">
        <v>0</v>
      </c>
      <c r="M4298" t="n">
        <v>0</v>
      </c>
      <c r="N4298" t="n">
        <v>0</v>
      </c>
      <c r="O4298" t="n">
        <v>0</v>
      </c>
      <c r="P4298" t="n">
        <v>0</v>
      </c>
      <c r="Q4298" t="n">
        <v>0</v>
      </c>
      <c r="R4298" s="2" t="inlineStr"/>
    </row>
    <row r="4299" ht="15" customHeight="1">
      <c r="A4299" t="inlineStr">
        <is>
          <t>A 59146-2021</t>
        </is>
      </c>
      <c r="B4299" s="1" t="n">
        <v>44490</v>
      </c>
      <c r="C4299" s="1" t="n">
        <v>45212</v>
      </c>
      <c r="D4299" t="inlineStr">
        <is>
          <t>VÄSTERNORRLANDS LÄN</t>
        </is>
      </c>
      <c r="E4299" t="inlineStr">
        <is>
          <t>SUNDSVALL</t>
        </is>
      </c>
      <c r="G4299" t="n">
        <v>4</v>
      </c>
      <c r="H4299" t="n">
        <v>0</v>
      </c>
      <c r="I4299" t="n">
        <v>0</v>
      </c>
      <c r="J4299" t="n">
        <v>0</v>
      </c>
      <c r="K4299" t="n">
        <v>0</v>
      </c>
      <c r="L4299" t="n">
        <v>0</v>
      </c>
      <c r="M4299" t="n">
        <v>0</v>
      </c>
      <c r="N4299" t="n">
        <v>0</v>
      </c>
      <c r="O4299" t="n">
        <v>0</v>
      </c>
      <c r="P4299" t="n">
        <v>0</v>
      </c>
      <c r="Q4299" t="n">
        <v>0</v>
      </c>
      <c r="R4299" s="2" t="inlineStr"/>
    </row>
    <row r="4300" ht="15" customHeight="1">
      <c r="A4300" t="inlineStr">
        <is>
          <t>A 59343-2021</t>
        </is>
      </c>
      <c r="B4300" s="1" t="n">
        <v>44490</v>
      </c>
      <c r="C4300" s="1" t="n">
        <v>45212</v>
      </c>
      <c r="D4300" t="inlineStr">
        <is>
          <t>VÄSTERNORRLANDS LÄN</t>
        </is>
      </c>
      <c r="E4300" t="inlineStr">
        <is>
          <t>SOLLEFTEÅ</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59127-2021</t>
        </is>
      </c>
      <c r="B4301" s="1" t="n">
        <v>44490</v>
      </c>
      <c r="C4301" s="1" t="n">
        <v>45212</v>
      </c>
      <c r="D4301" t="inlineStr">
        <is>
          <t>VÄSTERNORRLANDS LÄN</t>
        </is>
      </c>
      <c r="E4301" t="inlineStr">
        <is>
          <t>SUNDSVALL</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59194-2021</t>
        </is>
      </c>
      <c r="B4302" s="1" t="n">
        <v>44490</v>
      </c>
      <c r="C4302" s="1" t="n">
        <v>45212</v>
      </c>
      <c r="D4302" t="inlineStr">
        <is>
          <t>VÄSTERNORRLANDS LÄN</t>
        </is>
      </c>
      <c r="E4302" t="inlineStr">
        <is>
          <t>ÖRNSKÖLDSVIK</t>
        </is>
      </c>
      <c r="F4302" t="inlineStr">
        <is>
          <t>Holmen skog AB</t>
        </is>
      </c>
      <c r="G4302" t="n">
        <v>4.3</v>
      </c>
      <c r="H4302" t="n">
        <v>0</v>
      </c>
      <c r="I4302" t="n">
        <v>0</v>
      </c>
      <c r="J4302" t="n">
        <v>0</v>
      </c>
      <c r="K4302" t="n">
        <v>0</v>
      </c>
      <c r="L4302" t="n">
        <v>0</v>
      </c>
      <c r="M4302" t="n">
        <v>0</v>
      </c>
      <c r="N4302" t="n">
        <v>0</v>
      </c>
      <c r="O4302" t="n">
        <v>0</v>
      </c>
      <c r="P4302" t="n">
        <v>0</v>
      </c>
      <c r="Q4302" t="n">
        <v>0</v>
      </c>
      <c r="R4302" s="2" t="inlineStr"/>
    </row>
    <row r="4303" ht="15" customHeight="1">
      <c r="A4303" t="inlineStr">
        <is>
          <t>A 59344-2021</t>
        </is>
      </c>
      <c r="B4303" s="1" t="n">
        <v>44490</v>
      </c>
      <c r="C4303" s="1" t="n">
        <v>45212</v>
      </c>
      <c r="D4303" t="inlineStr">
        <is>
          <t>VÄSTERNORRLANDS LÄN</t>
        </is>
      </c>
      <c r="E4303" t="inlineStr">
        <is>
          <t>SOLLEFTEÅ</t>
        </is>
      </c>
      <c r="G4303" t="n">
        <v>6.9</v>
      </c>
      <c r="H4303" t="n">
        <v>0</v>
      </c>
      <c r="I4303" t="n">
        <v>0</v>
      </c>
      <c r="J4303" t="n">
        <v>0</v>
      </c>
      <c r="K4303" t="n">
        <v>0</v>
      </c>
      <c r="L4303" t="n">
        <v>0</v>
      </c>
      <c r="M4303" t="n">
        <v>0</v>
      </c>
      <c r="N4303" t="n">
        <v>0</v>
      </c>
      <c r="O4303" t="n">
        <v>0</v>
      </c>
      <c r="P4303" t="n">
        <v>0</v>
      </c>
      <c r="Q4303" t="n">
        <v>0</v>
      </c>
      <c r="R4303" s="2" t="inlineStr"/>
    </row>
    <row r="4304" ht="15" customHeight="1">
      <c r="A4304" t="inlineStr">
        <is>
          <t>A 59227-2021</t>
        </is>
      </c>
      <c r="B4304" s="1" t="n">
        <v>44490</v>
      </c>
      <c r="C4304" s="1" t="n">
        <v>45212</v>
      </c>
      <c r="D4304" t="inlineStr">
        <is>
          <t>VÄSTERNORRLANDS LÄN</t>
        </is>
      </c>
      <c r="E4304" t="inlineStr">
        <is>
          <t>ÖRNSKÖLDSVIK</t>
        </is>
      </c>
      <c r="G4304" t="n">
        <v>5.1</v>
      </c>
      <c r="H4304" t="n">
        <v>0</v>
      </c>
      <c r="I4304" t="n">
        <v>0</v>
      </c>
      <c r="J4304" t="n">
        <v>0</v>
      </c>
      <c r="K4304" t="n">
        <v>0</v>
      </c>
      <c r="L4304" t="n">
        <v>0</v>
      </c>
      <c r="M4304" t="n">
        <v>0</v>
      </c>
      <c r="N4304" t="n">
        <v>0</v>
      </c>
      <c r="O4304" t="n">
        <v>0</v>
      </c>
      <c r="P4304" t="n">
        <v>0</v>
      </c>
      <c r="Q4304" t="n">
        <v>0</v>
      </c>
      <c r="R4304" s="2" t="inlineStr"/>
    </row>
    <row r="4305" ht="15" customHeight="1">
      <c r="A4305" t="inlineStr">
        <is>
          <t>A 59496-2021</t>
        </is>
      </c>
      <c r="B4305" s="1" t="n">
        <v>44491</v>
      </c>
      <c r="C4305" s="1" t="n">
        <v>45212</v>
      </c>
      <c r="D4305" t="inlineStr">
        <is>
          <t>VÄSTERNORRLANDS LÄN</t>
        </is>
      </c>
      <c r="E4305" t="inlineStr">
        <is>
          <t>SUNDSVALL</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59525-2021</t>
        </is>
      </c>
      <c r="B4306" s="1" t="n">
        <v>44491</v>
      </c>
      <c r="C4306" s="1" t="n">
        <v>45212</v>
      </c>
      <c r="D4306" t="inlineStr">
        <is>
          <t>VÄSTERNORRLANDS LÄN</t>
        </is>
      </c>
      <c r="E4306" t="inlineStr">
        <is>
          <t>ÖRNSKÖLDSVIK</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59570-2021</t>
        </is>
      </c>
      <c r="B4307" s="1" t="n">
        <v>44491</v>
      </c>
      <c r="C4307" s="1" t="n">
        <v>45212</v>
      </c>
      <c r="D4307" t="inlineStr">
        <is>
          <t>VÄSTERNORRLANDS LÄN</t>
        </is>
      </c>
      <c r="E4307" t="inlineStr">
        <is>
          <t>TIMRÅ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59533-2021</t>
        </is>
      </c>
      <c r="B4308" s="1" t="n">
        <v>44491</v>
      </c>
      <c r="C4308" s="1" t="n">
        <v>45212</v>
      </c>
      <c r="D4308" t="inlineStr">
        <is>
          <t>VÄSTERNORRLANDS LÄN</t>
        </is>
      </c>
      <c r="E4308" t="inlineStr">
        <is>
          <t>ÖRNSKÖLDSVIK</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59440-2021</t>
        </is>
      </c>
      <c r="B4309" s="1" t="n">
        <v>44491</v>
      </c>
      <c r="C4309" s="1" t="n">
        <v>45212</v>
      </c>
      <c r="D4309" t="inlineStr">
        <is>
          <t>VÄSTERNORRLANDS LÄN</t>
        </is>
      </c>
      <c r="E4309" t="inlineStr">
        <is>
          <t>SUNDSVALL</t>
        </is>
      </c>
      <c r="G4309" t="n">
        <v>4.9</v>
      </c>
      <c r="H4309" t="n">
        <v>0</v>
      </c>
      <c r="I4309" t="n">
        <v>0</v>
      </c>
      <c r="J4309" t="n">
        <v>0</v>
      </c>
      <c r="K4309" t="n">
        <v>0</v>
      </c>
      <c r="L4309" t="n">
        <v>0</v>
      </c>
      <c r="M4309" t="n">
        <v>0</v>
      </c>
      <c r="N4309" t="n">
        <v>0</v>
      </c>
      <c r="O4309" t="n">
        <v>0</v>
      </c>
      <c r="P4309" t="n">
        <v>0</v>
      </c>
      <c r="Q4309" t="n">
        <v>0</v>
      </c>
      <c r="R4309" s="2" t="inlineStr"/>
    </row>
    <row r="4310" ht="15" customHeight="1">
      <c r="A4310" t="inlineStr">
        <is>
          <t>A 59545-2021</t>
        </is>
      </c>
      <c r="B4310" s="1" t="n">
        <v>44491</v>
      </c>
      <c r="C4310" s="1" t="n">
        <v>45212</v>
      </c>
      <c r="D4310" t="inlineStr">
        <is>
          <t>VÄSTERNORRLANDS LÄN</t>
        </is>
      </c>
      <c r="E4310" t="inlineStr">
        <is>
          <t>ÖRNSKÖLDSVIK</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59579-2021</t>
        </is>
      </c>
      <c r="B4311" s="1" t="n">
        <v>44491</v>
      </c>
      <c r="C4311" s="1" t="n">
        <v>45212</v>
      </c>
      <c r="D4311" t="inlineStr">
        <is>
          <t>VÄSTERNORRLANDS LÄN</t>
        </is>
      </c>
      <c r="E4311" t="inlineStr">
        <is>
          <t>SUNDSVALL</t>
        </is>
      </c>
      <c r="G4311" t="n">
        <v>5.3</v>
      </c>
      <c r="H4311" t="n">
        <v>0</v>
      </c>
      <c r="I4311" t="n">
        <v>0</v>
      </c>
      <c r="J4311" t="n">
        <v>0</v>
      </c>
      <c r="K4311" t="n">
        <v>0</v>
      </c>
      <c r="L4311" t="n">
        <v>0</v>
      </c>
      <c r="M4311" t="n">
        <v>0</v>
      </c>
      <c r="N4311" t="n">
        <v>0</v>
      </c>
      <c r="O4311" t="n">
        <v>0</v>
      </c>
      <c r="P4311" t="n">
        <v>0</v>
      </c>
      <c r="Q4311" t="n">
        <v>0</v>
      </c>
      <c r="R4311" s="2" t="inlineStr"/>
    </row>
    <row r="4312" ht="15" customHeight="1">
      <c r="A4312" t="inlineStr">
        <is>
          <t>A 59879-2021</t>
        </is>
      </c>
      <c r="B4312" s="1" t="n">
        <v>44493</v>
      </c>
      <c r="C4312" s="1" t="n">
        <v>45212</v>
      </c>
      <c r="D4312" t="inlineStr">
        <is>
          <t>VÄSTERNORRLANDS LÄN</t>
        </is>
      </c>
      <c r="E4312" t="inlineStr">
        <is>
          <t>ÖRNSKÖLDSVIK</t>
        </is>
      </c>
      <c r="G4312" t="n">
        <v>5.5</v>
      </c>
      <c r="H4312" t="n">
        <v>0</v>
      </c>
      <c r="I4312" t="n">
        <v>0</v>
      </c>
      <c r="J4312" t="n">
        <v>0</v>
      </c>
      <c r="K4312" t="n">
        <v>0</v>
      </c>
      <c r="L4312" t="n">
        <v>0</v>
      </c>
      <c r="M4312" t="n">
        <v>0</v>
      </c>
      <c r="N4312" t="n">
        <v>0</v>
      </c>
      <c r="O4312" t="n">
        <v>0</v>
      </c>
      <c r="P4312" t="n">
        <v>0</v>
      </c>
      <c r="Q4312" t="n">
        <v>0</v>
      </c>
      <c r="R4312" s="2" t="inlineStr"/>
    </row>
    <row r="4313" ht="15" customHeight="1">
      <c r="A4313" t="inlineStr">
        <is>
          <t>A 59875-2021</t>
        </is>
      </c>
      <c r="B4313" s="1" t="n">
        <v>44493</v>
      </c>
      <c r="C4313" s="1" t="n">
        <v>45212</v>
      </c>
      <c r="D4313" t="inlineStr">
        <is>
          <t>VÄSTERNORRLANDS LÄN</t>
        </is>
      </c>
      <c r="E4313" t="inlineStr">
        <is>
          <t>ÖRNSKÖLDSVIK</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59912-2021</t>
        </is>
      </c>
      <c r="B4314" s="1" t="n">
        <v>44494</v>
      </c>
      <c r="C4314" s="1" t="n">
        <v>45212</v>
      </c>
      <c r="D4314" t="inlineStr">
        <is>
          <t>VÄSTERNORRLANDS LÄN</t>
        </is>
      </c>
      <c r="E4314" t="inlineStr">
        <is>
          <t>ÖRNSKÖLDSVIK</t>
        </is>
      </c>
      <c r="F4314" t="inlineStr">
        <is>
          <t>Holmen skog AB</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59979-2021</t>
        </is>
      </c>
      <c r="B4315" s="1" t="n">
        <v>44494</v>
      </c>
      <c r="C4315" s="1" t="n">
        <v>45212</v>
      </c>
      <c r="D4315" t="inlineStr">
        <is>
          <t>VÄSTERNORRLANDS LÄN</t>
        </is>
      </c>
      <c r="E4315" t="inlineStr">
        <is>
          <t>ÅNGE</t>
        </is>
      </c>
      <c r="F4315" t="inlineStr">
        <is>
          <t>SCA</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59660-2021</t>
        </is>
      </c>
      <c r="B4316" s="1" t="n">
        <v>44494</v>
      </c>
      <c r="C4316" s="1" t="n">
        <v>45212</v>
      </c>
      <c r="D4316" t="inlineStr">
        <is>
          <t>VÄSTERNORRLANDS LÄN</t>
        </is>
      </c>
      <c r="E4316" t="inlineStr">
        <is>
          <t>ÖRNSKÖLDSVIK</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59964-2021</t>
        </is>
      </c>
      <c r="B4317" s="1" t="n">
        <v>44494</v>
      </c>
      <c r="C4317" s="1" t="n">
        <v>45212</v>
      </c>
      <c r="D4317" t="inlineStr">
        <is>
          <t>VÄSTERNORRLANDS LÄN</t>
        </is>
      </c>
      <c r="E4317" t="inlineStr">
        <is>
          <t>TIMRÅ</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60065-2021</t>
        </is>
      </c>
      <c r="B4318" s="1" t="n">
        <v>44494</v>
      </c>
      <c r="C4318" s="1" t="n">
        <v>45212</v>
      </c>
      <c r="D4318" t="inlineStr">
        <is>
          <t>VÄSTERNORRLANDS LÄN</t>
        </is>
      </c>
      <c r="E4318" t="inlineStr">
        <is>
          <t>ÖRNSKÖLDSVIK</t>
        </is>
      </c>
      <c r="G4318" t="n">
        <v>3.5</v>
      </c>
      <c r="H4318" t="n">
        <v>0</v>
      </c>
      <c r="I4318" t="n">
        <v>0</v>
      </c>
      <c r="J4318" t="n">
        <v>0</v>
      </c>
      <c r="K4318" t="n">
        <v>0</v>
      </c>
      <c r="L4318" t="n">
        <v>0</v>
      </c>
      <c r="M4318" t="n">
        <v>0</v>
      </c>
      <c r="N4318" t="n">
        <v>0</v>
      </c>
      <c r="O4318" t="n">
        <v>0</v>
      </c>
      <c r="P4318" t="n">
        <v>0</v>
      </c>
      <c r="Q4318" t="n">
        <v>0</v>
      </c>
      <c r="R4318" s="2" t="inlineStr"/>
    </row>
    <row r="4319" ht="15" customHeight="1">
      <c r="A4319" t="inlineStr">
        <is>
          <t>A 59986-2021</t>
        </is>
      </c>
      <c r="B4319" s="1" t="n">
        <v>44494</v>
      </c>
      <c r="C4319" s="1" t="n">
        <v>45212</v>
      </c>
      <c r="D4319" t="inlineStr">
        <is>
          <t>VÄSTERNORRLANDS LÄN</t>
        </is>
      </c>
      <c r="E4319" t="inlineStr">
        <is>
          <t>ÅNGE</t>
        </is>
      </c>
      <c r="F4319" t="inlineStr">
        <is>
          <t>SCA</t>
        </is>
      </c>
      <c r="G4319" t="n">
        <v>2.3</v>
      </c>
      <c r="H4319" t="n">
        <v>0</v>
      </c>
      <c r="I4319" t="n">
        <v>0</v>
      </c>
      <c r="J4319" t="n">
        <v>0</v>
      </c>
      <c r="K4319" t="n">
        <v>0</v>
      </c>
      <c r="L4319" t="n">
        <v>0</v>
      </c>
      <c r="M4319" t="n">
        <v>0</v>
      </c>
      <c r="N4319" t="n">
        <v>0</v>
      </c>
      <c r="O4319" t="n">
        <v>0</v>
      </c>
      <c r="P4319" t="n">
        <v>0</v>
      </c>
      <c r="Q4319" t="n">
        <v>0</v>
      </c>
      <c r="R4319" s="2" t="inlineStr"/>
    </row>
    <row r="4320" ht="15" customHeight="1">
      <c r="A4320" t="inlineStr">
        <is>
          <t>A 59876-2021</t>
        </is>
      </c>
      <c r="B4320" s="1" t="n">
        <v>44494</v>
      </c>
      <c r="C4320" s="1" t="n">
        <v>45212</v>
      </c>
      <c r="D4320" t="inlineStr">
        <is>
          <t>VÄSTERNORRLANDS LÄN</t>
        </is>
      </c>
      <c r="E4320" t="inlineStr">
        <is>
          <t>ÖRNSKÖLDSVIK</t>
        </is>
      </c>
      <c r="F4320" t="inlineStr">
        <is>
          <t>Holmen skog AB</t>
        </is>
      </c>
      <c r="G4320" t="n">
        <v>5</v>
      </c>
      <c r="H4320" t="n">
        <v>0</v>
      </c>
      <c r="I4320" t="n">
        <v>0</v>
      </c>
      <c r="J4320" t="n">
        <v>0</v>
      </c>
      <c r="K4320" t="n">
        <v>0</v>
      </c>
      <c r="L4320" t="n">
        <v>0</v>
      </c>
      <c r="M4320" t="n">
        <v>0</v>
      </c>
      <c r="N4320" t="n">
        <v>0</v>
      </c>
      <c r="O4320" t="n">
        <v>0</v>
      </c>
      <c r="P4320" t="n">
        <v>0</v>
      </c>
      <c r="Q4320" t="n">
        <v>0</v>
      </c>
      <c r="R4320" s="2" t="inlineStr"/>
    </row>
    <row r="4321" ht="15" customHeight="1">
      <c r="A4321" t="inlineStr">
        <is>
          <t>A 60511-2021</t>
        </is>
      </c>
      <c r="B4321" s="1" t="n">
        <v>44495</v>
      </c>
      <c r="C4321" s="1" t="n">
        <v>45212</v>
      </c>
      <c r="D4321" t="inlineStr">
        <is>
          <t>VÄSTERNORRLANDS LÄN</t>
        </is>
      </c>
      <c r="E4321" t="inlineStr">
        <is>
          <t>ÖRNSKÖLDSVIK</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60887-2021</t>
        </is>
      </c>
      <c r="B4322" s="1" t="n">
        <v>44495</v>
      </c>
      <c r="C4322" s="1" t="n">
        <v>45212</v>
      </c>
      <c r="D4322" t="inlineStr">
        <is>
          <t>VÄSTERNORRLANDS LÄN</t>
        </is>
      </c>
      <c r="E4322" t="inlineStr">
        <is>
          <t>ÖRNSKÖLDSVIK</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60068-2021</t>
        </is>
      </c>
      <c r="B4323" s="1" t="n">
        <v>44495</v>
      </c>
      <c r="C4323" s="1" t="n">
        <v>45212</v>
      </c>
      <c r="D4323" t="inlineStr">
        <is>
          <t>VÄSTERNORRLANDS LÄN</t>
        </is>
      </c>
      <c r="E4323" t="inlineStr">
        <is>
          <t>KRAMFORS</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60220-2021</t>
        </is>
      </c>
      <c r="B4324" s="1" t="n">
        <v>44495</v>
      </c>
      <c r="C4324" s="1" t="n">
        <v>45212</v>
      </c>
      <c r="D4324" t="inlineStr">
        <is>
          <t>VÄSTERNORRLANDS LÄN</t>
        </is>
      </c>
      <c r="E4324" t="inlineStr">
        <is>
          <t>ÖRNSKÖLDSVIK</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60296-2021</t>
        </is>
      </c>
      <c r="B4325" s="1" t="n">
        <v>44495</v>
      </c>
      <c r="C4325" s="1" t="n">
        <v>45212</v>
      </c>
      <c r="D4325" t="inlineStr">
        <is>
          <t>VÄSTERNORRLANDS LÄN</t>
        </is>
      </c>
      <c r="E4325" t="inlineStr">
        <is>
          <t>ÅNGE</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60498-2021</t>
        </is>
      </c>
      <c r="B4326" s="1" t="n">
        <v>44495</v>
      </c>
      <c r="C4326" s="1" t="n">
        <v>45212</v>
      </c>
      <c r="D4326" t="inlineStr">
        <is>
          <t>VÄSTERNORRLANDS LÄN</t>
        </is>
      </c>
      <c r="E4326" t="inlineStr">
        <is>
          <t>ÖRNSKÖLDSVIK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60612-2021</t>
        </is>
      </c>
      <c r="B4327" s="1" t="n">
        <v>44495</v>
      </c>
      <c r="C4327" s="1" t="n">
        <v>45212</v>
      </c>
      <c r="D4327" t="inlineStr">
        <is>
          <t>VÄSTERNORRLANDS LÄN</t>
        </is>
      </c>
      <c r="E4327" t="inlineStr">
        <is>
          <t>ÖRNSKÖLDSVIK</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60227-2021</t>
        </is>
      </c>
      <c r="B4328" s="1" t="n">
        <v>44495</v>
      </c>
      <c r="C4328" s="1" t="n">
        <v>45212</v>
      </c>
      <c r="D4328" t="inlineStr">
        <is>
          <t>VÄSTERNORRLANDS LÄN</t>
        </is>
      </c>
      <c r="E4328" t="inlineStr">
        <is>
          <t>ÖRNSKÖLDSVIK</t>
        </is>
      </c>
      <c r="G4328" t="n">
        <v>9.300000000000001</v>
      </c>
      <c r="H4328" t="n">
        <v>0</v>
      </c>
      <c r="I4328" t="n">
        <v>0</v>
      </c>
      <c r="J4328" t="n">
        <v>0</v>
      </c>
      <c r="K4328" t="n">
        <v>0</v>
      </c>
      <c r="L4328" t="n">
        <v>0</v>
      </c>
      <c r="M4328" t="n">
        <v>0</v>
      </c>
      <c r="N4328" t="n">
        <v>0</v>
      </c>
      <c r="O4328" t="n">
        <v>0</v>
      </c>
      <c r="P4328" t="n">
        <v>0</v>
      </c>
      <c r="Q4328" t="n">
        <v>0</v>
      </c>
      <c r="R4328" s="2" t="inlineStr"/>
    </row>
    <row r="4329" ht="15" customHeight="1">
      <c r="A4329" t="inlineStr">
        <is>
          <t>A 60620-2021</t>
        </is>
      </c>
      <c r="B4329" s="1" t="n">
        <v>44496</v>
      </c>
      <c r="C4329" s="1" t="n">
        <v>45212</v>
      </c>
      <c r="D4329" t="inlineStr">
        <is>
          <t>VÄSTERNORRLANDS LÄN</t>
        </is>
      </c>
      <c r="E4329" t="inlineStr">
        <is>
          <t>ÖRNSKÖLDSVIK</t>
        </is>
      </c>
      <c r="F4329" t="inlineStr">
        <is>
          <t>Holmen skog AB</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60667-2021</t>
        </is>
      </c>
      <c r="B4330" s="1" t="n">
        <v>44496</v>
      </c>
      <c r="C4330" s="1" t="n">
        <v>45212</v>
      </c>
      <c r="D4330" t="inlineStr">
        <is>
          <t>VÄSTERNORRLANDS LÄN</t>
        </is>
      </c>
      <c r="E4330" t="inlineStr">
        <is>
          <t>ÖRNSKÖLDSVIK</t>
        </is>
      </c>
      <c r="F4330" t="inlineStr">
        <is>
          <t>Holmen skog AB</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60693-2021</t>
        </is>
      </c>
      <c r="B4331" s="1" t="n">
        <v>44496</v>
      </c>
      <c r="C4331" s="1" t="n">
        <v>45212</v>
      </c>
      <c r="D4331" t="inlineStr">
        <is>
          <t>VÄSTERNORRLANDS LÄN</t>
        </is>
      </c>
      <c r="E4331" t="inlineStr">
        <is>
          <t>ÖRNSKÖLDSVIK</t>
        </is>
      </c>
      <c r="F4331" t="inlineStr">
        <is>
          <t>Holmen skog AB</t>
        </is>
      </c>
      <c r="G4331" t="n">
        <v>14.6</v>
      </c>
      <c r="H4331" t="n">
        <v>0</v>
      </c>
      <c r="I4331" t="n">
        <v>0</v>
      </c>
      <c r="J4331" t="n">
        <v>0</v>
      </c>
      <c r="K4331" t="n">
        <v>0</v>
      </c>
      <c r="L4331" t="n">
        <v>0</v>
      </c>
      <c r="M4331" t="n">
        <v>0</v>
      </c>
      <c r="N4331" t="n">
        <v>0</v>
      </c>
      <c r="O4331" t="n">
        <v>0</v>
      </c>
      <c r="P4331" t="n">
        <v>0</v>
      </c>
      <c r="Q4331" t="n">
        <v>0</v>
      </c>
      <c r="R4331" s="2" t="inlineStr"/>
    </row>
    <row r="4332" ht="15" customHeight="1">
      <c r="A4332" t="inlineStr">
        <is>
          <t>A 60469-2021</t>
        </is>
      </c>
      <c r="B4332" s="1" t="n">
        <v>44496</v>
      </c>
      <c r="C4332" s="1" t="n">
        <v>45212</v>
      </c>
      <c r="D4332" t="inlineStr">
        <is>
          <t>VÄSTERNORRLANDS LÄN</t>
        </is>
      </c>
      <c r="E4332" t="inlineStr">
        <is>
          <t>ÖRNSKÖLDSVIK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60630-2021</t>
        </is>
      </c>
      <c r="B4333" s="1" t="n">
        <v>44496</v>
      </c>
      <c r="C4333" s="1" t="n">
        <v>45212</v>
      </c>
      <c r="D4333" t="inlineStr">
        <is>
          <t>VÄSTERNORRLANDS LÄN</t>
        </is>
      </c>
      <c r="E4333" t="inlineStr">
        <is>
          <t>KRAMFORS</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60756-2021</t>
        </is>
      </c>
      <c r="B4334" s="1" t="n">
        <v>44496</v>
      </c>
      <c r="C4334" s="1" t="n">
        <v>45212</v>
      </c>
      <c r="D4334" t="inlineStr">
        <is>
          <t>VÄSTERNORRLANDS LÄN</t>
        </is>
      </c>
      <c r="E4334" t="inlineStr">
        <is>
          <t>SOLLEFTEÅ</t>
        </is>
      </c>
      <c r="G4334" t="n">
        <v>2.9</v>
      </c>
      <c r="H4334" t="n">
        <v>0</v>
      </c>
      <c r="I4334" t="n">
        <v>0</v>
      </c>
      <c r="J4334" t="n">
        <v>0</v>
      </c>
      <c r="K4334" t="n">
        <v>0</v>
      </c>
      <c r="L4334" t="n">
        <v>0</v>
      </c>
      <c r="M4334" t="n">
        <v>0</v>
      </c>
      <c r="N4334" t="n">
        <v>0</v>
      </c>
      <c r="O4334" t="n">
        <v>0</v>
      </c>
      <c r="P4334" t="n">
        <v>0</v>
      </c>
      <c r="Q4334" t="n">
        <v>0</v>
      </c>
      <c r="R4334" s="2" t="inlineStr"/>
    </row>
    <row r="4335" ht="15" customHeight="1">
      <c r="A4335" t="inlineStr">
        <is>
          <t>A 60935-2021</t>
        </is>
      </c>
      <c r="B4335" s="1" t="n">
        <v>44496</v>
      </c>
      <c r="C4335" s="1" t="n">
        <v>45212</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60361-2021</t>
        </is>
      </c>
      <c r="B4336" s="1" t="n">
        <v>44496</v>
      </c>
      <c r="C4336" s="1" t="n">
        <v>45212</v>
      </c>
      <c r="D4336" t="inlineStr">
        <is>
          <t>VÄSTERNORRLANDS LÄN</t>
        </is>
      </c>
      <c r="E4336" t="inlineStr">
        <is>
          <t>ÖRNSKÖLDSVIK</t>
        </is>
      </c>
      <c r="F4336" t="inlineStr">
        <is>
          <t>Holmen skog AB</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60676-2021</t>
        </is>
      </c>
      <c r="B4337" s="1" t="n">
        <v>44496</v>
      </c>
      <c r="C4337" s="1" t="n">
        <v>45212</v>
      </c>
      <c r="D4337" t="inlineStr">
        <is>
          <t>VÄSTERNORRLANDS LÄN</t>
        </is>
      </c>
      <c r="E4337" t="inlineStr">
        <is>
          <t>ÖRNSKÖLDSVIK</t>
        </is>
      </c>
      <c r="F4337" t="inlineStr">
        <is>
          <t>Holmen skog AB</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60786-2021</t>
        </is>
      </c>
      <c r="B4338" s="1" t="n">
        <v>44496</v>
      </c>
      <c r="C4338" s="1" t="n">
        <v>45212</v>
      </c>
      <c r="D4338" t="inlineStr">
        <is>
          <t>VÄSTERNORRLANDS LÄN</t>
        </is>
      </c>
      <c r="E4338" t="inlineStr">
        <is>
          <t>ÖRNSKÖLDSVIK</t>
        </is>
      </c>
      <c r="F4338" t="inlineStr">
        <is>
          <t>SCA</t>
        </is>
      </c>
      <c r="G4338" t="n">
        <v>7.2</v>
      </c>
      <c r="H4338" t="n">
        <v>0</v>
      </c>
      <c r="I4338" t="n">
        <v>0</v>
      </c>
      <c r="J4338" t="n">
        <v>0</v>
      </c>
      <c r="K4338" t="n">
        <v>0</v>
      </c>
      <c r="L4338" t="n">
        <v>0</v>
      </c>
      <c r="M4338" t="n">
        <v>0</v>
      </c>
      <c r="N4338" t="n">
        <v>0</v>
      </c>
      <c r="O4338" t="n">
        <v>0</v>
      </c>
      <c r="P4338" t="n">
        <v>0</v>
      </c>
      <c r="Q4338" t="n">
        <v>0</v>
      </c>
      <c r="R4338" s="2" t="inlineStr"/>
    </row>
    <row r="4339" ht="15" customHeight="1">
      <c r="A4339" t="inlineStr">
        <is>
          <t>A 60970-2021</t>
        </is>
      </c>
      <c r="B4339" s="1" t="n">
        <v>44496</v>
      </c>
      <c r="C4339" s="1" t="n">
        <v>45212</v>
      </c>
      <c r="D4339" t="inlineStr">
        <is>
          <t>VÄSTERNORRLANDS LÄN</t>
        </is>
      </c>
      <c r="E4339" t="inlineStr">
        <is>
          <t>HÄRNÖSAND</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60891-2021</t>
        </is>
      </c>
      <c r="B4340" s="1" t="n">
        <v>44497</v>
      </c>
      <c r="C4340" s="1" t="n">
        <v>45212</v>
      </c>
      <c r="D4340" t="inlineStr">
        <is>
          <t>VÄSTERNORRLANDS LÄN</t>
        </is>
      </c>
      <c r="E4340" t="inlineStr">
        <is>
          <t>SUNDSVALL</t>
        </is>
      </c>
      <c r="F4340" t="inlineStr">
        <is>
          <t>Kommuner</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60867-2021</t>
        </is>
      </c>
      <c r="B4341" s="1" t="n">
        <v>44497</v>
      </c>
      <c r="C4341" s="1" t="n">
        <v>45212</v>
      </c>
      <c r="D4341" t="inlineStr">
        <is>
          <t>VÄSTERNORRLANDS LÄN</t>
        </is>
      </c>
      <c r="E4341" t="inlineStr">
        <is>
          <t>ÖRNSKÖLDSVIK</t>
        </is>
      </c>
      <c r="F4341" t="inlineStr">
        <is>
          <t>Holmen skog AB</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60911-2021</t>
        </is>
      </c>
      <c r="B4342" s="1" t="n">
        <v>44497</v>
      </c>
      <c r="C4342" s="1" t="n">
        <v>45212</v>
      </c>
      <c r="D4342" t="inlineStr">
        <is>
          <t>VÄSTERNORRLANDS LÄN</t>
        </is>
      </c>
      <c r="E4342" t="inlineStr">
        <is>
          <t>SUNDSVALL</t>
        </is>
      </c>
      <c r="F4342" t="inlineStr">
        <is>
          <t>Kommuner</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61300-2021</t>
        </is>
      </c>
      <c r="B4343" s="1" t="n">
        <v>44497</v>
      </c>
      <c r="C4343" s="1" t="n">
        <v>45212</v>
      </c>
      <c r="D4343" t="inlineStr">
        <is>
          <t>VÄSTERNORRLANDS LÄN</t>
        </is>
      </c>
      <c r="E4343" t="inlineStr">
        <is>
          <t>SUNDSVALL</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61574-2021</t>
        </is>
      </c>
      <c r="B4344" s="1" t="n">
        <v>44497</v>
      </c>
      <c r="C4344" s="1" t="n">
        <v>45212</v>
      </c>
      <c r="D4344" t="inlineStr">
        <is>
          <t>VÄSTERNORRLANDS LÄN</t>
        </is>
      </c>
      <c r="E4344" t="inlineStr">
        <is>
          <t>HÄRNÖSAND</t>
        </is>
      </c>
      <c r="G4344" t="n">
        <v>3.1</v>
      </c>
      <c r="H4344" t="n">
        <v>0</v>
      </c>
      <c r="I4344" t="n">
        <v>0</v>
      </c>
      <c r="J4344" t="n">
        <v>0</v>
      </c>
      <c r="K4344" t="n">
        <v>0</v>
      </c>
      <c r="L4344" t="n">
        <v>0</v>
      </c>
      <c r="M4344" t="n">
        <v>0</v>
      </c>
      <c r="N4344" t="n">
        <v>0</v>
      </c>
      <c r="O4344" t="n">
        <v>0</v>
      </c>
      <c r="P4344" t="n">
        <v>0</v>
      </c>
      <c r="Q4344" t="n">
        <v>0</v>
      </c>
      <c r="R4344" s="2" t="inlineStr"/>
    </row>
    <row r="4345" ht="15" customHeight="1">
      <c r="A4345" t="inlineStr">
        <is>
          <t>A 61102-2021</t>
        </is>
      </c>
      <c r="B4345" s="1" t="n">
        <v>44498</v>
      </c>
      <c r="C4345" s="1" t="n">
        <v>45212</v>
      </c>
      <c r="D4345" t="inlineStr">
        <is>
          <t>VÄSTERNORRLANDS LÄN</t>
        </is>
      </c>
      <c r="E4345" t="inlineStr">
        <is>
          <t>HÄRNÖSAND</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61623-2021</t>
        </is>
      </c>
      <c r="B4346" s="1" t="n">
        <v>44498</v>
      </c>
      <c r="C4346" s="1" t="n">
        <v>45212</v>
      </c>
      <c r="D4346" t="inlineStr">
        <is>
          <t>VÄSTERNORRLANDS LÄN</t>
        </is>
      </c>
      <c r="E4346" t="inlineStr">
        <is>
          <t>ÖRNSKÖLDSVIK</t>
        </is>
      </c>
      <c r="G4346" t="n">
        <v>10.9</v>
      </c>
      <c r="H4346" t="n">
        <v>0</v>
      </c>
      <c r="I4346" t="n">
        <v>0</v>
      </c>
      <c r="J4346" t="n">
        <v>0</v>
      </c>
      <c r="K4346" t="n">
        <v>0</v>
      </c>
      <c r="L4346" t="n">
        <v>0</v>
      </c>
      <c r="M4346" t="n">
        <v>0</v>
      </c>
      <c r="N4346" t="n">
        <v>0</v>
      </c>
      <c r="O4346" t="n">
        <v>0</v>
      </c>
      <c r="P4346" t="n">
        <v>0</v>
      </c>
      <c r="Q4346" t="n">
        <v>0</v>
      </c>
      <c r="R4346" s="2" t="inlineStr"/>
    </row>
    <row r="4347" ht="15" customHeight="1">
      <c r="A4347" t="inlineStr">
        <is>
          <t>A 61739-2021</t>
        </is>
      </c>
      <c r="B4347" s="1" t="n">
        <v>44498</v>
      </c>
      <c r="C4347" s="1" t="n">
        <v>45212</v>
      </c>
      <c r="D4347" t="inlineStr">
        <is>
          <t>VÄSTERNORRLANDS LÄN</t>
        </is>
      </c>
      <c r="E4347" t="inlineStr">
        <is>
          <t>SOLLEFTEÅ</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61480-2021</t>
        </is>
      </c>
      <c r="B4348" s="1" t="n">
        <v>44500</v>
      </c>
      <c r="C4348" s="1" t="n">
        <v>45212</v>
      </c>
      <c r="D4348" t="inlineStr">
        <is>
          <t>VÄSTERNORRLANDS LÄN</t>
        </is>
      </c>
      <c r="E4348" t="inlineStr">
        <is>
          <t>SOLLEFTEÅ</t>
        </is>
      </c>
      <c r="F4348" t="inlineStr">
        <is>
          <t>SCA</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61407-2021</t>
        </is>
      </c>
      <c r="B4349" s="1" t="n">
        <v>44500</v>
      </c>
      <c r="C4349" s="1" t="n">
        <v>45212</v>
      </c>
      <c r="D4349" t="inlineStr">
        <is>
          <t>VÄSTERNORRLANDS LÄN</t>
        </is>
      </c>
      <c r="E4349" t="inlineStr">
        <is>
          <t>SUNDSVALL</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61426-2021</t>
        </is>
      </c>
      <c r="B4350" s="1" t="n">
        <v>44500</v>
      </c>
      <c r="C4350" s="1" t="n">
        <v>45212</v>
      </c>
      <c r="D4350" t="inlineStr">
        <is>
          <t>VÄSTERNORRLANDS LÄN</t>
        </is>
      </c>
      <c r="E4350" t="inlineStr">
        <is>
          <t>SOLLEFTEÅ</t>
        </is>
      </c>
      <c r="F4350" t="inlineStr">
        <is>
          <t>SCA</t>
        </is>
      </c>
      <c r="G4350" t="n">
        <v>2.5</v>
      </c>
      <c r="H4350" t="n">
        <v>0</v>
      </c>
      <c r="I4350" t="n">
        <v>0</v>
      </c>
      <c r="J4350" t="n">
        <v>0</v>
      </c>
      <c r="K4350" t="n">
        <v>0</v>
      </c>
      <c r="L4350" t="n">
        <v>0</v>
      </c>
      <c r="M4350" t="n">
        <v>0</v>
      </c>
      <c r="N4350" t="n">
        <v>0</v>
      </c>
      <c r="O4350" t="n">
        <v>0</v>
      </c>
      <c r="P4350" t="n">
        <v>0</v>
      </c>
      <c r="Q4350" t="n">
        <v>0</v>
      </c>
      <c r="R4350" s="2" t="inlineStr"/>
    </row>
    <row r="4351" ht="15" customHeight="1">
      <c r="A4351" t="inlineStr">
        <is>
          <t>A 61516-2021</t>
        </is>
      </c>
      <c r="B4351" s="1" t="n">
        <v>44501</v>
      </c>
      <c r="C4351" s="1" t="n">
        <v>45212</v>
      </c>
      <c r="D4351" t="inlineStr">
        <is>
          <t>VÄSTERNORRLANDS LÄN</t>
        </is>
      </c>
      <c r="E4351" t="inlineStr">
        <is>
          <t>ÖRNSKÖLDSVIK</t>
        </is>
      </c>
      <c r="F4351" t="inlineStr">
        <is>
          <t>Holmen skog AB</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61571-2021</t>
        </is>
      </c>
      <c r="B4352" s="1" t="n">
        <v>44501</v>
      </c>
      <c r="C4352" s="1" t="n">
        <v>45212</v>
      </c>
      <c r="D4352" t="inlineStr">
        <is>
          <t>VÄSTERNORRLANDS LÄN</t>
        </is>
      </c>
      <c r="E4352" t="inlineStr">
        <is>
          <t>ÖRNSKÖLDSVIK</t>
        </is>
      </c>
      <c r="F4352" t="inlineStr">
        <is>
          <t>Holmen skog AB</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61851-2021</t>
        </is>
      </c>
      <c r="B4353" s="1" t="n">
        <v>44501</v>
      </c>
      <c r="C4353" s="1" t="n">
        <v>45212</v>
      </c>
      <c r="D4353" t="inlineStr">
        <is>
          <t>VÄSTERNORRLANDS LÄN</t>
        </is>
      </c>
      <c r="E4353" t="inlineStr">
        <is>
          <t>SUNDSVALL</t>
        </is>
      </c>
      <c r="F4353" t="inlineStr">
        <is>
          <t>SCA</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61831-2021</t>
        </is>
      </c>
      <c r="B4354" s="1" t="n">
        <v>44501</v>
      </c>
      <c r="C4354" s="1" t="n">
        <v>45212</v>
      </c>
      <c r="D4354" t="inlineStr">
        <is>
          <t>VÄSTERNORRLANDS LÄN</t>
        </is>
      </c>
      <c r="E4354" t="inlineStr">
        <is>
          <t>ÖRNSKÖLDSVIK</t>
        </is>
      </c>
      <c r="F4354" t="inlineStr">
        <is>
          <t>Holmen skog AB</t>
        </is>
      </c>
      <c r="G4354" t="n">
        <v>2.6</v>
      </c>
      <c r="H4354" t="n">
        <v>0</v>
      </c>
      <c r="I4354" t="n">
        <v>0</v>
      </c>
      <c r="J4354" t="n">
        <v>0</v>
      </c>
      <c r="K4354" t="n">
        <v>0</v>
      </c>
      <c r="L4354" t="n">
        <v>0</v>
      </c>
      <c r="M4354" t="n">
        <v>0</v>
      </c>
      <c r="N4354" t="n">
        <v>0</v>
      </c>
      <c r="O4354" t="n">
        <v>0</v>
      </c>
      <c r="P4354" t="n">
        <v>0</v>
      </c>
      <c r="Q4354" t="n">
        <v>0</v>
      </c>
      <c r="R4354" s="2" t="inlineStr"/>
    </row>
    <row r="4355" ht="15" customHeight="1">
      <c r="A4355" t="inlineStr">
        <is>
          <t>A 61496-2021</t>
        </is>
      </c>
      <c r="B4355" s="1" t="n">
        <v>44501</v>
      </c>
      <c r="C4355" s="1" t="n">
        <v>45212</v>
      </c>
      <c r="D4355" t="inlineStr">
        <is>
          <t>VÄSTERNORRLANDS LÄN</t>
        </is>
      </c>
      <c r="E4355" t="inlineStr">
        <is>
          <t>SOLLEFTEÅ</t>
        </is>
      </c>
      <c r="F4355" t="inlineStr">
        <is>
          <t>Holmen skog AB</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61562-2021</t>
        </is>
      </c>
      <c r="B4356" s="1" t="n">
        <v>44501</v>
      </c>
      <c r="C4356" s="1" t="n">
        <v>45212</v>
      </c>
      <c r="D4356" t="inlineStr">
        <is>
          <t>VÄSTERNORRLANDS LÄN</t>
        </is>
      </c>
      <c r="E4356" t="inlineStr">
        <is>
          <t>SUNDSVALL</t>
        </is>
      </c>
      <c r="G4356" t="n">
        <v>6</v>
      </c>
      <c r="H4356" t="n">
        <v>0</v>
      </c>
      <c r="I4356" t="n">
        <v>0</v>
      </c>
      <c r="J4356" t="n">
        <v>0</v>
      </c>
      <c r="K4356" t="n">
        <v>0</v>
      </c>
      <c r="L4356" t="n">
        <v>0</v>
      </c>
      <c r="M4356" t="n">
        <v>0</v>
      </c>
      <c r="N4356" t="n">
        <v>0</v>
      </c>
      <c r="O4356" t="n">
        <v>0</v>
      </c>
      <c r="P4356" t="n">
        <v>0</v>
      </c>
      <c r="Q4356" t="n">
        <v>0</v>
      </c>
      <c r="R4356" s="2" t="inlineStr"/>
    </row>
    <row r="4357" ht="15" customHeight="1">
      <c r="A4357" t="inlineStr">
        <is>
          <t>A 61761-2021</t>
        </is>
      </c>
      <c r="B4357" s="1" t="n">
        <v>44501</v>
      </c>
      <c r="C4357" s="1" t="n">
        <v>45212</v>
      </c>
      <c r="D4357" t="inlineStr">
        <is>
          <t>VÄSTERNORRLANDS LÄN</t>
        </is>
      </c>
      <c r="E4357" t="inlineStr">
        <is>
          <t>ÅNGE</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62080-2021</t>
        </is>
      </c>
      <c r="B4358" s="1" t="n">
        <v>44502</v>
      </c>
      <c r="C4358" s="1" t="n">
        <v>45212</v>
      </c>
      <c r="D4358" t="inlineStr">
        <is>
          <t>VÄSTERNORRLANDS LÄN</t>
        </is>
      </c>
      <c r="E4358" t="inlineStr">
        <is>
          <t>SUNDSVALL</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62127-2021</t>
        </is>
      </c>
      <c r="B4359" s="1" t="n">
        <v>44502</v>
      </c>
      <c r="C4359" s="1" t="n">
        <v>45212</v>
      </c>
      <c r="D4359" t="inlineStr">
        <is>
          <t>VÄSTERNORRLANDS LÄN</t>
        </is>
      </c>
      <c r="E4359" t="inlineStr">
        <is>
          <t>ÅNGE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62210-2021</t>
        </is>
      </c>
      <c r="B4360" s="1" t="n">
        <v>44502</v>
      </c>
      <c r="C4360" s="1" t="n">
        <v>45212</v>
      </c>
      <c r="D4360" t="inlineStr">
        <is>
          <t>VÄSTERNORRLANDS LÄN</t>
        </is>
      </c>
      <c r="E4360" t="inlineStr">
        <is>
          <t>SOLLEFTEÅ</t>
        </is>
      </c>
      <c r="F4360" t="inlineStr">
        <is>
          <t>SCA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62333-2021</t>
        </is>
      </c>
      <c r="B4361" s="1" t="n">
        <v>44502</v>
      </c>
      <c r="C4361" s="1" t="n">
        <v>45212</v>
      </c>
      <c r="D4361" t="inlineStr">
        <is>
          <t>VÄSTERNORRLANDS LÄN</t>
        </is>
      </c>
      <c r="E4361" t="inlineStr">
        <is>
          <t>HÄRNÖSAND</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62069-2021</t>
        </is>
      </c>
      <c r="B4362" s="1" t="n">
        <v>44502</v>
      </c>
      <c r="C4362" s="1" t="n">
        <v>45212</v>
      </c>
      <c r="D4362" t="inlineStr">
        <is>
          <t>VÄSTERNORRLANDS LÄN</t>
        </is>
      </c>
      <c r="E4362" t="inlineStr">
        <is>
          <t>ÅNGE</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62184-2021</t>
        </is>
      </c>
      <c r="B4363" s="1" t="n">
        <v>44502</v>
      </c>
      <c r="C4363" s="1" t="n">
        <v>45212</v>
      </c>
      <c r="D4363" t="inlineStr">
        <is>
          <t>VÄSTERNORRLANDS LÄN</t>
        </is>
      </c>
      <c r="E4363" t="inlineStr">
        <is>
          <t>SUNDSVALL</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62077-2021</t>
        </is>
      </c>
      <c r="B4364" s="1" t="n">
        <v>44502</v>
      </c>
      <c r="C4364" s="1" t="n">
        <v>45212</v>
      </c>
      <c r="D4364" t="inlineStr">
        <is>
          <t>VÄSTERNORRLANDS LÄN</t>
        </is>
      </c>
      <c r="E4364" t="inlineStr">
        <is>
          <t>SUNDSVALL</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62214-2021</t>
        </is>
      </c>
      <c r="B4365" s="1" t="n">
        <v>44502</v>
      </c>
      <c r="C4365" s="1" t="n">
        <v>45212</v>
      </c>
      <c r="D4365" t="inlineStr">
        <is>
          <t>VÄSTERNORRLANDS LÄN</t>
        </is>
      </c>
      <c r="E4365" t="inlineStr">
        <is>
          <t>SOLLEFTEÅ</t>
        </is>
      </c>
      <c r="F4365" t="inlineStr">
        <is>
          <t>SCA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62870-2021</t>
        </is>
      </c>
      <c r="B4366" s="1" t="n">
        <v>44503</v>
      </c>
      <c r="C4366" s="1" t="n">
        <v>45212</v>
      </c>
      <c r="D4366" t="inlineStr">
        <is>
          <t>VÄSTERNORRLANDS LÄN</t>
        </is>
      </c>
      <c r="E4366" t="inlineStr">
        <is>
          <t>ÅNGE</t>
        </is>
      </c>
      <c r="F4366" t="inlineStr">
        <is>
          <t>Övriga statliga verk och myndigheter</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62236-2021</t>
        </is>
      </c>
      <c r="B4367" s="1" t="n">
        <v>44503</v>
      </c>
      <c r="C4367" s="1" t="n">
        <v>45212</v>
      </c>
      <c r="D4367" t="inlineStr">
        <is>
          <t>VÄSTERNORRLANDS LÄN</t>
        </is>
      </c>
      <c r="E4367" t="inlineStr">
        <is>
          <t>KRAMFORS</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62288-2021</t>
        </is>
      </c>
      <c r="B4368" s="1" t="n">
        <v>44503</v>
      </c>
      <c r="C4368" s="1" t="n">
        <v>45212</v>
      </c>
      <c r="D4368" t="inlineStr">
        <is>
          <t>VÄSTERNORRLANDS LÄN</t>
        </is>
      </c>
      <c r="E4368" t="inlineStr">
        <is>
          <t>ÖRNSKÖLDSVIK</t>
        </is>
      </c>
      <c r="F4368" t="inlineStr">
        <is>
          <t>Holmen skog AB</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62317-2021</t>
        </is>
      </c>
      <c r="B4369" s="1" t="n">
        <v>44503</v>
      </c>
      <c r="C4369" s="1" t="n">
        <v>45212</v>
      </c>
      <c r="D4369" t="inlineStr">
        <is>
          <t>VÄSTERNORRLANDS LÄN</t>
        </is>
      </c>
      <c r="E4369" t="inlineStr">
        <is>
          <t>KRAMFORS</t>
        </is>
      </c>
      <c r="G4369" t="n">
        <v>8.9</v>
      </c>
      <c r="H4369" t="n">
        <v>0</v>
      </c>
      <c r="I4369" t="n">
        <v>0</v>
      </c>
      <c r="J4369" t="n">
        <v>0</v>
      </c>
      <c r="K4369" t="n">
        <v>0</v>
      </c>
      <c r="L4369" t="n">
        <v>0</v>
      </c>
      <c r="M4369" t="n">
        <v>0</v>
      </c>
      <c r="N4369" t="n">
        <v>0</v>
      </c>
      <c r="O4369" t="n">
        <v>0</v>
      </c>
      <c r="P4369" t="n">
        <v>0</v>
      </c>
      <c r="Q4369" t="n">
        <v>0</v>
      </c>
      <c r="R4369" s="2" t="inlineStr"/>
    </row>
    <row r="4370" ht="15" customHeight="1">
      <c r="A4370" t="inlineStr">
        <is>
          <t>A 62418-2021</t>
        </is>
      </c>
      <c r="B4370" s="1" t="n">
        <v>44503</v>
      </c>
      <c r="C4370" s="1" t="n">
        <v>45212</v>
      </c>
      <c r="D4370" t="inlineStr">
        <is>
          <t>VÄSTERNORRLANDS LÄN</t>
        </is>
      </c>
      <c r="E4370" t="inlineStr">
        <is>
          <t>SOLLEFTEÅ</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62638-2021</t>
        </is>
      </c>
      <c r="B4371" s="1" t="n">
        <v>44503</v>
      </c>
      <c r="C4371" s="1" t="n">
        <v>45212</v>
      </c>
      <c r="D4371" t="inlineStr">
        <is>
          <t>VÄSTERNORRLANDS LÄN</t>
        </is>
      </c>
      <c r="E4371" t="inlineStr">
        <is>
          <t>SOLLEFTEÅ</t>
        </is>
      </c>
      <c r="F4371" t="inlineStr">
        <is>
          <t>Holmen skog AB</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62790-2021</t>
        </is>
      </c>
      <c r="B4372" s="1" t="n">
        <v>44503</v>
      </c>
      <c r="C4372" s="1" t="n">
        <v>45212</v>
      </c>
      <c r="D4372" t="inlineStr">
        <is>
          <t>VÄSTERNORRLANDS LÄN</t>
        </is>
      </c>
      <c r="E4372" t="inlineStr">
        <is>
          <t>SOLLEFTEÅ</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62636-2021</t>
        </is>
      </c>
      <c r="B4373" s="1" t="n">
        <v>44503</v>
      </c>
      <c r="C4373" s="1" t="n">
        <v>45212</v>
      </c>
      <c r="D4373" t="inlineStr">
        <is>
          <t>VÄSTERNORRLANDS LÄN</t>
        </is>
      </c>
      <c r="E4373" t="inlineStr">
        <is>
          <t>ÖRNSKÖLDSVIK</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62647-2021</t>
        </is>
      </c>
      <c r="B4374" s="1" t="n">
        <v>44503</v>
      </c>
      <c r="C4374" s="1" t="n">
        <v>45212</v>
      </c>
      <c r="D4374" t="inlineStr">
        <is>
          <t>VÄSTERNORRLANDS LÄN</t>
        </is>
      </c>
      <c r="E4374" t="inlineStr">
        <is>
          <t>ÖRNSKÖLDSVIK</t>
        </is>
      </c>
      <c r="G4374" t="n">
        <v>1.6</v>
      </c>
      <c r="H4374" t="n">
        <v>0</v>
      </c>
      <c r="I4374" t="n">
        <v>0</v>
      </c>
      <c r="J4374" t="n">
        <v>0</v>
      </c>
      <c r="K4374" t="n">
        <v>0</v>
      </c>
      <c r="L4374" t="n">
        <v>0</v>
      </c>
      <c r="M4374" t="n">
        <v>0</v>
      </c>
      <c r="N4374" t="n">
        <v>0</v>
      </c>
      <c r="O4374" t="n">
        <v>0</v>
      </c>
      <c r="P4374" t="n">
        <v>0</v>
      </c>
      <c r="Q4374" t="n">
        <v>0</v>
      </c>
      <c r="R4374" s="2" t="inlineStr"/>
    </row>
    <row r="4375" ht="15" customHeight="1">
      <c r="A4375" t="inlineStr">
        <is>
          <t>A 62834-2021</t>
        </is>
      </c>
      <c r="B4375" s="1" t="n">
        <v>44503</v>
      </c>
      <c r="C4375" s="1" t="n">
        <v>45212</v>
      </c>
      <c r="D4375" t="inlineStr">
        <is>
          <t>VÄSTERNORRLANDS LÄN</t>
        </is>
      </c>
      <c r="E4375" t="inlineStr">
        <is>
          <t>ÅNGE</t>
        </is>
      </c>
      <c r="F4375" t="inlineStr">
        <is>
          <t>Övriga statliga verk och myndigheter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62662-2021</t>
        </is>
      </c>
      <c r="B4376" s="1" t="n">
        <v>44503</v>
      </c>
      <c r="C4376" s="1" t="n">
        <v>45212</v>
      </c>
      <c r="D4376" t="inlineStr">
        <is>
          <t>VÄSTERNORRLANDS LÄN</t>
        </is>
      </c>
      <c r="E4376" t="inlineStr">
        <is>
          <t>SUNDSVALL</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62958-2021</t>
        </is>
      </c>
      <c r="B4377" s="1" t="n">
        <v>44504</v>
      </c>
      <c r="C4377" s="1" t="n">
        <v>45212</v>
      </c>
      <c r="D4377" t="inlineStr">
        <is>
          <t>VÄSTERNORRLANDS LÄN</t>
        </is>
      </c>
      <c r="E4377" t="inlineStr">
        <is>
          <t>HÄRNÖSAND</t>
        </is>
      </c>
      <c r="F4377" t="inlineStr">
        <is>
          <t>SCA</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63710-2021</t>
        </is>
      </c>
      <c r="B4378" s="1" t="n">
        <v>44504</v>
      </c>
      <c r="C4378" s="1" t="n">
        <v>45212</v>
      </c>
      <c r="D4378" t="inlineStr">
        <is>
          <t>VÄSTERNORRLANDS LÄN</t>
        </is>
      </c>
      <c r="E4378" t="inlineStr">
        <is>
          <t>SOLLEFTEÅ</t>
        </is>
      </c>
      <c r="G4378" t="n">
        <v>10.6</v>
      </c>
      <c r="H4378" t="n">
        <v>0</v>
      </c>
      <c r="I4378" t="n">
        <v>0</v>
      </c>
      <c r="J4378" t="n">
        <v>0</v>
      </c>
      <c r="K4378" t="n">
        <v>0</v>
      </c>
      <c r="L4378" t="n">
        <v>0</v>
      </c>
      <c r="M4378" t="n">
        <v>0</v>
      </c>
      <c r="N4378" t="n">
        <v>0</v>
      </c>
      <c r="O4378" t="n">
        <v>0</v>
      </c>
      <c r="P4378" t="n">
        <v>0</v>
      </c>
      <c r="Q4378" t="n">
        <v>0</v>
      </c>
      <c r="R4378" s="2" t="inlineStr"/>
    </row>
    <row r="4379" ht="15" customHeight="1">
      <c r="A4379" t="inlineStr">
        <is>
          <t>A 63464-2021</t>
        </is>
      </c>
      <c r="B4379" s="1" t="n">
        <v>44504</v>
      </c>
      <c r="C4379" s="1" t="n">
        <v>45212</v>
      </c>
      <c r="D4379" t="inlineStr">
        <is>
          <t>VÄSTERNORRLANDS LÄN</t>
        </is>
      </c>
      <c r="E4379" t="inlineStr">
        <is>
          <t>SUNDSVALL</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62944-2021</t>
        </is>
      </c>
      <c r="B4380" s="1" t="n">
        <v>44504</v>
      </c>
      <c r="C4380" s="1" t="n">
        <v>45212</v>
      </c>
      <c r="D4380" t="inlineStr">
        <is>
          <t>VÄSTERNORRLANDS LÄN</t>
        </is>
      </c>
      <c r="E4380" t="inlineStr">
        <is>
          <t>KRAMFORS</t>
        </is>
      </c>
      <c r="G4380" t="n">
        <v>7.8</v>
      </c>
      <c r="H4380" t="n">
        <v>0</v>
      </c>
      <c r="I4380" t="n">
        <v>0</v>
      </c>
      <c r="J4380" t="n">
        <v>0</v>
      </c>
      <c r="K4380" t="n">
        <v>0</v>
      </c>
      <c r="L4380" t="n">
        <v>0</v>
      </c>
      <c r="M4380" t="n">
        <v>0</v>
      </c>
      <c r="N4380" t="n">
        <v>0</v>
      </c>
      <c r="O4380" t="n">
        <v>0</v>
      </c>
      <c r="P4380" t="n">
        <v>0</v>
      </c>
      <c r="Q4380" t="n">
        <v>0</v>
      </c>
      <c r="R4380" s="2" t="inlineStr"/>
    </row>
    <row r="4381" ht="15" customHeight="1">
      <c r="A4381" t="inlineStr">
        <is>
          <t>A 63230-2021</t>
        </is>
      </c>
      <c r="B4381" s="1" t="n">
        <v>44505</v>
      </c>
      <c r="C4381" s="1" t="n">
        <v>45212</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63039-2021</t>
        </is>
      </c>
      <c r="B4382" s="1" t="n">
        <v>44505</v>
      </c>
      <c r="C4382" s="1" t="n">
        <v>45212</v>
      </c>
      <c r="D4382" t="inlineStr">
        <is>
          <t>VÄSTERNORRLANDS LÄN</t>
        </is>
      </c>
      <c r="E4382" t="inlineStr">
        <is>
          <t>ÖRNSKÖLDSVIK</t>
        </is>
      </c>
      <c r="F4382" t="inlineStr">
        <is>
          <t>Holmen skog AB</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63163-2021</t>
        </is>
      </c>
      <c r="B4383" s="1" t="n">
        <v>44505</v>
      </c>
      <c r="C4383" s="1" t="n">
        <v>45212</v>
      </c>
      <c r="D4383" t="inlineStr">
        <is>
          <t>VÄSTERNORRLANDS LÄN</t>
        </is>
      </c>
      <c r="E4383" t="inlineStr">
        <is>
          <t>SUNDSVALL</t>
        </is>
      </c>
      <c r="F4383" t="inlineStr">
        <is>
          <t>SCA</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63365-2021</t>
        </is>
      </c>
      <c r="B4384" s="1" t="n">
        <v>44505</v>
      </c>
      <c r="C4384" s="1" t="n">
        <v>45212</v>
      </c>
      <c r="D4384" t="inlineStr">
        <is>
          <t>VÄSTERNORRLANDS LÄN</t>
        </is>
      </c>
      <c r="E4384" t="inlineStr">
        <is>
          <t>ÖRNSKÖLDSVIK</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63385-2021</t>
        </is>
      </c>
      <c r="B4385" s="1" t="n">
        <v>44505</v>
      </c>
      <c r="C4385" s="1" t="n">
        <v>45212</v>
      </c>
      <c r="D4385" t="inlineStr">
        <is>
          <t>VÄSTERNORRLANDS LÄN</t>
        </is>
      </c>
      <c r="E4385" t="inlineStr">
        <is>
          <t>ÖRNSKÖLDSVIK</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63429-2021</t>
        </is>
      </c>
      <c r="B4386" s="1" t="n">
        <v>44508</v>
      </c>
      <c r="C4386" s="1" t="n">
        <v>45212</v>
      </c>
      <c r="D4386" t="inlineStr">
        <is>
          <t>VÄSTERNORRLANDS LÄN</t>
        </is>
      </c>
      <c r="E4386" t="inlineStr">
        <is>
          <t>KRAMFORS</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63449-2021</t>
        </is>
      </c>
      <c r="B4387" s="1" t="n">
        <v>44508</v>
      </c>
      <c r="C4387" s="1" t="n">
        <v>45212</v>
      </c>
      <c r="D4387" t="inlineStr">
        <is>
          <t>VÄSTERNORRLANDS LÄN</t>
        </is>
      </c>
      <c r="E4387" t="inlineStr">
        <is>
          <t>ÖRNSKÖLDSVIK</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63522-2021</t>
        </is>
      </c>
      <c r="B4388" s="1" t="n">
        <v>44508</v>
      </c>
      <c r="C4388" s="1" t="n">
        <v>45212</v>
      </c>
      <c r="D4388" t="inlineStr">
        <is>
          <t>VÄSTERNORRLANDS LÄN</t>
        </is>
      </c>
      <c r="E4388" t="inlineStr">
        <is>
          <t>ÅNGE</t>
        </is>
      </c>
      <c r="F4388" t="inlineStr">
        <is>
          <t>Övriga Aktiebolag</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63655-2021</t>
        </is>
      </c>
      <c r="B4389" s="1" t="n">
        <v>44508</v>
      </c>
      <c r="C4389" s="1" t="n">
        <v>45212</v>
      </c>
      <c r="D4389" t="inlineStr">
        <is>
          <t>VÄSTERNORRLANDS LÄN</t>
        </is>
      </c>
      <c r="E4389" t="inlineStr">
        <is>
          <t>SUNDSVALL</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63424-2021</t>
        </is>
      </c>
      <c r="B4390" s="1" t="n">
        <v>44508</v>
      </c>
      <c r="C4390" s="1" t="n">
        <v>45212</v>
      </c>
      <c r="D4390" t="inlineStr">
        <is>
          <t>VÄSTERNORRLANDS LÄN</t>
        </is>
      </c>
      <c r="E4390" t="inlineStr">
        <is>
          <t>KRAMFORS</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63458-2021</t>
        </is>
      </c>
      <c r="B4391" s="1" t="n">
        <v>44508</v>
      </c>
      <c r="C4391" s="1" t="n">
        <v>45212</v>
      </c>
      <c r="D4391" t="inlineStr">
        <is>
          <t>VÄSTERNORRLANDS LÄN</t>
        </is>
      </c>
      <c r="E4391" t="inlineStr">
        <is>
          <t>ÖRNSKÖLDSVIK</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63665-2021</t>
        </is>
      </c>
      <c r="B4392" s="1" t="n">
        <v>44508</v>
      </c>
      <c r="C4392" s="1" t="n">
        <v>45212</v>
      </c>
      <c r="D4392" t="inlineStr">
        <is>
          <t>VÄSTERNORRLANDS LÄN</t>
        </is>
      </c>
      <c r="E4392" t="inlineStr">
        <is>
          <t>SUNDSVALL</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63806-2021</t>
        </is>
      </c>
      <c r="B4393" s="1" t="n">
        <v>44508</v>
      </c>
      <c r="C4393" s="1" t="n">
        <v>45212</v>
      </c>
      <c r="D4393" t="inlineStr">
        <is>
          <t>VÄSTERNORRLANDS LÄN</t>
        </is>
      </c>
      <c r="E4393" t="inlineStr">
        <is>
          <t>ÖRNSKÖLDSVIK</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63426-2021</t>
        </is>
      </c>
      <c r="B4394" s="1" t="n">
        <v>44508</v>
      </c>
      <c r="C4394" s="1" t="n">
        <v>45212</v>
      </c>
      <c r="D4394" t="inlineStr">
        <is>
          <t>VÄSTERNORRLANDS LÄN</t>
        </is>
      </c>
      <c r="E4394" t="inlineStr">
        <is>
          <t>ÖRNSKÖLDSVIK</t>
        </is>
      </c>
      <c r="F4394" t="inlineStr">
        <is>
          <t>Holmen skog AB</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63446-2021</t>
        </is>
      </c>
      <c r="B4395" s="1" t="n">
        <v>44508</v>
      </c>
      <c r="C4395" s="1" t="n">
        <v>45212</v>
      </c>
      <c r="D4395" t="inlineStr">
        <is>
          <t>VÄSTERNORRLANDS LÄN</t>
        </is>
      </c>
      <c r="E4395" t="inlineStr">
        <is>
          <t>KRAMFORS</t>
        </is>
      </c>
      <c r="G4395" t="n">
        <v>4.5</v>
      </c>
      <c r="H4395" t="n">
        <v>0</v>
      </c>
      <c r="I4395" t="n">
        <v>0</v>
      </c>
      <c r="J4395" t="n">
        <v>0</v>
      </c>
      <c r="K4395" t="n">
        <v>0</v>
      </c>
      <c r="L4395" t="n">
        <v>0</v>
      </c>
      <c r="M4395" t="n">
        <v>0</v>
      </c>
      <c r="N4395" t="n">
        <v>0</v>
      </c>
      <c r="O4395" t="n">
        <v>0</v>
      </c>
      <c r="P4395" t="n">
        <v>0</v>
      </c>
      <c r="Q4395" t="n">
        <v>0</v>
      </c>
      <c r="R4395" s="2" t="inlineStr"/>
    </row>
    <row r="4396" ht="15" customHeight="1">
      <c r="A4396" t="inlineStr">
        <is>
          <t>A 63545-2021</t>
        </is>
      </c>
      <c r="B4396" s="1" t="n">
        <v>44508</v>
      </c>
      <c r="C4396" s="1" t="n">
        <v>45212</v>
      </c>
      <c r="D4396" t="inlineStr">
        <is>
          <t>VÄSTERNORRLANDS LÄN</t>
        </is>
      </c>
      <c r="E4396" t="inlineStr">
        <is>
          <t>ÖRNSKÖLDSVIK</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63651-2021</t>
        </is>
      </c>
      <c r="B4397" s="1" t="n">
        <v>44508</v>
      </c>
      <c r="C4397" s="1" t="n">
        <v>45212</v>
      </c>
      <c r="D4397" t="inlineStr">
        <is>
          <t>VÄSTERNORRLANDS LÄN</t>
        </is>
      </c>
      <c r="E4397" t="inlineStr">
        <is>
          <t>SUNDSVALL</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63434-2021</t>
        </is>
      </c>
      <c r="B4398" s="1" t="n">
        <v>44508</v>
      </c>
      <c r="C4398" s="1" t="n">
        <v>45212</v>
      </c>
      <c r="D4398" t="inlineStr">
        <is>
          <t>VÄSTERNORRLANDS LÄN</t>
        </is>
      </c>
      <c r="E4398" t="inlineStr">
        <is>
          <t>KRAMFORS</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63452-2021</t>
        </is>
      </c>
      <c r="B4399" s="1" t="n">
        <v>44508</v>
      </c>
      <c r="C4399" s="1" t="n">
        <v>45212</v>
      </c>
      <c r="D4399" t="inlineStr">
        <is>
          <t>VÄSTERNORRLANDS LÄN</t>
        </is>
      </c>
      <c r="E4399" t="inlineStr">
        <is>
          <t>ÖRNSKÖLDSVIK</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63661-2021</t>
        </is>
      </c>
      <c r="B4400" s="1" t="n">
        <v>44508</v>
      </c>
      <c r="C4400" s="1" t="n">
        <v>45212</v>
      </c>
      <c r="D4400" t="inlineStr">
        <is>
          <t>VÄSTERNORRLANDS LÄN</t>
        </is>
      </c>
      <c r="E4400" t="inlineStr">
        <is>
          <t>SUNDSVALL</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64116-2021</t>
        </is>
      </c>
      <c r="B4401" s="1" t="n">
        <v>44509</v>
      </c>
      <c r="C4401" s="1" t="n">
        <v>45212</v>
      </c>
      <c r="D4401" t="inlineStr">
        <is>
          <t>VÄSTERNORRLANDS LÄN</t>
        </is>
      </c>
      <c r="E4401" t="inlineStr">
        <is>
          <t>ÖRNSKÖLDSVIK</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63784-2021</t>
        </is>
      </c>
      <c r="B4402" s="1" t="n">
        <v>44509</v>
      </c>
      <c r="C4402" s="1" t="n">
        <v>45212</v>
      </c>
      <c r="D4402" t="inlineStr">
        <is>
          <t>VÄSTERNORRLANDS LÄN</t>
        </is>
      </c>
      <c r="E4402" t="inlineStr">
        <is>
          <t>ÖRNSKÖLDSVIK</t>
        </is>
      </c>
      <c r="F4402" t="inlineStr">
        <is>
          <t>Holmen skog AB</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63836-2021</t>
        </is>
      </c>
      <c r="B4403" s="1" t="n">
        <v>44509</v>
      </c>
      <c r="C4403" s="1" t="n">
        <v>45212</v>
      </c>
      <c r="D4403" t="inlineStr">
        <is>
          <t>VÄSTERNORRLANDS LÄN</t>
        </is>
      </c>
      <c r="E4403" t="inlineStr">
        <is>
          <t>ÅNGE</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64113-2021</t>
        </is>
      </c>
      <c r="B4404" s="1" t="n">
        <v>44509</v>
      </c>
      <c r="C4404" s="1" t="n">
        <v>45212</v>
      </c>
      <c r="D4404" t="inlineStr">
        <is>
          <t>VÄSTERNORRLANDS LÄN</t>
        </is>
      </c>
      <c r="E4404" t="inlineStr">
        <is>
          <t>ÖRNSKÖLDSVIK</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64108-2021</t>
        </is>
      </c>
      <c r="B4405" s="1" t="n">
        <v>44509</v>
      </c>
      <c r="C4405" s="1" t="n">
        <v>45212</v>
      </c>
      <c r="D4405" t="inlineStr">
        <is>
          <t>VÄSTERNORRLANDS LÄN</t>
        </is>
      </c>
      <c r="E4405" t="inlineStr">
        <is>
          <t>ÖRNSKÖLDSVIK</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64018-2021</t>
        </is>
      </c>
      <c r="B4406" s="1" t="n">
        <v>44510</v>
      </c>
      <c r="C4406" s="1" t="n">
        <v>45212</v>
      </c>
      <c r="D4406" t="inlineStr">
        <is>
          <t>VÄSTERNORRLANDS LÄN</t>
        </is>
      </c>
      <c r="E4406" t="inlineStr">
        <is>
          <t>ÖRNSKÖLDSVIK</t>
        </is>
      </c>
      <c r="F4406" t="inlineStr">
        <is>
          <t>Holmen skog AB</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64054-2021</t>
        </is>
      </c>
      <c r="B4407" s="1" t="n">
        <v>44510</v>
      </c>
      <c r="C4407" s="1" t="n">
        <v>45212</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64433-2021</t>
        </is>
      </c>
      <c r="B4408" s="1" t="n">
        <v>44511</v>
      </c>
      <c r="C4408" s="1" t="n">
        <v>45212</v>
      </c>
      <c r="D4408" t="inlineStr">
        <is>
          <t>VÄSTERNORRLANDS LÄN</t>
        </is>
      </c>
      <c r="E4408" t="inlineStr">
        <is>
          <t>TIMRÅ</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64638-2021</t>
        </is>
      </c>
      <c r="B4409" s="1" t="n">
        <v>44511</v>
      </c>
      <c r="C4409" s="1" t="n">
        <v>45212</v>
      </c>
      <c r="D4409" t="inlineStr">
        <is>
          <t>VÄSTERNORRLANDS LÄN</t>
        </is>
      </c>
      <c r="E4409" t="inlineStr">
        <is>
          <t>SOLLEFTEÅ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64381-2021</t>
        </is>
      </c>
      <c r="B4410" s="1" t="n">
        <v>44511</v>
      </c>
      <c r="C4410" s="1" t="n">
        <v>45212</v>
      </c>
      <c r="D4410" t="inlineStr">
        <is>
          <t>VÄSTERNORRLANDS LÄN</t>
        </is>
      </c>
      <c r="E4410" t="inlineStr">
        <is>
          <t>ÖRNSKÖLDSVIK</t>
        </is>
      </c>
      <c r="F4410" t="inlineStr">
        <is>
          <t>Holmen skog AB</t>
        </is>
      </c>
      <c r="G4410" t="n">
        <v>7.1</v>
      </c>
      <c r="H4410" t="n">
        <v>0</v>
      </c>
      <c r="I4410" t="n">
        <v>0</v>
      </c>
      <c r="J4410" t="n">
        <v>0</v>
      </c>
      <c r="K4410" t="n">
        <v>0</v>
      </c>
      <c r="L4410" t="n">
        <v>0</v>
      </c>
      <c r="M4410" t="n">
        <v>0</v>
      </c>
      <c r="N4410" t="n">
        <v>0</v>
      </c>
      <c r="O4410" t="n">
        <v>0</v>
      </c>
      <c r="P4410" t="n">
        <v>0</v>
      </c>
      <c r="Q4410" t="n">
        <v>0</v>
      </c>
      <c r="R4410" s="2" t="inlineStr"/>
    </row>
    <row r="4411" ht="15" customHeight="1">
      <c r="A4411" t="inlineStr">
        <is>
          <t>A 64390-2021</t>
        </is>
      </c>
      <c r="B4411" s="1" t="n">
        <v>44511</v>
      </c>
      <c r="C4411" s="1" t="n">
        <v>45212</v>
      </c>
      <c r="D4411" t="inlineStr">
        <is>
          <t>VÄSTERNORRLANDS LÄN</t>
        </is>
      </c>
      <c r="E4411" t="inlineStr">
        <is>
          <t>ÖRNSKÖLDSVIK</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64437-2021</t>
        </is>
      </c>
      <c r="B4412" s="1" t="n">
        <v>44511</v>
      </c>
      <c r="C4412" s="1" t="n">
        <v>45212</v>
      </c>
      <c r="D4412" t="inlineStr">
        <is>
          <t>VÄSTERNORRLANDS LÄN</t>
        </is>
      </c>
      <c r="E4412" t="inlineStr">
        <is>
          <t>ÖRNSKÖLDSVIK</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64478-2021</t>
        </is>
      </c>
      <c r="B4413" s="1" t="n">
        <v>44511</v>
      </c>
      <c r="C4413" s="1" t="n">
        <v>45212</v>
      </c>
      <c r="D4413" t="inlineStr">
        <is>
          <t>VÄSTERNORRLANDS LÄN</t>
        </is>
      </c>
      <c r="E4413" t="inlineStr">
        <is>
          <t>SUNDSVALL</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64542-2021</t>
        </is>
      </c>
      <c r="B4414" s="1" t="n">
        <v>44511</v>
      </c>
      <c r="C4414" s="1" t="n">
        <v>45212</v>
      </c>
      <c r="D4414" t="inlineStr">
        <is>
          <t>VÄSTERNORRLANDS LÄN</t>
        </is>
      </c>
      <c r="E4414" t="inlineStr">
        <is>
          <t>ÖRNSKÖLDSVIK</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64641-2021</t>
        </is>
      </c>
      <c r="B4415" s="1" t="n">
        <v>44511</v>
      </c>
      <c r="C4415" s="1" t="n">
        <v>45212</v>
      </c>
      <c r="D4415" t="inlineStr">
        <is>
          <t>VÄSTERNORRLANDS LÄN</t>
        </is>
      </c>
      <c r="E4415" t="inlineStr">
        <is>
          <t>SUNDSVALL</t>
        </is>
      </c>
      <c r="F4415" t="inlineStr">
        <is>
          <t>SCA</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65555-2021</t>
        </is>
      </c>
      <c r="B4416" s="1" t="n">
        <v>44511</v>
      </c>
      <c r="C4416" s="1" t="n">
        <v>45212</v>
      </c>
      <c r="D4416" t="inlineStr">
        <is>
          <t>VÄSTERNORRLANDS LÄN</t>
        </is>
      </c>
      <c r="E4416" t="inlineStr">
        <is>
          <t>KRAMFORS</t>
        </is>
      </c>
      <c r="G4416" t="n">
        <v>10</v>
      </c>
      <c r="H4416" t="n">
        <v>0</v>
      </c>
      <c r="I4416" t="n">
        <v>0</v>
      </c>
      <c r="J4416" t="n">
        <v>0</v>
      </c>
      <c r="K4416" t="n">
        <v>0</v>
      </c>
      <c r="L4416" t="n">
        <v>0</v>
      </c>
      <c r="M4416" t="n">
        <v>0</v>
      </c>
      <c r="N4416" t="n">
        <v>0</v>
      </c>
      <c r="O4416" t="n">
        <v>0</v>
      </c>
      <c r="P4416" t="n">
        <v>0</v>
      </c>
      <c r="Q4416" t="n">
        <v>0</v>
      </c>
      <c r="R4416" s="2" t="inlineStr"/>
    </row>
    <row r="4417" ht="15" customHeight="1">
      <c r="A4417" t="inlineStr">
        <is>
          <t>A 64367-2021</t>
        </is>
      </c>
      <c r="B4417" s="1" t="n">
        <v>44511</v>
      </c>
      <c r="C4417" s="1" t="n">
        <v>45212</v>
      </c>
      <c r="D4417" t="inlineStr">
        <is>
          <t>VÄSTERNORRLANDS LÄN</t>
        </is>
      </c>
      <c r="E4417" t="inlineStr">
        <is>
          <t>SUNDSVALL</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64440-2021</t>
        </is>
      </c>
      <c r="B4418" s="1" t="n">
        <v>44511</v>
      </c>
      <c r="C4418" s="1" t="n">
        <v>45212</v>
      </c>
      <c r="D4418" t="inlineStr">
        <is>
          <t>VÄSTERNORRLANDS LÄN</t>
        </is>
      </c>
      <c r="E4418" t="inlineStr">
        <is>
          <t>KRAMFORS</t>
        </is>
      </c>
      <c r="G4418" t="n">
        <v>7.5</v>
      </c>
      <c r="H4418" t="n">
        <v>0</v>
      </c>
      <c r="I4418" t="n">
        <v>0</v>
      </c>
      <c r="J4418" t="n">
        <v>0</v>
      </c>
      <c r="K4418" t="n">
        <v>0</v>
      </c>
      <c r="L4418" t="n">
        <v>0</v>
      </c>
      <c r="M4418" t="n">
        <v>0</v>
      </c>
      <c r="N4418" t="n">
        <v>0</v>
      </c>
      <c r="O4418" t="n">
        <v>0</v>
      </c>
      <c r="P4418" t="n">
        <v>0</v>
      </c>
      <c r="Q4418" t="n">
        <v>0</v>
      </c>
      <c r="R4418" s="2" t="inlineStr"/>
    </row>
    <row r="4419" ht="15" customHeight="1">
      <c r="A4419" t="inlineStr">
        <is>
          <t>A 64714-2021</t>
        </is>
      </c>
      <c r="B4419" s="1" t="n">
        <v>44512</v>
      </c>
      <c r="C4419" s="1" t="n">
        <v>45212</v>
      </c>
      <c r="D4419" t="inlineStr">
        <is>
          <t>VÄSTERNORRLANDS LÄN</t>
        </is>
      </c>
      <c r="E4419" t="inlineStr">
        <is>
          <t>ÖRNSKÖLDSVIK</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64922-2021</t>
        </is>
      </c>
      <c r="B4420" s="1" t="n">
        <v>44512</v>
      </c>
      <c r="C4420" s="1" t="n">
        <v>45212</v>
      </c>
      <c r="D4420" t="inlineStr">
        <is>
          <t>VÄSTERNORRLANDS LÄN</t>
        </is>
      </c>
      <c r="E4420" t="inlineStr">
        <is>
          <t>SUNDSVALL</t>
        </is>
      </c>
      <c r="F4420" t="inlineStr">
        <is>
          <t>Kommuner</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64939-2021</t>
        </is>
      </c>
      <c r="B4421" s="1" t="n">
        <v>44512</v>
      </c>
      <c r="C4421" s="1" t="n">
        <v>45212</v>
      </c>
      <c r="D4421" t="inlineStr">
        <is>
          <t>VÄSTERNORRLANDS LÄN</t>
        </is>
      </c>
      <c r="E4421" t="inlineStr">
        <is>
          <t>SOLLEFTEÅ</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64722-2021</t>
        </is>
      </c>
      <c r="B4422" s="1" t="n">
        <v>44512</v>
      </c>
      <c r="C4422" s="1" t="n">
        <v>45212</v>
      </c>
      <c r="D4422" t="inlineStr">
        <is>
          <t>VÄSTERNORRLANDS LÄN</t>
        </is>
      </c>
      <c r="E4422" t="inlineStr">
        <is>
          <t>ÖRNSKÖLDSVIK</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64911-2021</t>
        </is>
      </c>
      <c r="B4423" s="1" t="n">
        <v>44512</v>
      </c>
      <c r="C4423" s="1" t="n">
        <v>45212</v>
      </c>
      <c r="D4423" t="inlineStr">
        <is>
          <t>VÄSTERNORRLANDS LÄN</t>
        </is>
      </c>
      <c r="E4423" t="inlineStr">
        <is>
          <t>ÖRNSKÖLDSVIK</t>
        </is>
      </c>
      <c r="G4423" t="n">
        <v>3.5</v>
      </c>
      <c r="H4423" t="n">
        <v>0</v>
      </c>
      <c r="I4423" t="n">
        <v>0</v>
      </c>
      <c r="J4423" t="n">
        <v>0</v>
      </c>
      <c r="K4423" t="n">
        <v>0</v>
      </c>
      <c r="L4423" t="n">
        <v>0</v>
      </c>
      <c r="M4423" t="n">
        <v>0</v>
      </c>
      <c r="N4423" t="n">
        <v>0</v>
      </c>
      <c r="O4423" t="n">
        <v>0</v>
      </c>
      <c r="P4423" t="n">
        <v>0</v>
      </c>
      <c r="Q4423" t="n">
        <v>0</v>
      </c>
      <c r="R4423" s="2" t="inlineStr"/>
    </row>
    <row r="4424" ht="15" customHeight="1">
      <c r="A4424" t="inlineStr">
        <is>
          <t>A 64933-2021</t>
        </is>
      </c>
      <c r="B4424" s="1" t="n">
        <v>44512</v>
      </c>
      <c r="C4424" s="1" t="n">
        <v>45212</v>
      </c>
      <c r="D4424" t="inlineStr">
        <is>
          <t>VÄSTERNORRLANDS LÄN</t>
        </is>
      </c>
      <c r="E4424" t="inlineStr">
        <is>
          <t>HÄRNÖSAND</t>
        </is>
      </c>
      <c r="G4424" t="n">
        <v>7.1</v>
      </c>
      <c r="H4424" t="n">
        <v>0</v>
      </c>
      <c r="I4424" t="n">
        <v>0</v>
      </c>
      <c r="J4424" t="n">
        <v>0</v>
      </c>
      <c r="K4424" t="n">
        <v>0</v>
      </c>
      <c r="L4424" t="n">
        <v>0</v>
      </c>
      <c r="M4424" t="n">
        <v>0</v>
      </c>
      <c r="N4424" t="n">
        <v>0</v>
      </c>
      <c r="O4424" t="n">
        <v>0</v>
      </c>
      <c r="P4424" t="n">
        <v>0</v>
      </c>
      <c r="Q4424" t="n">
        <v>0</v>
      </c>
      <c r="R4424" s="2" t="inlineStr"/>
    </row>
    <row r="4425" ht="15" customHeight="1">
      <c r="A4425" t="inlineStr">
        <is>
          <t>A 64962-2021</t>
        </is>
      </c>
      <c r="B4425" s="1" t="n">
        <v>44512</v>
      </c>
      <c r="C4425" s="1" t="n">
        <v>45212</v>
      </c>
      <c r="D4425" t="inlineStr">
        <is>
          <t>VÄSTERNORRLANDS LÄN</t>
        </is>
      </c>
      <c r="E4425" t="inlineStr">
        <is>
          <t>ÅNGE</t>
        </is>
      </c>
      <c r="F4425" t="inlineStr">
        <is>
          <t>SCA</t>
        </is>
      </c>
      <c r="G4425" t="n">
        <v>4.2</v>
      </c>
      <c r="H4425" t="n">
        <v>0</v>
      </c>
      <c r="I4425" t="n">
        <v>0</v>
      </c>
      <c r="J4425" t="n">
        <v>0</v>
      </c>
      <c r="K4425" t="n">
        <v>0</v>
      </c>
      <c r="L4425" t="n">
        <v>0</v>
      </c>
      <c r="M4425" t="n">
        <v>0</v>
      </c>
      <c r="N4425" t="n">
        <v>0</v>
      </c>
      <c r="O4425" t="n">
        <v>0</v>
      </c>
      <c r="P4425" t="n">
        <v>0</v>
      </c>
      <c r="Q4425" t="n">
        <v>0</v>
      </c>
      <c r="R4425" s="2" t="inlineStr"/>
    </row>
    <row r="4426" ht="15" customHeight="1">
      <c r="A4426" t="inlineStr">
        <is>
          <t>A 65034-2021</t>
        </is>
      </c>
      <c r="B4426" s="1" t="n">
        <v>44512</v>
      </c>
      <c r="C4426" s="1" t="n">
        <v>45212</v>
      </c>
      <c r="D4426" t="inlineStr">
        <is>
          <t>VÄSTERNORRLANDS LÄN</t>
        </is>
      </c>
      <c r="E4426" t="inlineStr">
        <is>
          <t>HÄRNÖSAND</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64682-2021</t>
        </is>
      </c>
      <c r="B4427" s="1" t="n">
        <v>44512</v>
      </c>
      <c r="C4427" s="1" t="n">
        <v>45212</v>
      </c>
      <c r="D4427" t="inlineStr">
        <is>
          <t>VÄSTERNORRLANDS LÄN</t>
        </is>
      </c>
      <c r="E4427" t="inlineStr">
        <is>
          <t>HÄRNÖSAND</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64917-2021</t>
        </is>
      </c>
      <c r="B4428" s="1" t="n">
        <v>44512</v>
      </c>
      <c r="C4428" s="1" t="n">
        <v>45212</v>
      </c>
      <c r="D4428" t="inlineStr">
        <is>
          <t>VÄSTERNORRLANDS LÄN</t>
        </is>
      </c>
      <c r="E4428" t="inlineStr">
        <is>
          <t>SUNDSVALL</t>
        </is>
      </c>
      <c r="F4428" t="inlineStr">
        <is>
          <t>Kommuner</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64987-2021</t>
        </is>
      </c>
      <c r="B4429" s="1" t="n">
        <v>44514</v>
      </c>
      <c r="C4429" s="1" t="n">
        <v>45212</v>
      </c>
      <c r="D4429" t="inlineStr">
        <is>
          <t>VÄSTERNORRLANDS LÄN</t>
        </is>
      </c>
      <c r="E4429" t="inlineStr">
        <is>
          <t>ÖRNSKÖLDSVIK</t>
        </is>
      </c>
      <c r="G4429" t="n">
        <v>4.2</v>
      </c>
      <c r="H4429" t="n">
        <v>0</v>
      </c>
      <c r="I4429" t="n">
        <v>0</v>
      </c>
      <c r="J4429" t="n">
        <v>0</v>
      </c>
      <c r="K4429" t="n">
        <v>0</v>
      </c>
      <c r="L4429" t="n">
        <v>0</v>
      </c>
      <c r="M4429" t="n">
        <v>0</v>
      </c>
      <c r="N4429" t="n">
        <v>0</v>
      </c>
      <c r="O4429" t="n">
        <v>0</v>
      </c>
      <c r="P4429" t="n">
        <v>0</v>
      </c>
      <c r="Q4429" t="n">
        <v>0</v>
      </c>
      <c r="R4429" s="2" t="inlineStr"/>
    </row>
    <row r="4430" ht="15" customHeight="1">
      <c r="A4430" t="inlineStr">
        <is>
          <t>A 65009-2021</t>
        </is>
      </c>
      <c r="B4430" s="1" t="n">
        <v>44514</v>
      </c>
      <c r="C4430" s="1" t="n">
        <v>45212</v>
      </c>
      <c r="D4430" t="inlineStr">
        <is>
          <t>VÄSTERNORRLANDS LÄN</t>
        </is>
      </c>
      <c r="E4430" t="inlineStr">
        <is>
          <t>SOLLEFTEÅ</t>
        </is>
      </c>
      <c r="G4430" t="n">
        <v>17.3</v>
      </c>
      <c r="H4430" t="n">
        <v>0</v>
      </c>
      <c r="I4430" t="n">
        <v>0</v>
      </c>
      <c r="J4430" t="n">
        <v>0</v>
      </c>
      <c r="K4430" t="n">
        <v>0</v>
      </c>
      <c r="L4430" t="n">
        <v>0</v>
      </c>
      <c r="M4430" t="n">
        <v>0</v>
      </c>
      <c r="N4430" t="n">
        <v>0</v>
      </c>
      <c r="O4430" t="n">
        <v>0</v>
      </c>
      <c r="P4430" t="n">
        <v>0</v>
      </c>
      <c r="Q4430" t="n">
        <v>0</v>
      </c>
      <c r="R4430" s="2" t="inlineStr"/>
    </row>
    <row r="4431" ht="15" customHeight="1">
      <c r="A4431" t="inlineStr">
        <is>
          <t>A 65189-2021</t>
        </is>
      </c>
      <c r="B4431" s="1" t="n">
        <v>44515</v>
      </c>
      <c r="C4431" s="1" t="n">
        <v>45212</v>
      </c>
      <c r="D4431" t="inlineStr">
        <is>
          <t>VÄSTERNORRLANDS LÄN</t>
        </is>
      </c>
      <c r="E4431" t="inlineStr">
        <is>
          <t>ÖRNSKÖLDSVIK</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65435-2021</t>
        </is>
      </c>
      <c r="B4432" s="1" t="n">
        <v>44515</v>
      </c>
      <c r="C4432" s="1" t="n">
        <v>45212</v>
      </c>
      <c r="D4432" t="inlineStr">
        <is>
          <t>VÄSTERNORRLANDS LÄN</t>
        </is>
      </c>
      <c r="E4432" t="inlineStr">
        <is>
          <t>ÅNGE</t>
        </is>
      </c>
      <c r="F4432" t="inlineStr">
        <is>
          <t>SCA</t>
        </is>
      </c>
      <c r="G4432" t="n">
        <v>3.6</v>
      </c>
      <c r="H4432" t="n">
        <v>0</v>
      </c>
      <c r="I4432" t="n">
        <v>0</v>
      </c>
      <c r="J4432" t="n">
        <v>0</v>
      </c>
      <c r="K4432" t="n">
        <v>0</v>
      </c>
      <c r="L4432" t="n">
        <v>0</v>
      </c>
      <c r="M4432" t="n">
        <v>0</v>
      </c>
      <c r="N4432" t="n">
        <v>0</v>
      </c>
      <c r="O4432" t="n">
        <v>0</v>
      </c>
      <c r="P4432" t="n">
        <v>0</v>
      </c>
      <c r="Q4432" t="n">
        <v>0</v>
      </c>
      <c r="R4432" s="2" t="inlineStr"/>
    </row>
    <row r="4433" ht="15" customHeight="1">
      <c r="A4433" t="inlineStr">
        <is>
          <t>A 65229-2021</t>
        </is>
      </c>
      <c r="B4433" s="1" t="n">
        <v>44515</v>
      </c>
      <c r="C4433" s="1" t="n">
        <v>45212</v>
      </c>
      <c r="D4433" t="inlineStr">
        <is>
          <t>VÄSTERNORRLANDS LÄN</t>
        </is>
      </c>
      <c r="E4433" t="inlineStr">
        <is>
          <t>ÅNGE</t>
        </is>
      </c>
      <c r="G4433" t="n">
        <v>12.1</v>
      </c>
      <c r="H4433" t="n">
        <v>0</v>
      </c>
      <c r="I4433" t="n">
        <v>0</v>
      </c>
      <c r="J4433" t="n">
        <v>0</v>
      </c>
      <c r="K4433" t="n">
        <v>0</v>
      </c>
      <c r="L4433" t="n">
        <v>0</v>
      </c>
      <c r="M4433" t="n">
        <v>0</v>
      </c>
      <c r="N4433" t="n">
        <v>0</v>
      </c>
      <c r="O4433" t="n">
        <v>0</v>
      </c>
      <c r="P4433" t="n">
        <v>0</v>
      </c>
      <c r="Q4433" t="n">
        <v>0</v>
      </c>
      <c r="R4433" s="2" t="inlineStr"/>
    </row>
    <row r="4434" ht="15" customHeight="1">
      <c r="A4434" t="inlineStr">
        <is>
          <t>A 65419-2021</t>
        </is>
      </c>
      <c r="B4434" s="1" t="n">
        <v>44515</v>
      </c>
      <c r="C4434" s="1" t="n">
        <v>45212</v>
      </c>
      <c r="D4434" t="inlineStr">
        <is>
          <t>VÄSTERNORRLANDS LÄN</t>
        </is>
      </c>
      <c r="E4434" t="inlineStr">
        <is>
          <t>SOLLEFTEÅ</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65577-2021</t>
        </is>
      </c>
      <c r="B4435" s="1" t="n">
        <v>44516</v>
      </c>
      <c r="C4435" s="1" t="n">
        <v>45212</v>
      </c>
      <c r="D4435" t="inlineStr">
        <is>
          <t>VÄSTERNORRLANDS LÄN</t>
        </is>
      </c>
      <c r="E4435" t="inlineStr">
        <is>
          <t>ÖRNSKÖLDSVIK</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65743-2021</t>
        </is>
      </c>
      <c r="B4436" s="1" t="n">
        <v>44516</v>
      </c>
      <c r="C4436" s="1" t="n">
        <v>45212</v>
      </c>
      <c r="D4436" t="inlineStr">
        <is>
          <t>VÄSTERNORRLANDS LÄN</t>
        </is>
      </c>
      <c r="E4436" t="inlineStr">
        <is>
          <t>SUNDSVALL</t>
        </is>
      </c>
      <c r="F4436" t="inlineStr">
        <is>
          <t>Kommuner</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65785-2021</t>
        </is>
      </c>
      <c r="B4437" s="1" t="n">
        <v>44516</v>
      </c>
      <c r="C4437" s="1" t="n">
        <v>45212</v>
      </c>
      <c r="D4437" t="inlineStr">
        <is>
          <t>VÄSTERNORRLANDS LÄN</t>
        </is>
      </c>
      <c r="E4437" t="inlineStr">
        <is>
          <t>ÖRNSKÖLDSVIK</t>
        </is>
      </c>
      <c r="F4437" t="inlineStr">
        <is>
          <t>SCA</t>
        </is>
      </c>
      <c r="G4437" t="n">
        <v>2.2</v>
      </c>
      <c r="H4437" t="n">
        <v>0</v>
      </c>
      <c r="I4437" t="n">
        <v>0</v>
      </c>
      <c r="J4437" t="n">
        <v>0</v>
      </c>
      <c r="K4437" t="n">
        <v>0</v>
      </c>
      <c r="L4437" t="n">
        <v>0</v>
      </c>
      <c r="M4437" t="n">
        <v>0</v>
      </c>
      <c r="N4437" t="n">
        <v>0</v>
      </c>
      <c r="O4437" t="n">
        <v>0</v>
      </c>
      <c r="P4437" t="n">
        <v>0</v>
      </c>
      <c r="Q4437" t="n">
        <v>0</v>
      </c>
      <c r="R4437" s="2" t="inlineStr"/>
    </row>
    <row r="4438" ht="15" customHeight="1">
      <c r="A4438" t="inlineStr">
        <is>
          <t>A 65696-2021</t>
        </is>
      </c>
      <c r="B4438" s="1" t="n">
        <v>44516</v>
      </c>
      <c r="C4438" s="1" t="n">
        <v>45212</v>
      </c>
      <c r="D4438" t="inlineStr">
        <is>
          <t>VÄSTERNORRLANDS LÄN</t>
        </is>
      </c>
      <c r="E4438" t="inlineStr">
        <is>
          <t>SUNDSVALL</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65829-2021</t>
        </is>
      </c>
      <c r="B4439" s="1" t="n">
        <v>44516</v>
      </c>
      <c r="C4439" s="1" t="n">
        <v>45212</v>
      </c>
      <c r="D4439" t="inlineStr">
        <is>
          <t>VÄSTERNORRLANDS LÄN</t>
        </is>
      </c>
      <c r="E4439" t="inlineStr">
        <is>
          <t>KRAMFORS</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65768-2021</t>
        </is>
      </c>
      <c r="B4440" s="1" t="n">
        <v>44516</v>
      </c>
      <c r="C4440" s="1" t="n">
        <v>45212</v>
      </c>
      <c r="D4440" t="inlineStr">
        <is>
          <t>VÄSTERNORRLANDS LÄN</t>
        </is>
      </c>
      <c r="E4440" t="inlineStr">
        <is>
          <t>KRAMFORS</t>
        </is>
      </c>
      <c r="G4440" t="n">
        <v>3</v>
      </c>
      <c r="H4440" t="n">
        <v>0</v>
      </c>
      <c r="I4440" t="n">
        <v>0</v>
      </c>
      <c r="J4440" t="n">
        <v>0</v>
      </c>
      <c r="K4440" t="n">
        <v>0</v>
      </c>
      <c r="L4440" t="n">
        <v>0</v>
      </c>
      <c r="M4440" t="n">
        <v>0</v>
      </c>
      <c r="N4440" t="n">
        <v>0</v>
      </c>
      <c r="O4440" t="n">
        <v>0</v>
      </c>
      <c r="P4440" t="n">
        <v>0</v>
      </c>
      <c r="Q4440" t="n">
        <v>0</v>
      </c>
      <c r="R4440" s="2" t="inlineStr"/>
    </row>
    <row r="4441" ht="15" customHeight="1">
      <c r="A4441" t="inlineStr">
        <is>
          <t>A 66162-2021</t>
        </is>
      </c>
      <c r="B4441" s="1" t="n">
        <v>44517</v>
      </c>
      <c r="C4441" s="1" t="n">
        <v>45212</v>
      </c>
      <c r="D4441" t="inlineStr">
        <is>
          <t>VÄSTERNORRLANDS LÄN</t>
        </is>
      </c>
      <c r="E4441" t="inlineStr">
        <is>
          <t>HÄRNÖSAND</t>
        </is>
      </c>
      <c r="F4441" t="inlineStr">
        <is>
          <t>SCA</t>
        </is>
      </c>
      <c r="G4441" t="n">
        <v>9.4</v>
      </c>
      <c r="H4441" t="n">
        <v>0</v>
      </c>
      <c r="I4441" t="n">
        <v>0</v>
      </c>
      <c r="J4441" t="n">
        <v>0</v>
      </c>
      <c r="K4441" t="n">
        <v>0</v>
      </c>
      <c r="L4441" t="n">
        <v>0</v>
      </c>
      <c r="M4441" t="n">
        <v>0</v>
      </c>
      <c r="N4441" t="n">
        <v>0</v>
      </c>
      <c r="O4441" t="n">
        <v>0</v>
      </c>
      <c r="P4441" t="n">
        <v>0</v>
      </c>
      <c r="Q4441" t="n">
        <v>0</v>
      </c>
      <c r="R4441" s="2" t="inlineStr"/>
    </row>
    <row r="4442" ht="15" customHeight="1">
      <c r="A4442" t="inlineStr">
        <is>
          <t>A 66191-2021</t>
        </is>
      </c>
      <c r="B4442" s="1" t="n">
        <v>44517</v>
      </c>
      <c r="C4442" s="1" t="n">
        <v>45212</v>
      </c>
      <c r="D4442" t="inlineStr">
        <is>
          <t>VÄSTERNORRLANDS LÄN</t>
        </is>
      </c>
      <c r="E4442" t="inlineStr">
        <is>
          <t>SUNDSVALL</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66159-2021</t>
        </is>
      </c>
      <c r="B4443" s="1" t="n">
        <v>44517</v>
      </c>
      <c r="C4443" s="1" t="n">
        <v>45212</v>
      </c>
      <c r="D4443" t="inlineStr">
        <is>
          <t>VÄSTERNORRLANDS LÄN</t>
        </is>
      </c>
      <c r="E4443" t="inlineStr">
        <is>
          <t>HÄRNÖSAND</t>
        </is>
      </c>
      <c r="F4443" t="inlineStr">
        <is>
          <t>SCA</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66178-2021</t>
        </is>
      </c>
      <c r="B4444" s="1" t="n">
        <v>44517</v>
      </c>
      <c r="C4444" s="1" t="n">
        <v>45212</v>
      </c>
      <c r="D4444" t="inlineStr">
        <is>
          <t>VÄSTERNORRLANDS LÄN</t>
        </is>
      </c>
      <c r="E4444" t="inlineStr">
        <is>
          <t>SOLLEFTEÅ</t>
        </is>
      </c>
      <c r="F4444" t="inlineStr">
        <is>
          <t>SCA</t>
        </is>
      </c>
      <c r="G4444" t="n">
        <v>31.7</v>
      </c>
      <c r="H4444" t="n">
        <v>0</v>
      </c>
      <c r="I4444" t="n">
        <v>0</v>
      </c>
      <c r="J4444" t="n">
        <v>0</v>
      </c>
      <c r="K4444" t="n">
        <v>0</v>
      </c>
      <c r="L4444" t="n">
        <v>0</v>
      </c>
      <c r="M4444" t="n">
        <v>0</v>
      </c>
      <c r="N4444" t="n">
        <v>0</v>
      </c>
      <c r="O4444" t="n">
        <v>0</v>
      </c>
      <c r="P4444" t="n">
        <v>0</v>
      </c>
      <c r="Q4444" t="n">
        <v>0</v>
      </c>
      <c r="R4444" s="2" t="inlineStr"/>
    </row>
    <row r="4445" ht="15" customHeight="1">
      <c r="A4445" t="inlineStr">
        <is>
          <t>A 66016-2021</t>
        </is>
      </c>
      <c r="B4445" s="1" t="n">
        <v>44517</v>
      </c>
      <c r="C4445" s="1" t="n">
        <v>45212</v>
      </c>
      <c r="D4445" t="inlineStr">
        <is>
          <t>VÄSTERNORRLANDS LÄN</t>
        </is>
      </c>
      <c r="E4445" t="inlineStr">
        <is>
          <t>KRAMFORS</t>
        </is>
      </c>
      <c r="G4445" t="n">
        <v>14.2</v>
      </c>
      <c r="H4445" t="n">
        <v>0</v>
      </c>
      <c r="I4445" t="n">
        <v>0</v>
      </c>
      <c r="J4445" t="n">
        <v>0</v>
      </c>
      <c r="K4445" t="n">
        <v>0</v>
      </c>
      <c r="L4445" t="n">
        <v>0</v>
      </c>
      <c r="M4445" t="n">
        <v>0</v>
      </c>
      <c r="N4445" t="n">
        <v>0</v>
      </c>
      <c r="O4445" t="n">
        <v>0</v>
      </c>
      <c r="P4445" t="n">
        <v>0</v>
      </c>
      <c r="Q4445" t="n">
        <v>0</v>
      </c>
      <c r="R4445" s="2" t="inlineStr"/>
    </row>
    <row r="4446" ht="15" customHeight="1">
      <c r="A4446" t="inlineStr">
        <is>
          <t>A 66027-2021</t>
        </is>
      </c>
      <c r="B4446" s="1" t="n">
        <v>44517</v>
      </c>
      <c r="C4446" s="1" t="n">
        <v>45212</v>
      </c>
      <c r="D4446" t="inlineStr">
        <is>
          <t>VÄSTERNORRLANDS LÄN</t>
        </is>
      </c>
      <c r="E4446" t="inlineStr">
        <is>
          <t>SUNDSVALL</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66154-2021</t>
        </is>
      </c>
      <c r="B4447" s="1" t="n">
        <v>44517</v>
      </c>
      <c r="C4447" s="1" t="n">
        <v>45212</v>
      </c>
      <c r="D4447" t="inlineStr">
        <is>
          <t>VÄSTERNORRLANDS LÄN</t>
        </is>
      </c>
      <c r="E4447" t="inlineStr">
        <is>
          <t>TIMRÅ</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66504-2021</t>
        </is>
      </c>
      <c r="B4448" s="1" t="n">
        <v>44517</v>
      </c>
      <c r="C4448" s="1" t="n">
        <v>45212</v>
      </c>
      <c r="D4448" t="inlineStr">
        <is>
          <t>VÄSTERNORRLANDS LÄN</t>
        </is>
      </c>
      <c r="E4448" t="inlineStr">
        <is>
          <t>ÖRNSKÖLDSVIK</t>
        </is>
      </c>
      <c r="G4448" t="n">
        <v>7</v>
      </c>
      <c r="H4448" t="n">
        <v>0</v>
      </c>
      <c r="I4448" t="n">
        <v>0</v>
      </c>
      <c r="J4448" t="n">
        <v>0</v>
      </c>
      <c r="K4448" t="n">
        <v>0</v>
      </c>
      <c r="L4448" t="n">
        <v>0</v>
      </c>
      <c r="M4448" t="n">
        <v>0</v>
      </c>
      <c r="N4448" t="n">
        <v>0</v>
      </c>
      <c r="O4448" t="n">
        <v>0</v>
      </c>
      <c r="P4448" t="n">
        <v>0</v>
      </c>
      <c r="Q4448" t="n">
        <v>0</v>
      </c>
      <c r="R4448" s="2" t="inlineStr"/>
    </row>
    <row r="4449" ht="15" customHeight="1">
      <c r="A4449" t="inlineStr">
        <is>
          <t>A 66409-2021</t>
        </is>
      </c>
      <c r="B4449" s="1" t="n">
        <v>44518</v>
      </c>
      <c r="C4449" s="1" t="n">
        <v>45212</v>
      </c>
      <c r="D4449" t="inlineStr">
        <is>
          <t>VÄSTERNORRLANDS LÄN</t>
        </is>
      </c>
      <c r="E4449" t="inlineStr">
        <is>
          <t>TIMRÅ</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66481-2021</t>
        </is>
      </c>
      <c r="B4450" s="1" t="n">
        <v>44518</v>
      </c>
      <c r="C4450" s="1" t="n">
        <v>45212</v>
      </c>
      <c r="D4450" t="inlineStr">
        <is>
          <t>VÄSTERNORRLANDS LÄN</t>
        </is>
      </c>
      <c r="E4450" t="inlineStr">
        <is>
          <t>HÄRNÖSAND</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66539-2021</t>
        </is>
      </c>
      <c r="B4451" s="1" t="n">
        <v>44518</v>
      </c>
      <c r="C4451" s="1" t="n">
        <v>45212</v>
      </c>
      <c r="D4451" t="inlineStr">
        <is>
          <t>VÄSTERNORRLANDS LÄN</t>
        </is>
      </c>
      <c r="E4451" t="inlineStr">
        <is>
          <t>KRAMFORS</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66255-2021</t>
        </is>
      </c>
      <c r="B4452" s="1" t="n">
        <v>44518</v>
      </c>
      <c r="C4452" s="1" t="n">
        <v>45212</v>
      </c>
      <c r="D4452" t="inlineStr">
        <is>
          <t>VÄSTERNORRLANDS LÄN</t>
        </is>
      </c>
      <c r="E4452" t="inlineStr">
        <is>
          <t>KRAMFORS</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66262-2021</t>
        </is>
      </c>
      <c r="B4453" s="1" t="n">
        <v>44518</v>
      </c>
      <c r="C4453" s="1" t="n">
        <v>45212</v>
      </c>
      <c r="D4453" t="inlineStr">
        <is>
          <t>VÄSTERNORRLANDS LÄN</t>
        </is>
      </c>
      <c r="E4453" t="inlineStr">
        <is>
          <t>ÅNGE</t>
        </is>
      </c>
      <c r="G4453" t="n">
        <v>4.9</v>
      </c>
      <c r="H4453" t="n">
        <v>0</v>
      </c>
      <c r="I4453" t="n">
        <v>0</v>
      </c>
      <c r="J4453" t="n">
        <v>0</v>
      </c>
      <c r="K4453" t="n">
        <v>0</v>
      </c>
      <c r="L4453" t="n">
        <v>0</v>
      </c>
      <c r="M4453" t="n">
        <v>0</v>
      </c>
      <c r="N4453" t="n">
        <v>0</v>
      </c>
      <c r="O4453" t="n">
        <v>0</v>
      </c>
      <c r="P4453" t="n">
        <v>0</v>
      </c>
      <c r="Q4453" t="n">
        <v>0</v>
      </c>
      <c r="R4453" s="2" t="inlineStr"/>
    </row>
    <row r="4454" ht="15" customHeight="1">
      <c r="A4454" t="inlineStr">
        <is>
          <t>A 66554-2021</t>
        </is>
      </c>
      <c r="B4454" s="1" t="n">
        <v>44519</v>
      </c>
      <c r="C4454" s="1" t="n">
        <v>45212</v>
      </c>
      <c r="D4454" t="inlineStr">
        <is>
          <t>VÄSTERNORRLANDS LÄN</t>
        </is>
      </c>
      <c r="E4454" t="inlineStr">
        <is>
          <t>KRAMFORS</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66560-2021</t>
        </is>
      </c>
      <c r="B4455" s="1" t="n">
        <v>44519</v>
      </c>
      <c r="C4455" s="1" t="n">
        <v>45212</v>
      </c>
      <c r="D4455" t="inlineStr">
        <is>
          <t>VÄSTERNORRLANDS LÄN</t>
        </is>
      </c>
      <c r="E4455" t="inlineStr">
        <is>
          <t>ÅNGE</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66575-2021</t>
        </is>
      </c>
      <c r="B4456" s="1" t="n">
        <v>44519</v>
      </c>
      <c r="C4456" s="1" t="n">
        <v>45212</v>
      </c>
      <c r="D4456" t="inlineStr">
        <is>
          <t>VÄSTERNORRLANDS LÄN</t>
        </is>
      </c>
      <c r="E4456" t="inlineStr">
        <is>
          <t>ÖRNSKÖLDSVIK</t>
        </is>
      </c>
      <c r="G4456" t="n">
        <v>4.8</v>
      </c>
      <c r="H4456" t="n">
        <v>0</v>
      </c>
      <c r="I4456" t="n">
        <v>0</v>
      </c>
      <c r="J4456" t="n">
        <v>0</v>
      </c>
      <c r="K4456" t="n">
        <v>0</v>
      </c>
      <c r="L4456" t="n">
        <v>0</v>
      </c>
      <c r="M4456" t="n">
        <v>0</v>
      </c>
      <c r="N4456" t="n">
        <v>0</v>
      </c>
      <c r="O4456" t="n">
        <v>0</v>
      </c>
      <c r="P4456" t="n">
        <v>0</v>
      </c>
      <c r="Q4456" t="n">
        <v>0</v>
      </c>
      <c r="R4456" s="2" t="inlineStr"/>
    </row>
    <row r="4457" ht="15" customHeight="1">
      <c r="A4457" t="inlineStr">
        <is>
          <t>A 66752-2021</t>
        </is>
      </c>
      <c r="B4457" s="1" t="n">
        <v>44521</v>
      </c>
      <c r="C4457" s="1" t="n">
        <v>45212</v>
      </c>
      <c r="D4457" t="inlineStr">
        <is>
          <t>VÄSTERNORRLANDS LÄN</t>
        </is>
      </c>
      <c r="E4457" t="inlineStr">
        <is>
          <t>ÖRNSKÖLDSVIK</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66749-2021</t>
        </is>
      </c>
      <c r="B4458" s="1" t="n">
        <v>44521</v>
      </c>
      <c r="C4458" s="1" t="n">
        <v>45212</v>
      </c>
      <c r="D4458" t="inlineStr">
        <is>
          <t>VÄSTERNORRLANDS LÄN</t>
        </is>
      </c>
      <c r="E4458" t="inlineStr">
        <is>
          <t>ÖRNSKÖLDSVIK</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66753-2021</t>
        </is>
      </c>
      <c r="B4459" s="1" t="n">
        <v>44521</v>
      </c>
      <c r="C4459" s="1" t="n">
        <v>45212</v>
      </c>
      <c r="D4459" t="inlineStr">
        <is>
          <t>VÄSTERNORRLANDS LÄN</t>
        </is>
      </c>
      <c r="E4459" t="inlineStr">
        <is>
          <t>ÖRNSKÖLDSVIK</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66750-2021</t>
        </is>
      </c>
      <c r="B4460" s="1" t="n">
        <v>44521</v>
      </c>
      <c r="C4460" s="1" t="n">
        <v>45212</v>
      </c>
      <c r="D4460" t="inlineStr">
        <is>
          <t>VÄSTERNORRLANDS LÄN</t>
        </is>
      </c>
      <c r="E4460" t="inlineStr">
        <is>
          <t>ÖRNSKÖLDSVIK</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66755-2021</t>
        </is>
      </c>
      <c r="B4461" s="1" t="n">
        <v>44521</v>
      </c>
      <c r="C4461" s="1" t="n">
        <v>45212</v>
      </c>
      <c r="D4461" t="inlineStr">
        <is>
          <t>VÄSTERNORRLANDS LÄN</t>
        </is>
      </c>
      <c r="E4461" t="inlineStr">
        <is>
          <t>ÖRNSKÖLDSVIK</t>
        </is>
      </c>
      <c r="G4461" t="n">
        <v>34.8</v>
      </c>
      <c r="H4461" t="n">
        <v>0</v>
      </c>
      <c r="I4461" t="n">
        <v>0</v>
      </c>
      <c r="J4461" t="n">
        <v>0</v>
      </c>
      <c r="K4461" t="n">
        <v>0</v>
      </c>
      <c r="L4461" t="n">
        <v>0</v>
      </c>
      <c r="M4461" t="n">
        <v>0</v>
      </c>
      <c r="N4461" t="n">
        <v>0</v>
      </c>
      <c r="O4461" t="n">
        <v>0</v>
      </c>
      <c r="P4461" t="n">
        <v>0</v>
      </c>
      <c r="Q4461" t="n">
        <v>0</v>
      </c>
      <c r="R4461" s="2" t="inlineStr"/>
    </row>
    <row r="4462" ht="15" customHeight="1">
      <c r="A4462" t="inlineStr">
        <is>
          <t>A 66751-2021</t>
        </is>
      </c>
      <c r="B4462" s="1" t="n">
        <v>44521</v>
      </c>
      <c r="C4462" s="1" t="n">
        <v>45212</v>
      </c>
      <c r="D4462" t="inlineStr">
        <is>
          <t>VÄSTERNORRLANDS LÄN</t>
        </is>
      </c>
      <c r="E4462" t="inlineStr">
        <is>
          <t>ÖRNSKÖLDSVIK</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67075-2021</t>
        </is>
      </c>
      <c r="B4463" s="1" t="n">
        <v>44522</v>
      </c>
      <c r="C4463" s="1" t="n">
        <v>45212</v>
      </c>
      <c r="D4463" t="inlineStr">
        <is>
          <t>VÄSTERNORRLANDS LÄN</t>
        </is>
      </c>
      <c r="E4463" t="inlineStr">
        <is>
          <t>SUNDSVALL</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66872-2021</t>
        </is>
      </c>
      <c r="B4464" s="1" t="n">
        <v>44522</v>
      </c>
      <c r="C4464" s="1" t="n">
        <v>45212</v>
      </c>
      <c r="D4464" t="inlineStr">
        <is>
          <t>VÄSTERNORRLANDS LÄN</t>
        </is>
      </c>
      <c r="E4464" t="inlineStr">
        <is>
          <t>SUNDSVALL</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66899-2021</t>
        </is>
      </c>
      <c r="B4465" s="1" t="n">
        <v>44522</v>
      </c>
      <c r="C4465" s="1" t="n">
        <v>45212</v>
      </c>
      <c r="D4465" t="inlineStr">
        <is>
          <t>VÄSTERNORRLANDS LÄN</t>
        </is>
      </c>
      <c r="E4465" t="inlineStr">
        <is>
          <t>HÄRNÖSAND</t>
        </is>
      </c>
      <c r="G4465" t="n">
        <v>8.4</v>
      </c>
      <c r="H4465" t="n">
        <v>0</v>
      </c>
      <c r="I4465" t="n">
        <v>0</v>
      </c>
      <c r="J4465" t="n">
        <v>0</v>
      </c>
      <c r="K4465" t="n">
        <v>0</v>
      </c>
      <c r="L4465" t="n">
        <v>0</v>
      </c>
      <c r="M4465" t="n">
        <v>0</v>
      </c>
      <c r="N4465" t="n">
        <v>0</v>
      </c>
      <c r="O4465" t="n">
        <v>0</v>
      </c>
      <c r="P4465" t="n">
        <v>0</v>
      </c>
      <c r="Q4465" t="n">
        <v>0</v>
      </c>
      <c r="R4465" s="2" t="inlineStr"/>
    </row>
    <row r="4466" ht="15" customHeight="1">
      <c r="A4466" t="inlineStr">
        <is>
          <t>A 67123-2021</t>
        </is>
      </c>
      <c r="B4466" s="1" t="n">
        <v>44522</v>
      </c>
      <c r="C4466" s="1" t="n">
        <v>45212</v>
      </c>
      <c r="D4466" t="inlineStr">
        <is>
          <t>VÄSTERNORRLANDS LÄN</t>
        </is>
      </c>
      <c r="E4466" t="inlineStr">
        <is>
          <t>SUNDSVALL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67095-2021</t>
        </is>
      </c>
      <c r="B4467" s="1" t="n">
        <v>44522</v>
      </c>
      <c r="C4467" s="1" t="n">
        <v>45212</v>
      </c>
      <c r="D4467" t="inlineStr">
        <is>
          <t>VÄSTERNORRLANDS LÄN</t>
        </is>
      </c>
      <c r="E4467" t="inlineStr">
        <is>
          <t>SUNDSVALL</t>
        </is>
      </c>
      <c r="F4467" t="inlineStr">
        <is>
          <t>SCA</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66856-2021</t>
        </is>
      </c>
      <c r="B4468" s="1" t="n">
        <v>44522</v>
      </c>
      <c r="C4468" s="1" t="n">
        <v>45212</v>
      </c>
      <c r="D4468" t="inlineStr">
        <is>
          <t>VÄSTERNORRLANDS LÄN</t>
        </is>
      </c>
      <c r="E4468" t="inlineStr">
        <is>
          <t>SOLLEFTEÅ</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66866-2021</t>
        </is>
      </c>
      <c r="B4469" s="1" t="n">
        <v>44522</v>
      </c>
      <c r="C4469" s="1" t="n">
        <v>45212</v>
      </c>
      <c r="D4469" t="inlineStr">
        <is>
          <t>VÄSTERNORRLANDS LÄN</t>
        </is>
      </c>
      <c r="E4469" t="inlineStr">
        <is>
          <t>HÄRNÖSAND</t>
        </is>
      </c>
      <c r="G4469" t="n">
        <v>5.4</v>
      </c>
      <c r="H4469" t="n">
        <v>0</v>
      </c>
      <c r="I4469" t="n">
        <v>0</v>
      </c>
      <c r="J4469" t="n">
        <v>0</v>
      </c>
      <c r="K4469" t="n">
        <v>0</v>
      </c>
      <c r="L4469" t="n">
        <v>0</v>
      </c>
      <c r="M4469" t="n">
        <v>0</v>
      </c>
      <c r="N4469" t="n">
        <v>0</v>
      </c>
      <c r="O4469" t="n">
        <v>0</v>
      </c>
      <c r="P4469" t="n">
        <v>0</v>
      </c>
      <c r="Q4469" t="n">
        <v>0</v>
      </c>
      <c r="R4469" s="2" t="inlineStr"/>
    </row>
    <row r="4470" ht="15" customHeight="1">
      <c r="A4470" t="inlineStr">
        <is>
          <t>A 67078-2021</t>
        </is>
      </c>
      <c r="B4470" s="1" t="n">
        <v>44522</v>
      </c>
      <c r="C4470" s="1" t="n">
        <v>45212</v>
      </c>
      <c r="D4470" t="inlineStr">
        <is>
          <t>VÄSTERNORRLANDS LÄN</t>
        </is>
      </c>
      <c r="E4470" t="inlineStr">
        <is>
          <t>HÄRNÖSAND</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67283-2021</t>
        </is>
      </c>
      <c r="B4471" s="1" t="n">
        <v>44523</v>
      </c>
      <c r="C4471" s="1" t="n">
        <v>45212</v>
      </c>
      <c r="D4471" t="inlineStr">
        <is>
          <t>VÄSTERNORRLANDS LÄN</t>
        </is>
      </c>
      <c r="E4471" t="inlineStr">
        <is>
          <t>KRAMFORS</t>
        </is>
      </c>
      <c r="G4471" t="n">
        <v>1.5</v>
      </c>
      <c r="H4471" t="n">
        <v>0</v>
      </c>
      <c r="I4471" t="n">
        <v>0</v>
      </c>
      <c r="J4471" t="n">
        <v>0</v>
      </c>
      <c r="K4471" t="n">
        <v>0</v>
      </c>
      <c r="L4471" t="n">
        <v>0</v>
      </c>
      <c r="M4471" t="n">
        <v>0</v>
      </c>
      <c r="N4471" t="n">
        <v>0</v>
      </c>
      <c r="O4471" t="n">
        <v>0</v>
      </c>
      <c r="P4471" t="n">
        <v>0</v>
      </c>
      <c r="Q4471" t="n">
        <v>0</v>
      </c>
      <c r="R4471" s="2" t="inlineStr"/>
    </row>
    <row r="4472" ht="15" customHeight="1">
      <c r="A4472" t="inlineStr">
        <is>
          <t>A 67396-2021</t>
        </is>
      </c>
      <c r="B4472" s="1" t="n">
        <v>44523</v>
      </c>
      <c r="C4472" s="1" t="n">
        <v>45212</v>
      </c>
      <c r="D4472" t="inlineStr">
        <is>
          <t>VÄSTERNORRLANDS LÄN</t>
        </is>
      </c>
      <c r="E4472" t="inlineStr">
        <is>
          <t>ÅNGE</t>
        </is>
      </c>
      <c r="F4472" t="inlineStr">
        <is>
          <t>SCA</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67400-2021</t>
        </is>
      </c>
      <c r="B4473" s="1" t="n">
        <v>44523</v>
      </c>
      <c r="C4473" s="1" t="n">
        <v>45212</v>
      </c>
      <c r="D4473" t="inlineStr">
        <is>
          <t>VÄSTERNORRLANDS LÄN</t>
        </is>
      </c>
      <c r="E4473" t="inlineStr">
        <is>
          <t>KRAMFORS</t>
        </is>
      </c>
      <c r="F4473" t="inlineStr">
        <is>
          <t>SCA</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67546-2021</t>
        </is>
      </c>
      <c r="B4474" s="1" t="n">
        <v>44524</v>
      </c>
      <c r="C4474" s="1" t="n">
        <v>45212</v>
      </c>
      <c r="D4474" t="inlineStr">
        <is>
          <t>VÄSTERNORRLANDS LÄN</t>
        </is>
      </c>
      <c r="E4474" t="inlineStr">
        <is>
          <t>ÅNGE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67673-2021</t>
        </is>
      </c>
      <c r="B4475" s="1" t="n">
        <v>44524</v>
      </c>
      <c r="C4475" s="1" t="n">
        <v>45212</v>
      </c>
      <c r="D4475" t="inlineStr">
        <is>
          <t>VÄSTERNORRLANDS LÄN</t>
        </is>
      </c>
      <c r="E4475" t="inlineStr">
        <is>
          <t>TIMRÅ</t>
        </is>
      </c>
      <c r="G4475" t="n">
        <v>6.8</v>
      </c>
      <c r="H4475" t="n">
        <v>0</v>
      </c>
      <c r="I4475" t="n">
        <v>0</v>
      </c>
      <c r="J4475" t="n">
        <v>0</v>
      </c>
      <c r="K4475" t="n">
        <v>0</v>
      </c>
      <c r="L4475" t="n">
        <v>0</v>
      </c>
      <c r="M4475" t="n">
        <v>0</v>
      </c>
      <c r="N4475" t="n">
        <v>0</v>
      </c>
      <c r="O4475" t="n">
        <v>0</v>
      </c>
      <c r="P4475" t="n">
        <v>0</v>
      </c>
      <c r="Q4475" t="n">
        <v>0</v>
      </c>
      <c r="R4475" s="2" t="inlineStr"/>
    </row>
    <row r="4476" ht="15" customHeight="1">
      <c r="A4476" t="inlineStr">
        <is>
          <t>A 67474-2021</t>
        </is>
      </c>
      <c r="B4476" s="1" t="n">
        <v>44524</v>
      </c>
      <c r="C4476" s="1" t="n">
        <v>45212</v>
      </c>
      <c r="D4476" t="inlineStr">
        <is>
          <t>VÄSTERNORRLANDS LÄN</t>
        </is>
      </c>
      <c r="E4476" t="inlineStr">
        <is>
          <t>SUNDSVALL</t>
        </is>
      </c>
      <c r="G4476" t="n">
        <v>8</v>
      </c>
      <c r="H4476" t="n">
        <v>0</v>
      </c>
      <c r="I4476" t="n">
        <v>0</v>
      </c>
      <c r="J4476" t="n">
        <v>0</v>
      </c>
      <c r="K4476" t="n">
        <v>0</v>
      </c>
      <c r="L4476" t="n">
        <v>0</v>
      </c>
      <c r="M4476" t="n">
        <v>0</v>
      </c>
      <c r="N4476" t="n">
        <v>0</v>
      </c>
      <c r="O4476" t="n">
        <v>0</v>
      </c>
      <c r="P4476" t="n">
        <v>0</v>
      </c>
      <c r="Q4476" t="n">
        <v>0</v>
      </c>
      <c r="R4476" s="2" t="inlineStr"/>
    </row>
    <row r="4477" ht="15" customHeight="1">
      <c r="A4477" t="inlineStr">
        <is>
          <t>A 67712-2021</t>
        </is>
      </c>
      <c r="B4477" s="1" t="n">
        <v>44524</v>
      </c>
      <c r="C4477" s="1" t="n">
        <v>45212</v>
      </c>
      <c r="D4477" t="inlineStr">
        <is>
          <t>VÄSTERNORRLANDS LÄN</t>
        </is>
      </c>
      <c r="E4477" t="inlineStr">
        <is>
          <t>ÅNGE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67689-2021</t>
        </is>
      </c>
      <c r="B4478" s="1" t="n">
        <v>44524</v>
      </c>
      <c r="C4478" s="1" t="n">
        <v>45212</v>
      </c>
      <c r="D4478" t="inlineStr">
        <is>
          <t>VÄSTERNORRLANDS LÄN</t>
        </is>
      </c>
      <c r="E4478" t="inlineStr">
        <is>
          <t>SOLLEFTEÅ</t>
        </is>
      </c>
      <c r="F4478" t="inlineStr">
        <is>
          <t>SCA</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67708-2021</t>
        </is>
      </c>
      <c r="B4479" s="1" t="n">
        <v>44524</v>
      </c>
      <c r="C4479" s="1" t="n">
        <v>45212</v>
      </c>
      <c r="D4479" t="inlineStr">
        <is>
          <t>VÄSTERNORRLANDS LÄN</t>
        </is>
      </c>
      <c r="E4479" t="inlineStr">
        <is>
          <t>ÅNGE</t>
        </is>
      </c>
      <c r="G4479" t="n">
        <v>4.4</v>
      </c>
      <c r="H4479" t="n">
        <v>0</v>
      </c>
      <c r="I4479" t="n">
        <v>0</v>
      </c>
      <c r="J4479" t="n">
        <v>0</v>
      </c>
      <c r="K4479" t="n">
        <v>0</v>
      </c>
      <c r="L4479" t="n">
        <v>0</v>
      </c>
      <c r="M4479" t="n">
        <v>0</v>
      </c>
      <c r="N4479" t="n">
        <v>0</v>
      </c>
      <c r="O4479" t="n">
        <v>0</v>
      </c>
      <c r="P4479" t="n">
        <v>0</v>
      </c>
      <c r="Q4479" t="n">
        <v>0</v>
      </c>
      <c r="R4479" s="2" t="inlineStr"/>
    </row>
    <row r="4480" ht="15" customHeight="1">
      <c r="A4480" t="inlineStr">
        <is>
          <t>A 67448-2021</t>
        </is>
      </c>
      <c r="B4480" s="1" t="n">
        <v>44524</v>
      </c>
      <c r="C4480" s="1" t="n">
        <v>45212</v>
      </c>
      <c r="D4480" t="inlineStr">
        <is>
          <t>VÄSTERNORRLANDS LÄN</t>
        </is>
      </c>
      <c r="E4480" t="inlineStr">
        <is>
          <t>ÖRNSKÖLDSVIK</t>
        </is>
      </c>
      <c r="F4480" t="inlineStr">
        <is>
          <t>Holmen skog AB</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67562-2021</t>
        </is>
      </c>
      <c r="B4481" s="1" t="n">
        <v>44524</v>
      </c>
      <c r="C4481" s="1" t="n">
        <v>45212</v>
      </c>
      <c r="D4481" t="inlineStr">
        <is>
          <t>VÄSTERNORRLANDS LÄN</t>
        </is>
      </c>
      <c r="E4481" t="inlineStr">
        <is>
          <t>SUNDSVALL</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67831-2021</t>
        </is>
      </c>
      <c r="B4482" s="1" t="n">
        <v>44525</v>
      </c>
      <c r="C4482" s="1" t="n">
        <v>45212</v>
      </c>
      <c r="D4482" t="inlineStr">
        <is>
          <t>VÄSTERNORRLANDS LÄN</t>
        </is>
      </c>
      <c r="E4482" t="inlineStr">
        <is>
          <t>KRAMFORS</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67765-2021</t>
        </is>
      </c>
      <c r="B4483" s="1" t="n">
        <v>44525</v>
      </c>
      <c r="C4483" s="1" t="n">
        <v>45212</v>
      </c>
      <c r="D4483" t="inlineStr">
        <is>
          <t>VÄSTERNORRLANDS LÄN</t>
        </is>
      </c>
      <c r="E4483" t="inlineStr">
        <is>
          <t>ÖRNSKÖLDSVIK</t>
        </is>
      </c>
      <c r="G4483" t="n">
        <v>5.4</v>
      </c>
      <c r="H4483" t="n">
        <v>0</v>
      </c>
      <c r="I4483" t="n">
        <v>0</v>
      </c>
      <c r="J4483" t="n">
        <v>0</v>
      </c>
      <c r="K4483" t="n">
        <v>0</v>
      </c>
      <c r="L4483" t="n">
        <v>0</v>
      </c>
      <c r="M4483" t="n">
        <v>0</v>
      </c>
      <c r="N4483" t="n">
        <v>0</v>
      </c>
      <c r="O4483" t="n">
        <v>0</v>
      </c>
      <c r="P4483" t="n">
        <v>0</v>
      </c>
      <c r="Q4483" t="n">
        <v>0</v>
      </c>
      <c r="R4483" s="2" t="inlineStr"/>
    </row>
    <row r="4484" ht="15" customHeight="1">
      <c r="A4484" t="inlineStr">
        <is>
          <t>A 67865-2021</t>
        </is>
      </c>
      <c r="B4484" s="1" t="n">
        <v>44525</v>
      </c>
      <c r="C4484" s="1" t="n">
        <v>45212</v>
      </c>
      <c r="D4484" t="inlineStr">
        <is>
          <t>VÄSTERNORRLANDS LÄN</t>
        </is>
      </c>
      <c r="E4484" t="inlineStr">
        <is>
          <t>ÖRNSKÖLDSVIK</t>
        </is>
      </c>
      <c r="G4484" t="n">
        <v>6</v>
      </c>
      <c r="H4484" t="n">
        <v>0</v>
      </c>
      <c r="I4484" t="n">
        <v>0</v>
      </c>
      <c r="J4484" t="n">
        <v>0</v>
      </c>
      <c r="K4484" t="n">
        <v>0</v>
      </c>
      <c r="L4484" t="n">
        <v>0</v>
      </c>
      <c r="M4484" t="n">
        <v>0</v>
      </c>
      <c r="N4484" t="n">
        <v>0</v>
      </c>
      <c r="O4484" t="n">
        <v>0</v>
      </c>
      <c r="P4484" t="n">
        <v>0</v>
      </c>
      <c r="Q4484" t="n">
        <v>0</v>
      </c>
      <c r="R4484" s="2" t="inlineStr"/>
    </row>
    <row r="4485" ht="15" customHeight="1">
      <c r="A4485" t="inlineStr">
        <is>
          <t>A 68314-2021</t>
        </is>
      </c>
      <c r="B4485" s="1" t="n">
        <v>44526</v>
      </c>
      <c r="C4485" s="1" t="n">
        <v>45212</v>
      </c>
      <c r="D4485" t="inlineStr">
        <is>
          <t>VÄSTERNORRLANDS LÄN</t>
        </is>
      </c>
      <c r="E4485" t="inlineStr">
        <is>
          <t>ÖRNSKÖLDSVIK</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68391-2021</t>
        </is>
      </c>
      <c r="B4486" s="1" t="n">
        <v>44526</v>
      </c>
      <c r="C4486" s="1" t="n">
        <v>45212</v>
      </c>
      <c r="D4486" t="inlineStr">
        <is>
          <t>VÄSTERNORRLANDS LÄN</t>
        </is>
      </c>
      <c r="E4486" t="inlineStr">
        <is>
          <t>TIMRÅ</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68315-2021</t>
        </is>
      </c>
      <c r="B4487" s="1" t="n">
        <v>44526</v>
      </c>
      <c r="C4487" s="1" t="n">
        <v>45212</v>
      </c>
      <c r="D4487" t="inlineStr">
        <is>
          <t>VÄSTERNORRLANDS LÄN</t>
        </is>
      </c>
      <c r="E4487" t="inlineStr">
        <is>
          <t>ÖRNSKÖLDSVIK</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68145-2021</t>
        </is>
      </c>
      <c r="B4488" s="1" t="n">
        <v>44526</v>
      </c>
      <c r="C4488" s="1" t="n">
        <v>45212</v>
      </c>
      <c r="D4488" t="inlineStr">
        <is>
          <t>VÄSTERNORRLANDS LÄN</t>
        </is>
      </c>
      <c r="E4488" t="inlineStr">
        <is>
          <t>ÖRNSKÖLDSVIK</t>
        </is>
      </c>
      <c r="F4488" t="inlineStr">
        <is>
          <t>Holmen skog AB</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68748-2021</t>
        </is>
      </c>
      <c r="B4489" s="1" t="n">
        <v>44529</v>
      </c>
      <c r="C4489" s="1" t="n">
        <v>45212</v>
      </c>
      <c r="D4489" t="inlineStr">
        <is>
          <t>VÄSTERNORRLANDS LÄN</t>
        </is>
      </c>
      <c r="E4489" t="inlineStr">
        <is>
          <t>ÖRNSKÖLDSVIK</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68754-2021</t>
        </is>
      </c>
      <c r="B4490" s="1" t="n">
        <v>44529</v>
      </c>
      <c r="C4490" s="1" t="n">
        <v>45212</v>
      </c>
      <c r="D4490" t="inlineStr">
        <is>
          <t>VÄSTERNORRLANDS LÄN</t>
        </is>
      </c>
      <c r="E4490" t="inlineStr">
        <is>
          <t>ÖRNSKÖLDSVIK</t>
        </is>
      </c>
      <c r="G4490" t="n">
        <v>4.8</v>
      </c>
      <c r="H4490" t="n">
        <v>0</v>
      </c>
      <c r="I4490" t="n">
        <v>0</v>
      </c>
      <c r="J4490" t="n">
        <v>0</v>
      </c>
      <c r="K4490" t="n">
        <v>0</v>
      </c>
      <c r="L4490" t="n">
        <v>0</v>
      </c>
      <c r="M4490" t="n">
        <v>0</v>
      </c>
      <c r="N4490" t="n">
        <v>0</v>
      </c>
      <c r="O4490" t="n">
        <v>0</v>
      </c>
      <c r="P4490" t="n">
        <v>0</v>
      </c>
      <c r="Q4490" t="n">
        <v>0</v>
      </c>
      <c r="R4490" s="2" t="inlineStr"/>
    </row>
    <row r="4491" ht="15" customHeight="1">
      <c r="A4491" t="inlineStr">
        <is>
          <t>A 68745-2021</t>
        </is>
      </c>
      <c r="B4491" s="1" t="n">
        <v>44529</v>
      </c>
      <c r="C4491" s="1" t="n">
        <v>45212</v>
      </c>
      <c r="D4491" t="inlineStr">
        <is>
          <t>VÄSTERNORRLANDS LÄN</t>
        </is>
      </c>
      <c r="E4491" t="inlineStr">
        <is>
          <t>KRAMFORS</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68753-2021</t>
        </is>
      </c>
      <c r="B4492" s="1" t="n">
        <v>44529</v>
      </c>
      <c r="C4492" s="1" t="n">
        <v>45212</v>
      </c>
      <c r="D4492" t="inlineStr">
        <is>
          <t>VÄSTERNORRLANDS LÄN</t>
        </is>
      </c>
      <c r="E4492" t="inlineStr">
        <is>
          <t>ÖRNSKÖLDSVIK</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68866-2021</t>
        </is>
      </c>
      <c r="B4493" s="1" t="n">
        <v>44529</v>
      </c>
      <c r="C4493" s="1" t="n">
        <v>45212</v>
      </c>
      <c r="D4493" t="inlineStr">
        <is>
          <t>VÄSTERNORRLANDS LÄN</t>
        </is>
      </c>
      <c r="E4493" t="inlineStr">
        <is>
          <t>ÖRNSKÖLDSVIK</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68615-2021</t>
        </is>
      </c>
      <c r="B4494" s="1" t="n">
        <v>44529</v>
      </c>
      <c r="C4494" s="1" t="n">
        <v>45212</v>
      </c>
      <c r="D4494" t="inlineStr">
        <is>
          <t>VÄSTERNORRLANDS LÄN</t>
        </is>
      </c>
      <c r="E4494" t="inlineStr">
        <is>
          <t>KRAMFORS</t>
        </is>
      </c>
      <c r="G4494" t="n">
        <v>6.1</v>
      </c>
      <c r="H4494" t="n">
        <v>0</v>
      </c>
      <c r="I4494" t="n">
        <v>0</v>
      </c>
      <c r="J4494" t="n">
        <v>0</v>
      </c>
      <c r="K4494" t="n">
        <v>0</v>
      </c>
      <c r="L4494" t="n">
        <v>0</v>
      </c>
      <c r="M4494" t="n">
        <v>0</v>
      </c>
      <c r="N4494" t="n">
        <v>0</v>
      </c>
      <c r="O4494" t="n">
        <v>0</v>
      </c>
      <c r="P4494" t="n">
        <v>0</v>
      </c>
      <c r="Q4494" t="n">
        <v>0</v>
      </c>
      <c r="R4494" s="2" t="inlineStr"/>
    </row>
    <row r="4495" ht="15" customHeight="1">
      <c r="A4495" t="inlineStr">
        <is>
          <t>A 68743-2021</t>
        </is>
      </c>
      <c r="B4495" s="1" t="n">
        <v>44529</v>
      </c>
      <c r="C4495" s="1" t="n">
        <v>45212</v>
      </c>
      <c r="D4495" t="inlineStr">
        <is>
          <t>VÄSTERNORRLANDS LÄN</t>
        </is>
      </c>
      <c r="E4495" t="inlineStr">
        <is>
          <t>ÅNGE</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68750-2021</t>
        </is>
      </c>
      <c r="B4496" s="1" t="n">
        <v>44529</v>
      </c>
      <c r="C4496" s="1" t="n">
        <v>45212</v>
      </c>
      <c r="D4496" t="inlineStr">
        <is>
          <t>VÄSTERNORRLANDS LÄN</t>
        </is>
      </c>
      <c r="E4496" t="inlineStr">
        <is>
          <t>ÖRNSKÖLDSVIK</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68797-2021</t>
        </is>
      </c>
      <c r="B4497" s="1" t="n">
        <v>44529</v>
      </c>
      <c r="C4497" s="1" t="n">
        <v>45212</v>
      </c>
      <c r="D4497" t="inlineStr">
        <is>
          <t>VÄSTERNORRLANDS LÄN</t>
        </is>
      </c>
      <c r="E4497" t="inlineStr">
        <is>
          <t>KRAMFORS</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68815-2021</t>
        </is>
      </c>
      <c r="B4498" s="1" t="n">
        <v>44529</v>
      </c>
      <c r="C4498" s="1" t="n">
        <v>45212</v>
      </c>
      <c r="D4498" t="inlineStr">
        <is>
          <t>VÄSTERNORRLANDS LÄN</t>
        </is>
      </c>
      <c r="E4498" t="inlineStr">
        <is>
          <t>ÖRNSKÖLDSVIK</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68880-2021</t>
        </is>
      </c>
      <c r="B4499" s="1" t="n">
        <v>44529</v>
      </c>
      <c r="C4499" s="1" t="n">
        <v>45212</v>
      </c>
      <c r="D4499" t="inlineStr">
        <is>
          <t>VÄSTERNORRLANDS LÄN</t>
        </is>
      </c>
      <c r="E4499" t="inlineStr">
        <is>
          <t>SUNDSVALL</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68378-2021</t>
        </is>
      </c>
      <c r="B4500" s="1" t="n">
        <v>44529</v>
      </c>
      <c r="C4500" s="1" t="n">
        <v>45212</v>
      </c>
      <c r="D4500" t="inlineStr">
        <is>
          <t>VÄSTERNORRLANDS LÄN</t>
        </is>
      </c>
      <c r="E4500" t="inlineStr">
        <is>
          <t>ÖRNSKÖLDSVIK</t>
        </is>
      </c>
      <c r="G4500" t="n">
        <v>2.6</v>
      </c>
      <c r="H4500" t="n">
        <v>0</v>
      </c>
      <c r="I4500" t="n">
        <v>0</v>
      </c>
      <c r="J4500" t="n">
        <v>0</v>
      </c>
      <c r="K4500" t="n">
        <v>0</v>
      </c>
      <c r="L4500" t="n">
        <v>0</v>
      </c>
      <c r="M4500" t="n">
        <v>0</v>
      </c>
      <c r="N4500" t="n">
        <v>0</v>
      </c>
      <c r="O4500" t="n">
        <v>0</v>
      </c>
      <c r="P4500" t="n">
        <v>0</v>
      </c>
      <c r="Q4500" t="n">
        <v>0</v>
      </c>
      <c r="R4500" s="2" t="inlineStr"/>
    </row>
    <row r="4501" ht="15" customHeight="1">
      <c r="A4501" t="inlineStr">
        <is>
          <t>A 68752-2021</t>
        </is>
      </c>
      <c r="B4501" s="1" t="n">
        <v>44529</v>
      </c>
      <c r="C4501" s="1" t="n">
        <v>45212</v>
      </c>
      <c r="D4501" t="inlineStr">
        <is>
          <t>VÄSTERNORRLANDS LÄN</t>
        </is>
      </c>
      <c r="E4501" t="inlineStr">
        <is>
          <t>KRAMFORS</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68829-2021</t>
        </is>
      </c>
      <c r="B4502" s="1" t="n">
        <v>44529</v>
      </c>
      <c r="C4502" s="1" t="n">
        <v>45212</v>
      </c>
      <c r="D4502" t="inlineStr">
        <is>
          <t>VÄSTERNORRLANDS LÄN</t>
        </is>
      </c>
      <c r="E4502" t="inlineStr">
        <is>
          <t>ÖRNSKÖLDSVIK</t>
        </is>
      </c>
      <c r="G4502" t="n">
        <v>4.9</v>
      </c>
      <c r="H4502" t="n">
        <v>0</v>
      </c>
      <c r="I4502" t="n">
        <v>0</v>
      </c>
      <c r="J4502" t="n">
        <v>0</v>
      </c>
      <c r="K4502" t="n">
        <v>0</v>
      </c>
      <c r="L4502" t="n">
        <v>0</v>
      </c>
      <c r="M4502" t="n">
        <v>0</v>
      </c>
      <c r="N4502" t="n">
        <v>0</v>
      </c>
      <c r="O4502" t="n">
        <v>0</v>
      </c>
      <c r="P4502" t="n">
        <v>0</v>
      </c>
      <c r="Q4502" t="n">
        <v>0</v>
      </c>
      <c r="R4502" s="2" t="inlineStr"/>
    </row>
    <row r="4503" ht="15" customHeight="1">
      <c r="A4503" t="inlineStr">
        <is>
          <t>A 68934-2021</t>
        </is>
      </c>
      <c r="B4503" s="1" t="n">
        <v>44529</v>
      </c>
      <c r="C4503" s="1" t="n">
        <v>45212</v>
      </c>
      <c r="D4503" t="inlineStr">
        <is>
          <t>VÄSTERNORRLANDS LÄN</t>
        </is>
      </c>
      <c r="E4503" t="inlineStr">
        <is>
          <t>ÖRNSKÖLDSVIK</t>
        </is>
      </c>
      <c r="G4503" t="n">
        <v>7.2</v>
      </c>
      <c r="H4503" t="n">
        <v>0</v>
      </c>
      <c r="I4503" t="n">
        <v>0</v>
      </c>
      <c r="J4503" t="n">
        <v>0</v>
      </c>
      <c r="K4503" t="n">
        <v>0</v>
      </c>
      <c r="L4503" t="n">
        <v>0</v>
      </c>
      <c r="M4503" t="n">
        <v>0</v>
      </c>
      <c r="N4503" t="n">
        <v>0</v>
      </c>
      <c r="O4503" t="n">
        <v>0</v>
      </c>
      <c r="P4503" t="n">
        <v>0</v>
      </c>
      <c r="Q4503" t="n">
        <v>0</v>
      </c>
      <c r="R4503" s="2" t="inlineStr"/>
    </row>
    <row r="4504" ht="15" customHeight="1">
      <c r="A4504" t="inlineStr">
        <is>
          <t>A 69274-2021</t>
        </is>
      </c>
      <c r="B4504" s="1" t="n">
        <v>44530</v>
      </c>
      <c r="C4504" s="1" t="n">
        <v>45212</v>
      </c>
      <c r="D4504" t="inlineStr">
        <is>
          <t>VÄSTERNORRLANDS LÄN</t>
        </is>
      </c>
      <c r="E4504" t="inlineStr">
        <is>
          <t>TIMRÅ</t>
        </is>
      </c>
      <c r="G4504" t="n">
        <v>0.3</v>
      </c>
      <c r="H4504" t="n">
        <v>0</v>
      </c>
      <c r="I4504" t="n">
        <v>0</v>
      </c>
      <c r="J4504" t="n">
        <v>0</v>
      </c>
      <c r="K4504" t="n">
        <v>0</v>
      </c>
      <c r="L4504" t="n">
        <v>0</v>
      </c>
      <c r="M4504" t="n">
        <v>0</v>
      </c>
      <c r="N4504" t="n">
        <v>0</v>
      </c>
      <c r="O4504" t="n">
        <v>0</v>
      </c>
      <c r="P4504" t="n">
        <v>0</v>
      </c>
      <c r="Q4504" t="n">
        <v>0</v>
      </c>
      <c r="R4504" s="2" t="inlineStr"/>
    </row>
    <row r="4505" ht="15" customHeight="1">
      <c r="A4505" t="inlineStr">
        <is>
          <t>A 68843-2021</t>
        </is>
      </c>
      <c r="B4505" s="1" t="n">
        <v>44530</v>
      </c>
      <c r="C4505" s="1" t="n">
        <v>45212</v>
      </c>
      <c r="D4505" t="inlineStr">
        <is>
          <t>VÄSTERNORRLANDS LÄN</t>
        </is>
      </c>
      <c r="E4505" t="inlineStr">
        <is>
          <t>SOLLEFTEÅ</t>
        </is>
      </c>
      <c r="F4505" t="inlineStr">
        <is>
          <t>Holmen skog AB</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68876-2021</t>
        </is>
      </c>
      <c r="B4506" s="1" t="n">
        <v>44530</v>
      </c>
      <c r="C4506" s="1" t="n">
        <v>45212</v>
      </c>
      <c r="D4506" t="inlineStr">
        <is>
          <t>VÄSTERNORRLANDS LÄN</t>
        </is>
      </c>
      <c r="E4506" t="inlineStr">
        <is>
          <t>ÖRNSKÖLDSVIK</t>
        </is>
      </c>
      <c r="G4506" t="n">
        <v>7.3</v>
      </c>
      <c r="H4506" t="n">
        <v>0</v>
      </c>
      <c r="I4506" t="n">
        <v>0</v>
      </c>
      <c r="J4506" t="n">
        <v>0</v>
      </c>
      <c r="K4506" t="n">
        <v>0</v>
      </c>
      <c r="L4506" t="n">
        <v>0</v>
      </c>
      <c r="M4506" t="n">
        <v>0</v>
      </c>
      <c r="N4506" t="n">
        <v>0</v>
      </c>
      <c r="O4506" t="n">
        <v>0</v>
      </c>
      <c r="P4506" t="n">
        <v>0</v>
      </c>
      <c r="Q4506" t="n">
        <v>0</v>
      </c>
      <c r="R4506" s="2" t="inlineStr"/>
    </row>
    <row r="4507" ht="15" customHeight="1">
      <c r="A4507" t="inlineStr">
        <is>
          <t>A 68863-2021</t>
        </is>
      </c>
      <c r="B4507" s="1" t="n">
        <v>44530</v>
      </c>
      <c r="C4507" s="1" t="n">
        <v>45212</v>
      </c>
      <c r="D4507" t="inlineStr">
        <is>
          <t>VÄSTERNORRLANDS LÄN</t>
        </is>
      </c>
      <c r="E4507" t="inlineStr">
        <is>
          <t>SOLLEFTEÅ</t>
        </is>
      </c>
      <c r="F4507" t="inlineStr">
        <is>
          <t>Holmen skog AB</t>
        </is>
      </c>
      <c r="G4507" t="n">
        <v>16.8</v>
      </c>
      <c r="H4507" t="n">
        <v>0</v>
      </c>
      <c r="I4507" t="n">
        <v>0</v>
      </c>
      <c r="J4507" t="n">
        <v>0</v>
      </c>
      <c r="K4507" t="n">
        <v>0</v>
      </c>
      <c r="L4507" t="n">
        <v>0</v>
      </c>
      <c r="M4507" t="n">
        <v>0</v>
      </c>
      <c r="N4507" t="n">
        <v>0</v>
      </c>
      <c r="O4507" t="n">
        <v>0</v>
      </c>
      <c r="P4507" t="n">
        <v>0</v>
      </c>
      <c r="Q4507" t="n">
        <v>0</v>
      </c>
      <c r="R4507" s="2" t="inlineStr"/>
    </row>
    <row r="4508" ht="15" customHeight="1">
      <c r="A4508" t="inlineStr">
        <is>
          <t>A 69260-2021</t>
        </is>
      </c>
      <c r="B4508" s="1" t="n">
        <v>44530</v>
      </c>
      <c r="C4508" s="1" t="n">
        <v>45212</v>
      </c>
      <c r="D4508" t="inlineStr">
        <is>
          <t>VÄSTERNORRLANDS LÄN</t>
        </is>
      </c>
      <c r="E4508" t="inlineStr">
        <is>
          <t>SUNDSVALL</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69000-2021</t>
        </is>
      </c>
      <c r="B4509" s="1" t="n">
        <v>44530</v>
      </c>
      <c r="C4509" s="1" t="n">
        <v>45212</v>
      </c>
      <c r="D4509" t="inlineStr">
        <is>
          <t>VÄSTERNORRLANDS LÄN</t>
        </is>
      </c>
      <c r="E4509" t="inlineStr">
        <is>
          <t>ÖRNSKÖLDSVIK</t>
        </is>
      </c>
      <c r="G4509" t="n">
        <v>4.4</v>
      </c>
      <c r="H4509" t="n">
        <v>0</v>
      </c>
      <c r="I4509" t="n">
        <v>0</v>
      </c>
      <c r="J4509" t="n">
        <v>0</v>
      </c>
      <c r="K4509" t="n">
        <v>0</v>
      </c>
      <c r="L4509" t="n">
        <v>0</v>
      </c>
      <c r="M4509" t="n">
        <v>0</v>
      </c>
      <c r="N4509" t="n">
        <v>0</v>
      </c>
      <c r="O4509" t="n">
        <v>0</v>
      </c>
      <c r="P4509" t="n">
        <v>0</v>
      </c>
      <c r="Q4509" t="n">
        <v>0</v>
      </c>
      <c r="R4509" s="2" t="inlineStr"/>
    </row>
    <row r="4510" ht="15" customHeight="1">
      <c r="A4510" t="inlineStr">
        <is>
          <t>A 69266-2021</t>
        </is>
      </c>
      <c r="B4510" s="1" t="n">
        <v>44530</v>
      </c>
      <c r="C4510" s="1" t="n">
        <v>45212</v>
      </c>
      <c r="D4510" t="inlineStr">
        <is>
          <t>VÄSTERNORRLANDS LÄN</t>
        </is>
      </c>
      <c r="E4510" t="inlineStr">
        <is>
          <t>TIMRÅ</t>
        </is>
      </c>
      <c r="G4510" t="n">
        <v>0.3</v>
      </c>
      <c r="H4510" t="n">
        <v>0</v>
      </c>
      <c r="I4510" t="n">
        <v>0</v>
      </c>
      <c r="J4510" t="n">
        <v>0</v>
      </c>
      <c r="K4510" t="n">
        <v>0</v>
      </c>
      <c r="L4510" t="n">
        <v>0</v>
      </c>
      <c r="M4510" t="n">
        <v>0</v>
      </c>
      <c r="N4510" t="n">
        <v>0</v>
      </c>
      <c r="O4510" t="n">
        <v>0</v>
      </c>
      <c r="P4510" t="n">
        <v>0</v>
      </c>
      <c r="Q4510" t="n">
        <v>0</v>
      </c>
      <c r="R4510" s="2" t="inlineStr"/>
    </row>
    <row r="4511" ht="15" customHeight="1">
      <c r="A4511" t="inlineStr">
        <is>
          <t>A 69210-2021</t>
        </is>
      </c>
      <c r="B4511" s="1" t="n">
        <v>44531</v>
      </c>
      <c r="C4511" s="1" t="n">
        <v>45212</v>
      </c>
      <c r="D4511" t="inlineStr">
        <is>
          <t>VÄSTERNORRLANDS LÄN</t>
        </is>
      </c>
      <c r="E4511" t="inlineStr">
        <is>
          <t>SUNDSVALL</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69663-2021</t>
        </is>
      </c>
      <c r="B4512" s="1" t="n">
        <v>44531</v>
      </c>
      <c r="C4512" s="1" t="n">
        <v>45212</v>
      </c>
      <c r="D4512" t="inlineStr">
        <is>
          <t>VÄSTERNORRLANDS LÄN</t>
        </is>
      </c>
      <c r="E4512" t="inlineStr">
        <is>
          <t>TIMRÅ</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69736-2021</t>
        </is>
      </c>
      <c r="B4513" s="1" t="n">
        <v>44532</v>
      </c>
      <c r="C4513" s="1" t="n">
        <v>45212</v>
      </c>
      <c r="D4513" t="inlineStr">
        <is>
          <t>VÄSTERNORRLANDS LÄN</t>
        </is>
      </c>
      <c r="E4513" t="inlineStr">
        <is>
          <t>ÅNGE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69771-2021</t>
        </is>
      </c>
      <c r="B4514" s="1" t="n">
        <v>44532</v>
      </c>
      <c r="C4514" s="1" t="n">
        <v>45212</v>
      </c>
      <c r="D4514" t="inlineStr">
        <is>
          <t>VÄSTERNORRLANDS LÄN</t>
        </is>
      </c>
      <c r="E4514" t="inlineStr">
        <is>
          <t>ÖRNSKÖLDSVIK</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69820-2021</t>
        </is>
      </c>
      <c r="B4515" s="1" t="n">
        <v>44532</v>
      </c>
      <c r="C4515" s="1" t="n">
        <v>45212</v>
      </c>
      <c r="D4515" t="inlineStr">
        <is>
          <t>VÄSTERNORRLANDS LÄN</t>
        </is>
      </c>
      <c r="E4515" t="inlineStr">
        <is>
          <t>ÖRNSKÖLDSVIK</t>
        </is>
      </c>
      <c r="F4515" t="inlineStr">
        <is>
          <t>Holmen skog AB</t>
        </is>
      </c>
      <c r="G4515" t="n">
        <v>11.5</v>
      </c>
      <c r="H4515" t="n">
        <v>0</v>
      </c>
      <c r="I4515" t="n">
        <v>0</v>
      </c>
      <c r="J4515" t="n">
        <v>0</v>
      </c>
      <c r="K4515" t="n">
        <v>0</v>
      </c>
      <c r="L4515" t="n">
        <v>0</v>
      </c>
      <c r="M4515" t="n">
        <v>0</v>
      </c>
      <c r="N4515" t="n">
        <v>0</v>
      </c>
      <c r="O4515" t="n">
        <v>0</v>
      </c>
      <c r="P4515" t="n">
        <v>0</v>
      </c>
      <c r="Q4515" t="n">
        <v>0</v>
      </c>
      <c r="R4515" s="2" t="inlineStr"/>
    </row>
    <row r="4516" ht="15" customHeight="1">
      <c r="A4516" t="inlineStr">
        <is>
          <t>A 69929-2021</t>
        </is>
      </c>
      <c r="B4516" s="1" t="n">
        <v>44532</v>
      </c>
      <c r="C4516" s="1" t="n">
        <v>45212</v>
      </c>
      <c r="D4516" t="inlineStr">
        <is>
          <t>VÄSTERNORRLANDS LÄN</t>
        </is>
      </c>
      <c r="E4516" t="inlineStr">
        <is>
          <t>HÄRNÖSAND</t>
        </is>
      </c>
      <c r="G4516" t="n">
        <v>7.4</v>
      </c>
      <c r="H4516" t="n">
        <v>0</v>
      </c>
      <c r="I4516" t="n">
        <v>0</v>
      </c>
      <c r="J4516" t="n">
        <v>0</v>
      </c>
      <c r="K4516" t="n">
        <v>0</v>
      </c>
      <c r="L4516" t="n">
        <v>0</v>
      </c>
      <c r="M4516" t="n">
        <v>0</v>
      </c>
      <c r="N4516" t="n">
        <v>0</v>
      </c>
      <c r="O4516" t="n">
        <v>0</v>
      </c>
      <c r="P4516" t="n">
        <v>0</v>
      </c>
      <c r="Q4516" t="n">
        <v>0</v>
      </c>
      <c r="R4516" s="2" t="inlineStr"/>
    </row>
    <row r="4517" ht="15" customHeight="1">
      <c r="A4517" t="inlineStr">
        <is>
          <t>A 69772-2021</t>
        </is>
      </c>
      <c r="B4517" s="1" t="n">
        <v>44532</v>
      </c>
      <c r="C4517" s="1" t="n">
        <v>45212</v>
      </c>
      <c r="D4517" t="inlineStr">
        <is>
          <t>VÄSTERNORRLANDS LÄN</t>
        </is>
      </c>
      <c r="E4517" t="inlineStr">
        <is>
          <t>ÖRNSKÖLDSVIK</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69916-2021</t>
        </is>
      </c>
      <c r="B4518" s="1" t="n">
        <v>44532</v>
      </c>
      <c r="C4518" s="1" t="n">
        <v>45212</v>
      </c>
      <c r="D4518" t="inlineStr">
        <is>
          <t>VÄSTERNORRLANDS LÄN</t>
        </is>
      </c>
      <c r="E4518" t="inlineStr">
        <is>
          <t>SOLLEFTEÅ</t>
        </is>
      </c>
      <c r="F4518" t="inlineStr">
        <is>
          <t>SCA</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70563-2021</t>
        </is>
      </c>
      <c r="B4519" s="1" t="n">
        <v>44532</v>
      </c>
      <c r="C4519" s="1" t="n">
        <v>45212</v>
      </c>
      <c r="D4519" t="inlineStr">
        <is>
          <t>VÄSTERNORRLANDS LÄN</t>
        </is>
      </c>
      <c r="E4519" t="inlineStr">
        <is>
          <t>HÄRNÖSAND</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69786-2021</t>
        </is>
      </c>
      <c r="B4520" s="1" t="n">
        <v>44532</v>
      </c>
      <c r="C4520" s="1" t="n">
        <v>45212</v>
      </c>
      <c r="D4520" t="inlineStr">
        <is>
          <t>VÄSTERNORRLANDS LÄN</t>
        </is>
      </c>
      <c r="E4520" t="inlineStr">
        <is>
          <t>ÖRNSKÖLDSVIK</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69799-2021</t>
        </is>
      </c>
      <c r="B4521" s="1" t="n">
        <v>44532</v>
      </c>
      <c r="C4521" s="1" t="n">
        <v>45212</v>
      </c>
      <c r="D4521" t="inlineStr">
        <is>
          <t>VÄSTERNORRLANDS LÄN</t>
        </is>
      </c>
      <c r="E4521" t="inlineStr">
        <is>
          <t>ÖRNSKÖLDSVIK</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70173-2021</t>
        </is>
      </c>
      <c r="B4522" s="1" t="n">
        <v>44533</v>
      </c>
      <c r="C4522" s="1" t="n">
        <v>45212</v>
      </c>
      <c r="D4522" t="inlineStr">
        <is>
          <t>VÄSTERNORRLANDS LÄN</t>
        </is>
      </c>
      <c r="E4522" t="inlineStr">
        <is>
          <t>SUNDSVALL</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69960-2021</t>
        </is>
      </c>
      <c r="B4523" s="1" t="n">
        <v>44533</v>
      </c>
      <c r="C4523" s="1" t="n">
        <v>45212</v>
      </c>
      <c r="D4523" t="inlineStr">
        <is>
          <t>VÄSTERNORRLANDS LÄN</t>
        </is>
      </c>
      <c r="E4523" t="inlineStr">
        <is>
          <t>ÖRNSKÖLDSVIK</t>
        </is>
      </c>
      <c r="F4523" t="inlineStr">
        <is>
          <t>Holmen skog AB</t>
        </is>
      </c>
      <c r="G4523" t="n">
        <v>7.8</v>
      </c>
      <c r="H4523" t="n">
        <v>0</v>
      </c>
      <c r="I4523" t="n">
        <v>0</v>
      </c>
      <c r="J4523" t="n">
        <v>0</v>
      </c>
      <c r="K4523" t="n">
        <v>0</v>
      </c>
      <c r="L4523" t="n">
        <v>0</v>
      </c>
      <c r="M4523" t="n">
        <v>0</v>
      </c>
      <c r="N4523" t="n">
        <v>0</v>
      </c>
      <c r="O4523" t="n">
        <v>0</v>
      </c>
      <c r="P4523" t="n">
        <v>0</v>
      </c>
      <c r="Q4523" t="n">
        <v>0</v>
      </c>
      <c r="R4523" s="2" t="inlineStr"/>
    </row>
    <row r="4524" ht="15" customHeight="1">
      <c r="A4524" t="inlineStr">
        <is>
          <t>A 69971-2021</t>
        </is>
      </c>
      <c r="B4524" s="1" t="n">
        <v>44533</v>
      </c>
      <c r="C4524" s="1" t="n">
        <v>45212</v>
      </c>
      <c r="D4524" t="inlineStr">
        <is>
          <t>VÄSTERNORRLANDS LÄN</t>
        </is>
      </c>
      <c r="E4524" t="inlineStr">
        <is>
          <t>ÖRNSKÖLDSVIK</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70174-2021</t>
        </is>
      </c>
      <c r="B4525" s="1" t="n">
        <v>44533</v>
      </c>
      <c r="C4525" s="1" t="n">
        <v>45212</v>
      </c>
      <c r="D4525" t="inlineStr">
        <is>
          <t>VÄSTERNORRLANDS LÄN</t>
        </is>
      </c>
      <c r="E4525" t="inlineStr">
        <is>
          <t>SUNDSVALL</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70171-2021</t>
        </is>
      </c>
      <c r="B4526" s="1" t="n">
        <v>44533</v>
      </c>
      <c r="C4526" s="1" t="n">
        <v>45212</v>
      </c>
      <c r="D4526" t="inlineStr">
        <is>
          <t>VÄSTERNORRLANDS LÄN</t>
        </is>
      </c>
      <c r="E4526" t="inlineStr">
        <is>
          <t>SUNDSVALL</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70309-2021</t>
        </is>
      </c>
      <c r="B4527" s="1" t="n">
        <v>44533</v>
      </c>
      <c r="C4527" s="1" t="n">
        <v>45212</v>
      </c>
      <c r="D4527" t="inlineStr">
        <is>
          <t>VÄSTERNORRLANDS LÄN</t>
        </is>
      </c>
      <c r="E4527" t="inlineStr">
        <is>
          <t>SUNDSVALL</t>
        </is>
      </c>
      <c r="G4527" t="n">
        <v>18.8</v>
      </c>
      <c r="H4527" t="n">
        <v>0</v>
      </c>
      <c r="I4527" t="n">
        <v>0</v>
      </c>
      <c r="J4527" t="n">
        <v>0</v>
      </c>
      <c r="K4527" t="n">
        <v>0</v>
      </c>
      <c r="L4527" t="n">
        <v>0</v>
      </c>
      <c r="M4527" t="n">
        <v>0</v>
      </c>
      <c r="N4527" t="n">
        <v>0</v>
      </c>
      <c r="O4527" t="n">
        <v>0</v>
      </c>
      <c r="P4527" t="n">
        <v>0</v>
      </c>
      <c r="Q4527" t="n">
        <v>0</v>
      </c>
      <c r="R4527" s="2" t="inlineStr"/>
    </row>
    <row r="4528" ht="15" customHeight="1">
      <c r="A4528" t="inlineStr">
        <is>
          <t>A 69962-2021</t>
        </is>
      </c>
      <c r="B4528" s="1" t="n">
        <v>44533</v>
      </c>
      <c r="C4528" s="1" t="n">
        <v>45212</v>
      </c>
      <c r="D4528" t="inlineStr">
        <is>
          <t>VÄSTERNORRLANDS LÄN</t>
        </is>
      </c>
      <c r="E4528" t="inlineStr">
        <is>
          <t>ÖRNSKÖLDSVIK</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70770-2021</t>
        </is>
      </c>
      <c r="B4529" s="1" t="n">
        <v>44536</v>
      </c>
      <c r="C4529" s="1" t="n">
        <v>45212</v>
      </c>
      <c r="D4529" t="inlineStr">
        <is>
          <t>VÄSTERNORRLANDS LÄN</t>
        </is>
      </c>
      <c r="E4529" t="inlineStr">
        <is>
          <t>ÖRNSKÖLDSVIK</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70307-2021</t>
        </is>
      </c>
      <c r="B4530" s="1" t="n">
        <v>44536</v>
      </c>
      <c r="C4530" s="1" t="n">
        <v>45212</v>
      </c>
      <c r="D4530" t="inlineStr">
        <is>
          <t>VÄSTERNORRLANDS LÄN</t>
        </is>
      </c>
      <c r="E4530" t="inlineStr">
        <is>
          <t>ÖRNSKÖLDSVIK</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70507-2021</t>
        </is>
      </c>
      <c r="B4531" s="1" t="n">
        <v>44536</v>
      </c>
      <c r="C4531" s="1" t="n">
        <v>45212</v>
      </c>
      <c r="D4531" t="inlineStr">
        <is>
          <t>VÄSTERNORRLANDS LÄN</t>
        </is>
      </c>
      <c r="E4531" t="inlineStr">
        <is>
          <t>TIMRÅ</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70603-2021</t>
        </is>
      </c>
      <c r="B4532" s="1" t="n">
        <v>44536</v>
      </c>
      <c r="C4532" s="1" t="n">
        <v>45212</v>
      </c>
      <c r="D4532" t="inlineStr">
        <is>
          <t>VÄSTERNORRLANDS LÄN</t>
        </is>
      </c>
      <c r="E4532" t="inlineStr">
        <is>
          <t>HÄRNÖSAND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70638-2021</t>
        </is>
      </c>
      <c r="B4533" s="1" t="n">
        <v>44536</v>
      </c>
      <c r="C4533" s="1" t="n">
        <v>45212</v>
      </c>
      <c r="D4533" t="inlineStr">
        <is>
          <t>VÄSTERNORRLANDS LÄN</t>
        </is>
      </c>
      <c r="E4533" t="inlineStr">
        <is>
          <t>KRAMFORS</t>
        </is>
      </c>
      <c r="F4533" t="inlineStr">
        <is>
          <t>Kyrkan</t>
        </is>
      </c>
      <c r="G4533" t="n">
        <v>1.7</v>
      </c>
      <c r="H4533" t="n">
        <v>0</v>
      </c>
      <c r="I4533" t="n">
        <v>0</v>
      </c>
      <c r="J4533" t="n">
        <v>0</v>
      </c>
      <c r="K4533" t="n">
        <v>0</v>
      </c>
      <c r="L4533" t="n">
        <v>0</v>
      </c>
      <c r="M4533" t="n">
        <v>0</v>
      </c>
      <c r="N4533" t="n">
        <v>0</v>
      </c>
      <c r="O4533" t="n">
        <v>0</v>
      </c>
      <c r="P4533" t="n">
        <v>0</v>
      </c>
      <c r="Q4533" t="n">
        <v>0</v>
      </c>
      <c r="R4533" s="2" t="inlineStr"/>
    </row>
    <row r="4534" ht="15" customHeight="1">
      <c r="A4534" t="inlineStr">
        <is>
          <t>A 70690-2021</t>
        </is>
      </c>
      <c r="B4534" s="1" t="n">
        <v>44537</v>
      </c>
      <c r="C4534" s="1" t="n">
        <v>45212</v>
      </c>
      <c r="D4534" t="inlineStr">
        <is>
          <t>VÄSTERNORRLANDS LÄN</t>
        </is>
      </c>
      <c r="E4534" t="inlineStr">
        <is>
          <t>SUNDSVALL</t>
        </is>
      </c>
      <c r="G4534" t="n">
        <v>8.1</v>
      </c>
      <c r="H4534" t="n">
        <v>0</v>
      </c>
      <c r="I4534" t="n">
        <v>0</v>
      </c>
      <c r="J4534" t="n">
        <v>0</v>
      </c>
      <c r="K4534" t="n">
        <v>0</v>
      </c>
      <c r="L4534" t="n">
        <v>0</v>
      </c>
      <c r="M4534" t="n">
        <v>0</v>
      </c>
      <c r="N4534" t="n">
        <v>0</v>
      </c>
      <c r="O4534" t="n">
        <v>0</v>
      </c>
      <c r="P4534" t="n">
        <v>0</v>
      </c>
      <c r="Q4534" t="n">
        <v>0</v>
      </c>
      <c r="R4534" s="2" t="inlineStr"/>
    </row>
    <row r="4535" ht="15" customHeight="1">
      <c r="A4535" t="inlineStr">
        <is>
          <t>A 70906-2021</t>
        </is>
      </c>
      <c r="B4535" s="1" t="n">
        <v>44537</v>
      </c>
      <c r="C4535" s="1" t="n">
        <v>45212</v>
      </c>
      <c r="D4535" t="inlineStr">
        <is>
          <t>VÄSTERNORRLANDS LÄN</t>
        </is>
      </c>
      <c r="E4535" t="inlineStr">
        <is>
          <t>TIMRÅ</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70581-2021</t>
        </is>
      </c>
      <c r="B4536" s="1" t="n">
        <v>44537</v>
      </c>
      <c r="C4536" s="1" t="n">
        <v>45212</v>
      </c>
      <c r="D4536" t="inlineStr">
        <is>
          <t>VÄSTERNORRLANDS LÄN</t>
        </is>
      </c>
      <c r="E4536" t="inlineStr">
        <is>
          <t>ÖRNSKÖLDSVIK</t>
        </is>
      </c>
      <c r="F4536" t="inlineStr">
        <is>
          <t>Holmen skog AB</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70795-2021</t>
        </is>
      </c>
      <c r="B4537" s="1" t="n">
        <v>44537</v>
      </c>
      <c r="C4537" s="1" t="n">
        <v>45212</v>
      </c>
      <c r="D4537" t="inlineStr">
        <is>
          <t>VÄSTERNORRLANDS LÄN</t>
        </is>
      </c>
      <c r="E4537" t="inlineStr">
        <is>
          <t>KRAMFORS</t>
        </is>
      </c>
      <c r="G4537" t="n">
        <v>5.1</v>
      </c>
      <c r="H4537" t="n">
        <v>0</v>
      </c>
      <c r="I4537" t="n">
        <v>0</v>
      </c>
      <c r="J4537" t="n">
        <v>0</v>
      </c>
      <c r="K4537" t="n">
        <v>0</v>
      </c>
      <c r="L4537" t="n">
        <v>0</v>
      </c>
      <c r="M4537" t="n">
        <v>0</v>
      </c>
      <c r="N4537" t="n">
        <v>0</v>
      </c>
      <c r="O4537" t="n">
        <v>0</v>
      </c>
      <c r="P4537" t="n">
        <v>0</v>
      </c>
      <c r="Q4537" t="n">
        <v>0</v>
      </c>
      <c r="R4537" s="2" t="inlineStr"/>
    </row>
    <row r="4538" ht="15" customHeight="1">
      <c r="A4538" t="inlineStr">
        <is>
          <t>A 70885-2021</t>
        </is>
      </c>
      <c r="B4538" s="1" t="n">
        <v>44537</v>
      </c>
      <c r="C4538" s="1" t="n">
        <v>45212</v>
      </c>
      <c r="D4538" t="inlineStr">
        <is>
          <t>VÄSTERNORRLANDS LÄN</t>
        </is>
      </c>
      <c r="E4538" t="inlineStr">
        <is>
          <t>ÖRNSKÖLDSVIK</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70899-2021</t>
        </is>
      </c>
      <c r="B4539" s="1" t="n">
        <v>44537</v>
      </c>
      <c r="C4539" s="1" t="n">
        <v>45212</v>
      </c>
      <c r="D4539" t="inlineStr">
        <is>
          <t>VÄSTERNORRLANDS LÄN</t>
        </is>
      </c>
      <c r="E4539" t="inlineStr">
        <is>
          <t>ÅNGE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70821-2021</t>
        </is>
      </c>
      <c r="B4540" s="1" t="n">
        <v>44537</v>
      </c>
      <c r="C4540" s="1" t="n">
        <v>45212</v>
      </c>
      <c r="D4540" t="inlineStr">
        <is>
          <t>VÄSTERNORRLANDS LÄN</t>
        </is>
      </c>
      <c r="E4540" t="inlineStr">
        <is>
          <t>SOLLEFTEÅ</t>
        </is>
      </c>
      <c r="F4540" t="inlineStr">
        <is>
          <t>SCA</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70879-2021</t>
        </is>
      </c>
      <c r="B4541" s="1" t="n">
        <v>44538</v>
      </c>
      <c r="C4541" s="1" t="n">
        <v>45212</v>
      </c>
      <c r="D4541" t="inlineStr">
        <is>
          <t>VÄSTERNORRLANDS LÄN</t>
        </is>
      </c>
      <c r="E4541" t="inlineStr">
        <is>
          <t>SUNDSVALL</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71669-2021</t>
        </is>
      </c>
      <c r="B4542" s="1" t="n">
        <v>44538</v>
      </c>
      <c r="C4542" s="1" t="n">
        <v>45212</v>
      </c>
      <c r="D4542" t="inlineStr">
        <is>
          <t>VÄSTERNORRLANDS LÄN</t>
        </is>
      </c>
      <c r="E4542" t="inlineStr">
        <is>
          <t>ÅNGE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70873-2021</t>
        </is>
      </c>
      <c r="B4543" s="1" t="n">
        <v>44538</v>
      </c>
      <c r="C4543" s="1" t="n">
        <v>45212</v>
      </c>
      <c r="D4543" t="inlineStr">
        <is>
          <t>VÄSTERNORRLANDS LÄN</t>
        </is>
      </c>
      <c r="E4543" t="inlineStr">
        <is>
          <t>SUNDSVALL</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70901-2021</t>
        </is>
      </c>
      <c r="B4544" s="1" t="n">
        <v>44538</v>
      </c>
      <c r="C4544" s="1" t="n">
        <v>45212</v>
      </c>
      <c r="D4544" t="inlineStr">
        <is>
          <t>VÄSTERNORRLANDS LÄN</t>
        </is>
      </c>
      <c r="E4544" t="inlineStr">
        <is>
          <t>SUNDSVALL</t>
        </is>
      </c>
      <c r="F4544" t="inlineStr">
        <is>
          <t>Kommuner</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71651-2021</t>
        </is>
      </c>
      <c r="B4545" s="1" t="n">
        <v>44538</v>
      </c>
      <c r="C4545" s="1" t="n">
        <v>45212</v>
      </c>
      <c r="D4545" t="inlineStr">
        <is>
          <t>VÄSTERNORRLANDS LÄN</t>
        </is>
      </c>
      <c r="E4545" t="inlineStr">
        <is>
          <t>ÅNGE</t>
        </is>
      </c>
      <c r="G4545" t="n">
        <v>4.4</v>
      </c>
      <c r="H4545" t="n">
        <v>0</v>
      </c>
      <c r="I4545" t="n">
        <v>0</v>
      </c>
      <c r="J4545" t="n">
        <v>0</v>
      </c>
      <c r="K4545" t="n">
        <v>0</v>
      </c>
      <c r="L4545" t="n">
        <v>0</v>
      </c>
      <c r="M4545" t="n">
        <v>0</v>
      </c>
      <c r="N4545" t="n">
        <v>0</v>
      </c>
      <c r="O4545" t="n">
        <v>0</v>
      </c>
      <c r="P4545" t="n">
        <v>0</v>
      </c>
      <c r="Q4545" t="n">
        <v>0</v>
      </c>
      <c r="R4545" s="2" t="inlineStr"/>
    </row>
    <row r="4546" ht="15" customHeight="1">
      <c r="A4546" t="inlineStr">
        <is>
          <t>A 70893-2021</t>
        </is>
      </c>
      <c r="B4546" s="1" t="n">
        <v>44538</v>
      </c>
      <c r="C4546" s="1" t="n">
        <v>45212</v>
      </c>
      <c r="D4546" t="inlineStr">
        <is>
          <t>VÄSTERNORRLANDS LÄN</t>
        </is>
      </c>
      <c r="E4546" t="inlineStr">
        <is>
          <t>ÅNGE</t>
        </is>
      </c>
      <c r="G4546" t="n">
        <v>6.2</v>
      </c>
      <c r="H4546" t="n">
        <v>0</v>
      </c>
      <c r="I4546" t="n">
        <v>0</v>
      </c>
      <c r="J4546" t="n">
        <v>0</v>
      </c>
      <c r="K4546" t="n">
        <v>0</v>
      </c>
      <c r="L4546" t="n">
        <v>0</v>
      </c>
      <c r="M4546" t="n">
        <v>0</v>
      </c>
      <c r="N4546" t="n">
        <v>0</v>
      </c>
      <c r="O4546" t="n">
        <v>0</v>
      </c>
      <c r="P4546" t="n">
        <v>0</v>
      </c>
      <c r="Q4546" t="n">
        <v>0</v>
      </c>
      <c r="R4546" s="2" t="inlineStr"/>
    </row>
    <row r="4547" ht="15" customHeight="1">
      <c r="A4547" t="inlineStr">
        <is>
          <t>A 71350-2021</t>
        </is>
      </c>
      <c r="B4547" s="1" t="n">
        <v>44539</v>
      </c>
      <c r="C4547" s="1" t="n">
        <v>45212</v>
      </c>
      <c r="D4547" t="inlineStr">
        <is>
          <t>VÄSTERNORRLANDS LÄN</t>
        </is>
      </c>
      <c r="E4547" t="inlineStr">
        <is>
          <t>SOLLEFTEÅ</t>
        </is>
      </c>
      <c r="G4547" t="n">
        <v>0</v>
      </c>
      <c r="H4547" t="n">
        <v>0</v>
      </c>
      <c r="I4547" t="n">
        <v>0</v>
      </c>
      <c r="J4547" t="n">
        <v>0</v>
      </c>
      <c r="K4547" t="n">
        <v>0</v>
      </c>
      <c r="L4547" t="n">
        <v>0</v>
      </c>
      <c r="M4547" t="n">
        <v>0</v>
      </c>
      <c r="N4547" t="n">
        <v>0</v>
      </c>
      <c r="O4547" t="n">
        <v>0</v>
      </c>
      <c r="P4547" t="n">
        <v>0</v>
      </c>
      <c r="Q4547" t="n">
        <v>0</v>
      </c>
      <c r="R4547" s="2" t="inlineStr"/>
    </row>
    <row r="4548" ht="15" customHeight="1">
      <c r="A4548" t="inlineStr">
        <is>
          <t>A 71351-2021</t>
        </is>
      </c>
      <c r="B4548" s="1" t="n">
        <v>44539</v>
      </c>
      <c r="C4548" s="1" t="n">
        <v>45212</v>
      </c>
      <c r="D4548" t="inlineStr">
        <is>
          <t>VÄSTERNORRLANDS LÄN</t>
        </is>
      </c>
      <c r="E4548" t="inlineStr">
        <is>
          <t>SOLLEFTEÅ</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71213-2021</t>
        </is>
      </c>
      <c r="B4549" s="1" t="n">
        <v>44539</v>
      </c>
      <c r="C4549" s="1" t="n">
        <v>45212</v>
      </c>
      <c r="D4549" t="inlineStr">
        <is>
          <t>VÄSTERNORRLANDS LÄN</t>
        </is>
      </c>
      <c r="E4549" t="inlineStr">
        <is>
          <t>TIMRÅ</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71348-2021</t>
        </is>
      </c>
      <c r="B4550" s="1" t="n">
        <v>44539</v>
      </c>
      <c r="C4550" s="1" t="n">
        <v>45212</v>
      </c>
      <c r="D4550" t="inlineStr">
        <is>
          <t>VÄSTERNORRLANDS LÄN</t>
        </is>
      </c>
      <c r="E4550" t="inlineStr">
        <is>
          <t>SOLLEFTEÅ</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71722-2021</t>
        </is>
      </c>
      <c r="B4551" s="1" t="n">
        <v>44539</v>
      </c>
      <c r="C4551" s="1" t="n">
        <v>45212</v>
      </c>
      <c r="D4551" t="inlineStr">
        <is>
          <t>VÄSTERNORRLANDS LÄN</t>
        </is>
      </c>
      <c r="E4551" t="inlineStr">
        <is>
          <t>KRAMFORS</t>
        </is>
      </c>
      <c r="G4551" t="n">
        <v>3.9</v>
      </c>
      <c r="H4551" t="n">
        <v>0</v>
      </c>
      <c r="I4551" t="n">
        <v>0</v>
      </c>
      <c r="J4551" t="n">
        <v>0</v>
      </c>
      <c r="K4551" t="n">
        <v>0</v>
      </c>
      <c r="L4551" t="n">
        <v>0</v>
      </c>
      <c r="M4551" t="n">
        <v>0</v>
      </c>
      <c r="N4551" t="n">
        <v>0</v>
      </c>
      <c r="O4551" t="n">
        <v>0</v>
      </c>
      <c r="P4551" t="n">
        <v>0</v>
      </c>
      <c r="Q4551" t="n">
        <v>0</v>
      </c>
      <c r="R4551" s="2" t="inlineStr"/>
    </row>
    <row r="4552" ht="15" customHeight="1">
      <c r="A4552" t="inlineStr">
        <is>
          <t>A 71983-2021</t>
        </is>
      </c>
      <c r="B4552" s="1" t="n">
        <v>44540</v>
      </c>
      <c r="C4552" s="1" t="n">
        <v>45212</v>
      </c>
      <c r="D4552" t="inlineStr">
        <is>
          <t>VÄSTERNORRLANDS LÄN</t>
        </is>
      </c>
      <c r="E4552" t="inlineStr">
        <is>
          <t>SUNDSVALL</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72008-2021</t>
        </is>
      </c>
      <c r="B4553" s="1" t="n">
        <v>44540</v>
      </c>
      <c r="C4553" s="1" t="n">
        <v>45212</v>
      </c>
      <c r="D4553" t="inlineStr">
        <is>
          <t>VÄSTERNORRLANDS LÄN</t>
        </is>
      </c>
      <c r="E4553" t="inlineStr">
        <is>
          <t>KRAMFORS</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71547-2021</t>
        </is>
      </c>
      <c r="B4554" s="1" t="n">
        <v>44540</v>
      </c>
      <c r="C4554" s="1" t="n">
        <v>45212</v>
      </c>
      <c r="D4554" t="inlineStr">
        <is>
          <t>VÄSTERNORRLANDS LÄN</t>
        </is>
      </c>
      <c r="E4554" t="inlineStr">
        <is>
          <t>ÖRNSKÖLDSVIK</t>
        </is>
      </c>
      <c r="F4554" t="inlineStr">
        <is>
          <t>Holmen skog AB</t>
        </is>
      </c>
      <c r="G4554" t="n">
        <v>4.3</v>
      </c>
      <c r="H4554" t="n">
        <v>0</v>
      </c>
      <c r="I4554" t="n">
        <v>0</v>
      </c>
      <c r="J4554" t="n">
        <v>0</v>
      </c>
      <c r="K4554" t="n">
        <v>0</v>
      </c>
      <c r="L4554" t="n">
        <v>0</v>
      </c>
      <c r="M4554" t="n">
        <v>0</v>
      </c>
      <c r="N4554" t="n">
        <v>0</v>
      </c>
      <c r="O4554" t="n">
        <v>0</v>
      </c>
      <c r="P4554" t="n">
        <v>0</v>
      </c>
      <c r="Q4554" t="n">
        <v>0</v>
      </c>
      <c r="R4554" s="2" t="inlineStr"/>
    </row>
    <row r="4555" ht="15" customHeight="1">
      <c r="A4555" t="inlineStr">
        <is>
          <t>A 71453-2021</t>
        </is>
      </c>
      <c r="B4555" s="1" t="n">
        <v>44540</v>
      </c>
      <c r="C4555" s="1" t="n">
        <v>45212</v>
      </c>
      <c r="D4555" t="inlineStr">
        <is>
          <t>VÄSTERNORRLANDS LÄN</t>
        </is>
      </c>
      <c r="E4555" t="inlineStr">
        <is>
          <t>ÖRNSKÖLDSVIK</t>
        </is>
      </c>
      <c r="F4555" t="inlineStr">
        <is>
          <t>Holmen skog AB</t>
        </is>
      </c>
      <c r="G4555" t="n">
        <v>3.2</v>
      </c>
      <c r="H4555" t="n">
        <v>0</v>
      </c>
      <c r="I4555" t="n">
        <v>0</v>
      </c>
      <c r="J4555" t="n">
        <v>0</v>
      </c>
      <c r="K4555" t="n">
        <v>0</v>
      </c>
      <c r="L4555" t="n">
        <v>0</v>
      </c>
      <c r="M4555" t="n">
        <v>0</v>
      </c>
      <c r="N4555" t="n">
        <v>0</v>
      </c>
      <c r="O4555" t="n">
        <v>0</v>
      </c>
      <c r="P4555" t="n">
        <v>0</v>
      </c>
      <c r="Q4555" t="n">
        <v>0</v>
      </c>
      <c r="R4555" s="2" t="inlineStr"/>
    </row>
    <row r="4556" ht="15" customHeight="1">
      <c r="A4556" t="inlineStr">
        <is>
          <t>A 71580-2021</t>
        </is>
      </c>
      <c r="B4556" s="1" t="n">
        <v>44540</v>
      </c>
      <c r="C4556" s="1" t="n">
        <v>45212</v>
      </c>
      <c r="D4556" t="inlineStr">
        <is>
          <t>VÄSTERNORRLANDS LÄN</t>
        </is>
      </c>
      <c r="E4556" t="inlineStr">
        <is>
          <t>SOLLEFTEÅ</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72245-2021</t>
        </is>
      </c>
      <c r="B4557" s="1" t="n">
        <v>44544</v>
      </c>
      <c r="C4557" s="1" t="n">
        <v>45212</v>
      </c>
      <c r="D4557" t="inlineStr">
        <is>
          <t>VÄSTERNORRLANDS LÄN</t>
        </is>
      </c>
      <c r="E4557" t="inlineStr">
        <is>
          <t>HÄRNÖSAND</t>
        </is>
      </c>
      <c r="F4557" t="inlineStr">
        <is>
          <t>SCA</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72249-2021</t>
        </is>
      </c>
      <c r="B4558" s="1" t="n">
        <v>44544</v>
      </c>
      <c r="C4558" s="1" t="n">
        <v>45212</v>
      </c>
      <c r="D4558" t="inlineStr">
        <is>
          <t>VÄSTERNORRLANDS LÄN</t>
        </is>
      </c>
      <c r="E4558" t="inlineStr">
        <is>
          <t>SOLLEFTEÅ</t>
        </is>
      </c>
      <c r="F4558" t="inlineStr">
        <is>
          <t>SCA</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72321-2021</t>
        </is>
      </c>
      <c r="B4559" s="1" t="n">
        <v>44544</v>
      </c>
      <c r="C4559" s="1" t="n">
        <v>45212</v>
      </c>
      <c r="D4559" t="inlineStr">
        <is>
          <t>VÄSTERNORRLANDS LÄN</t>
        </is>
      </c>
      <c r="E4559" t="inlineStr">
        <is>
          <t>KRAMFORS</t>
        </is>
      </c>
      <c r="G4559" t="n">
        <v>7.1</v>
      </c>
      <c r="H4559" t="n">
        <v>0</v>
      </c>
      <c r="I4559" t="n">
        <v>0</v>
      </c>
      <c r="J4559" t="n">
        <v>0</v>
      </c>
      <c r="K4559" t="n">
        <v>0</v>
      </c>
      <c r="L4559" t="n">
        <v>0</v>
      </c>
      <c r="M4559" t="n">
        <v>0</v>
      </c>
      <c r="N4559" t="n">
        <v>0</v>
      </c>
      <c r="O4559" t="n">
        <v>0</v>
      </c>
      <c r="P4559" t="n">
        <v>0</v>
      </c>
      <c r="Q4559" t="n">
        <v>0</v>
      </c>
      <c r="R4559" s="2" t="inlineStr"/>
    </row>
    <row r="4560" ht="15" customHeight="1">
      <c r="A4560" t="inlineStr">
        <is>
          <t>A 72485-2021</t>
        </is>
      </c>
      <c r="B4560" s="1" t="n">
        <v>44545</v>
      </c>
      <c r="C4560" s="1" t="n">
        <v>45212</v>
      </c>
      <c r="D4560" t="inlineStr">
        <is>
          <t>VÄSTERNORRLANDS LÄN</t>
        </is>
      </c>
      <c r="E4560" t="inlineStr">
        <is>
          <t>SOLLEFTEÅ</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72642-2021</t>
        </is>
      </c>
      <c r="B4561" s="1" t="n">
        <v>44545</v>
      </c>
      <c r="C4561" s="1" t="n">
        <v>45212</v>
      </c>
      <c r="D4561" t="inlineStr">
        <is>
          <t>VÄSTERNORRLANDS LÄN</t>
        </is>
      </c>
      <c r="E4561" t="inlineStr">
        <is>
          <t>ÖRNSKÖLDSVIK</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72315-2021</t>
        </is>
      </c>
      <c r="B4562" s="1" t="n">
        <v>44545</v>
      </c>
      <c r="C4562" s="1" t="n">
        <v>45212</v>
      </c>
      <c r="D4562" t="inlineStr">
        <is>
          <t>VÄSTERNORRLANDS LÄN</t>
        </is>
      </c>
      <c r="E4562" t="inlineStr">
        <is>
          <t>SOLLEFTEÅ</t>
        </is>
      </c>
      <c r="F4562" t="inlineStr">
        <is>
          <t>SCA</t>
        </is>
      </c>
      <c r="G4562" t="n">
        <v>6.6</v>
      </c>
      <c r="H4562" t="n">
        <v>0</v>
      </c>
      <c r="I4562" t="n">
        <v>0</v>
      </c>
      <c r="J4562" t="n">
        <v>0</v>
      </c>
      <c r="K4562" t="n">
        <v>0</v>
      </c>
      <c r="L4562" t="n">
        <v>0</v>
      </c>
      <c r="M4562" t="n">
        <v>0</v>
      </c>
      <c r="N4562" t="n">
        <v>0</v>
      </c>
      <c r="O4562" t="n">
        <v>0</v>
      </c>
      <c r="P4562" t="n">
        <v>0</v>
      </c>
      <c r="Q4562" t="n">
        <v>0</v>
      </c>
      <c r="R4562" s="2" t="inlineStr"/>
    </row>
    <row r="4563" ht="15" customHeight="1">
      <c r="A4563" t="inlineStr">
        <is>
          <t>A 72397-2021</t>
        </is>
      </c>
      <c r="B4563" s="1" t="n">
        <v>44545</v>
      </c>
      <c r="C4563" s="1" t="n">
        <v>45212</v>
      </c>
      <c r="D4563" t="inlineStr">
        <is>
          <t>VÄSTERNORRLANDS LÄN</t>
        </is>
      </c>
      <c r="E4563" t="inlineStr">
        <is>
          <t>ÖRNSKÖLDSVIK</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72559-2021</t>
        </is>
      </c>
      <c r="B4564" s="1" t="n">
        <v>44546</v>
      </c>
      <c r="C4564" s="1" t="n">
        <v>45212</v>
      </c>
      <c r="D4564" t="inlineStr">
        <is>
          <t>VÄSTERNORRLANDS LÄN</t>
        </is>
      </c>
      <c r="E4564" t="inlineStr">
        <is>
          <t>KRAMFORS</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72825-2021</t>
        </is>
      </c>
      <c r="B4565" s="1" t="n">
        <v>44546</v>
      </c>
      <c r="C4565" s="1" t="n">
        <v>45212</v>
      </c>
      <c r="D4565" t="inlineStr">
        <is>
          <t>VÄSTERNORRLANDS LÄN</t>
        </is>
      </c>
      <c r="E4565" t="inlineStr">
        <is>
          <t>KRAMFORS</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72958-2021</t>
        </is>
      </c>
      <c r="B4566" s="1" t="n">
        <v>44547</v>
      </c>
      <c r="C4566" s="1" t="n">
        <v>45212</v>
      </c>
      <c r="D4566" t="inlineStr">
        <is>
          <t>VÄSTERNORRLANDS LÄN</t>
        </is>
      </c>
      <c r="E4566" t="inlineStr">
        <is>
          <t>SOLLEFTEÅ</t>
        </is>
      </c>
      <c r="F4566" t="inlineStr">
        <is>
          <t>SCA</t>
        </is>
      </c>
      <c r="G4566" t="n">
        <v>2.2</v>
      </c>
      <c r="H4566" t="n">
        <v>0</v>
      </c>
      <c r="I4566" t="n">
        <v>0</v>
      </c>
      <c r="J4566" t="n">
        <v>0</v>
      </c>
      <c r="K4566" t="n">
        <v>0</v>
      </c>
      <c r="L4566" t="n">
        <v>0</v>
      </c>
      <c r="M4566" t="n">
        <v>0</v>
      </c>
      <c r="N4566" t="n">
        <v>0</v>
      </c>
      <c r="O4566" t="n">
        <v>0</v>
      </c>
      <c r="P4566" t="n">
        <v>0</v>
      </c>
      <c r="Q4566" t="n">
        <v>0</v>
      </c>
      <c r="R4566" s="2" t="inlineStr"/>
    </row>
    <row r="4567" ht="15" customHeight="1">
      <c r="A4567" t="inlineStr">
        <is>
          <t>A 72977-2021</t>
        </is>
      </c>
      <c r="B4567" s="1" t="n">
        <v>44548</v>
      </c>
      <c r="C4567" s="1" t="n">
        <v>45212</v>
      </c>
      <c r="D4567" t="inlineStr">
        <is>
          <t>VÄSTERNORRLANDS LÄN</t>
        </is>
      </c>
      <c r="E4567" t="inlineStr">
        <is>
          <t>SOLLEFTEÅ</t>
        </is>
      </c>
      <c r="F4567" t="inlineStr">
        <is>
          <t>SCA</t>
        </is>
      </c>
      <c r="G4567" t="n">
        <v>6.1</v>
      </c>
      <c r="H4567" t="n">
        <v>0</v>
      </c>
      <c r="I4567" t="n">
        <v>0</v>
      </c>
      <c r="J4567" t="n">
        <v>0</v>
      </c>
      <c r="K4567" t="n">
        <v>0</v>
      </c>
      <c r="L4567" t="n">
        <v>0</v>
      </c>
      <c r="M4567" t="n">
        <v>0</v>
      </c>
      <c r="N4567" t="n">
        <v>0</v>
      </c>
      <c r="O4567" t="n">
        <v>0</v>
      </c>
      <c r="P4567" t="n">
        <v>0</v>
      </c>
      <c r="Q4567" t="n">
        <v>0</v>
      </c>
      <c r="R4567" s="2" t="inlineStr"/>
    </row>
    <row r="4568" ht="15" customHeight="1">
      <c r="A4568" t="inlineStr">
        <is>
          <t>A 73225-2021</t>
        </is>
      </c>
      <c r="B4568" s="1" t="n">
        <v>44550</v>
      </c>
      <c r="C4568" s="1" t="n">
        <v>45212</v>
      </c>
      <c r="D4568" t="inlineStr">
        <is>
          <t>VÄSTERNORRLANDS LÄN</t>
        </is>
      </c>
      <c r="E4568" t="inlineStr">
        <is>
          <t>TIMRÅ</t>
        </is>
      </c>
      <c r="G4568" t="n">
        <v>8.199999999999999</v>
      </c>
      <c r="H4568" t="n">
        <v>0</v>
      </c>
      <c r="I4568" t="n">
        <v>0</v>
      </c>
      <c r="J4568" t="n">
        <v>0</v>
      </c>
      <c r="K4568" t="n">
        <v>0</v>
      </c>
      <c r="L4568" t="n">
        <v>0</v>
      </c>
      <c r="M4568" t="n">
        <v>0</v>
      </c>
      <c r="N4568" t="n">
        <v>0</v>
      </c>
      <c r="O4568" t="n">
        <v>0</v>
      </c>
      <c r="P4568" t="n">
        <v>0</v>
      </c>
      <c r="Q4568" t="n">
        <v>0</v>
      </c>
      <c r="R4568" s="2" t="inlineStr"/>
    </row>
    <row r="4569" ht="15" customHeight="1">
      <c r="A4569" t="inlineStr">
        <is>
          <t>A 73344-2021</t>
        </is>
      </c>
      <c r="B4569" s="1" t="n">
        <v>44550</v>
      </c>
      <c r="C4569" s="1" t="n">
        <v>45212</v>
      </c>
      <c r="D4569" t="inlineStr">
        <is>
          <t>VÄSTERNORRLANDS LÄN</t>
        </is>
      </c>
      <c r="E4569" t="inlineStr">
        <is>
          <t>ÖRNSKÖLDSVIK</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73277-2021</t>
        </is>
      </c>
      <c r="B4570" s="1" t="n">
        <v>44550</v>
      </c>
      <c r="C4570" s="1" t="n">
        <v>45212</v>
      </c>
      <c r="D4570" t="inlineStr">
        <is>
          <t>VÄSTERNORRLANDS LÄN</t>
        </is>
      </c>
      <c r="E4570" t="inlineStr">
        <is>
          <t>KRAMFORS</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73367-2021</t>
        </is>
      </c>
      <c r="B4571" s="1" t="n">
        <v>44550</v>
      </c>
      <c r="C4571" s="1" t="n">
        <v>45212</v>
      </c>
      <c r="D4571" t="inlineStr">
        <is>
          <t>VÄSTERNORRLANDS LÄN</t>
        </is>
      </c>
      <c r="E4571" t="inlineStr">
        <is>
          <t>SOLLEFTEÅ</t>
        </is>
      </c>
      <c r="G4571" t="n">
        <v>10.8</v>
      </c>
      <c r="H4571" t="n">
        <v>0</v>
      </c>
      <c r="I4571" t="n">
        <v>0</v>
      </c>
      <c r="J4571" t="n">
        <v>0</v>
      </c>
      <c r="K4571" t="n">
        <v>0</v>
      </c>
      <c r="L4571" t="n">
        <v>0</v>
      </c>
      <c r="M4571" t="n">
        <v>0</v>
      </c>
      <c r="N4571" t="n">
        <v>0</v>
      </c>
      <c r="O4571" t="n">
        <v>0</v>
      </c>
      <c r="P4571" t="n">
        <v>0</v>
      </c>
      <c r="Q4571" t="n">
        <v>0</v>
      </c>
      <c r="R4571" s="2" t="inlineStr"/>
    </row>
    <row r="4572" ht="15" customHeight="1">
      <c r="A4572" t="inlineStr">
        <is>
          <t>A 73763-2021</t>
        </is>
      </c>
      <c r="B4572" s="1" t="n">
        <v>44552</v>
      </c>
      <c r="C4572" s="1" t="n">
        <v>45212</v>
      </c>
      <c r="D4572" t="inlineStr">
        <is>
          <t>VÄSTERNORRLANDS LÄN</t>
        </is>
      </c>
      <c r="E4572" t="inlineStr">
        <is>
          <t>ÖRNSKÖLDSVIK</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73878-2021</t>
        </is>
      </c>
      <c r="B4573" s="1" t="n">
        <v>44552</v>
      </c>
      <c r="C4573" s="1" t="n">
        <v>45212</v>
      </c>
      <c r="D4573" t="inlineStr">
        <is>
          <t>VÄSTERNORRLANDS LÄN</t>
        </is>
      </c>
      <c r="E4573" t="inlineStr">
        <is>
          <t>KRAMFORS</t>
        </is>
      </c>
      <c r="G4573" t="n">
        <v>9.6</v>
      </c>
      <c r="H4573" t="n">
        <v>0</v>
      </c>
      <c r="I4573" t="n">
        <v>0</v>
      </c>
      <c r="J4573" t="n">
        <v>0</v>
      </c>
      <c r="K4573" t="n">
        <v>0</v>
      </c>
      <c r="L4573" t="n">
        <v>0</v>
      </c>
      <c r="M4573" t="n">
        <v>0</v>
      </c>
      <c r="N4573" t="n">
        <v>0</v>
      </c>
      <c r="O4573" t="n">
        <v>0</v>
      </c>
      <c r="P4573" t="n">
        <v>0</v>
      </c>
      <c r="Q4573" t="n">
        <v>0</v>
      </c>
      <c r="R4573" s="2" t="inlineStr"/>
    </row>
    <row r="4574" ht="15" customHeight="1">
      <c r="A4574" t="inlineStr">
        <is>
          <t>A 74223-2021</t>
        </is>
      </c>
      <c r="B4574" s="1" t="n">
        <v>44553</v>
      </c>
      <c r="C4574" s="1" t="n">
        <v>45212</v>
      </c>
      <c r="D4574" t="inlineStr">
        <is>
          <t>VÄSTERNORRLANDS LÄN</t>
        </is>
      </c>
      <c r="E4574" t="inlineStr">
        <is>
          <t>HÄRNÖSAND</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73886-2021</t>
        </is>
      </c>
      <c r="B4575" s="1" t="n">
        <v>44553</v>
      </c>
      <c r="C4575" s="1" t="n">
        <v>45212</v>
      </c>
      <c r="D4575" t="inlineStr">
        <is>
          <t>VÄSTERNORRLANDS LÄN</t>
        </is>
      </c>
      <c r="E4575" t="inlineStr">
        <is>
          <t>SOLLEFTEÅ</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73980-2021</t>
        </is>
      </c>
      <c r="B4576" s="1" t="n">
        <v>44554</v>
      </c>
      <c r="C4576" s="1" t="n">
        <v>45212</v>
      </c>
      <c r="D4576" t="inlineStr">
        <is>
          <t>VÄSTERNORRLANDS LÄN</t>
        </is>
      </c>
      <c r="E4576" t="inlineStr">
        <is>
          <t>SUNDSVALL</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73979-2021</t>
        </is>
      </c>
      <c r="B4577" s="1" t="n">
        <v>44554</v>
      </c>
      <c r="C4577" s="1" t="n">
        <v>45212</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73988-2021</t>
        </is>
      </c>
      <c r="B4578" s="1" t="n">
        <v>44556</v>
      </c>
      <c r="C4578" s="1" t="n">
        <v>45212</v>
      </c>
      <c r="D4578" t="inlineStr">
        <is>
          <t>VÄSTERNORRLANDS LÄN</t>
        </is>
      </c>
      <c r="E4578" t="inlineStr">
        <is>
          <t>KRAMFORS</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73989-2021</t>
        </is>
      </c>
      <c r="B4579" s="1" t="n">
        <v>44556</v>
      </c>
      <c r="C4579" s="1" t="n">
        <v>45212</v>
      </c>
      <c r="D4579" t="inlineStr">
        <is>
          <t>VÄSTERNORRLANDS LÄN</t>
        </is>
      </c>
      <c r="E4579" t="inlineStr">
        <is>
          <t>KRAMFORS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74150-2021</t>
        </is>
      </c>
      <c r="B4580" s="1" t="n">
        <v>44557</v>
      </c>
      <c r="C4580" s="1" t="n">
        <v>45212</v>
      </c>
      <c r="D4580" t="inlineStr">
        <is>
          <t>VÄSTERNORRLANDS LÄN</t>
        </is>
      </c>
      <c r="E4580" t="inlineStr">
        <is>
          <t>TIMRÅ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74043-2021</t>
        </is>
      </c>
      <c r="B4581" s="1" t="n">
        <v>44557</v>
      </c>
      <c r="C4581" s="1" t="n">
        <v>45212</v>
      </c>
      <c r="D4581" t="inlineStr">
        <is>
          <t>VÄSTERNORRLANDS LÄN</t>
        </is>
      </c>
      <c r="E4581" t="inlineStr">
        <is>
          <t>TIMRÅ</t>
        </is>
      </c>
      <c r="G4581" t="n">
        <v>0.1</v>
      </c>
      <c r="H4581" t="n">
        <v>0</v>
      </c>
      <c r="I4581" t="n">
        <v>0</v>
      </c>
      <c r="J4581" t="n">
        <v>0</v>
      </c>
      <c r="K4581" t="n">
        <v>0</v>
      </c>
      <c r="L4581" t="n">
        <v>0</v>
      </c>
      <c r="M4581" t="n">
        <v>0</v>
      </c>
      <c r="N4581" t="n">
        <v>0</v>
      </c>
      <c r="O4581" t="n">
        <v>0</v>
      </c>
      <c r="P4581" t="n">
        <v>0</v>
      </c>
      <c r="Q4581" t="n">
        <v>0</v>
      </c>
      <c r="R4581" s="2" t="inlineStr"/>
    </row>
    <row r="4582" ht="15" customHeight="1">
      <c r="A4582" t="inlineStr">
        <is>
          <t>A 74044-2021</t>
        </is>
      </c>
      <c r="B4582" s="1" t="n">
        <v>44557</v>
      </c>
      <c r="C4582" s="1" t="n">
        <v>45212</v>
      </c>
      <c r="D4582" t="inlineStr">
        <is>
          <t>VÄSTERNORRLANDS LÄN</t>
        </is>
      </c>
      <c r="E4582" t="inlineStr">
        <is>
          <t>TIMRÅ</t>
        </is>
      </c>
      <c r="G4582" t="n">
        <v>0.2</v>
      </c>
      <c r="H4582" t="n">
        <v>0</v>
      </c>
      <c r="I4582" t="n">
        <v>0</v>
      </c>
      <c r="J4582" t="n">
        <v>0</v>
      </c>
      <c r="K4582" t="n">
        <v>0</v>
      </c>
      <c r="L4582" t="n">
        <v>0</v>
      </c>
      <c r="M4582" t="n">
        <v>0</v>
      </c>
      <c r="N4582" t="n">
        <v>0</v>
      </c>
      <c r="O4582" t="n">
        <v>0</v>
      </c>
      <c r="P4582" t="n">
        <v>0</v>
      </c>
      <c r="Q4582" t="n">
        <v>0</v>
      </c>
      <c r="R4582" s="2" t="inlineStr"/>
    </row>
    <row r="4583" ht="15" customHeight="1">
      <c r="A4583" t="inlineStr">
        <is>
          <t>A 74104-2021</t>
        </is>
      </c>
      <c r="B4583" s="1" t="n">
        <v>44557</v>
      </c>
      <c r="C4583" s="1" t="n">
        <v>45212</v>
      </c>
      <c r="D4583" t="inlineStr">
        <is>
          <t>VÄSTERNORRLANDS LÄN</t>
        </is>
      </c>
      <c r="E4583" t="inlineStr">
        <is>
          <t>SUNDSVALL</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74148-2021</t>
        </is>
      </c>
      <c r="B4584" s="1" t="n">
        <v>44557</v>
      </c>
      <c r="C4584" s="1" t="n">
        <v>45212</v>
      </c>
      <c r="D4584" t="inlineStr">
        <is>
          <t>VÄSTERNORRLANDS LÄN</t>
        </is>
      </c>
      <c r="E4584" t="inlineStr">
        <is>
          <t>TIMRÅ</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74177-2021</t>
        </is>
      </c>
      <c r="B4585" s="1" t="n">
        <v>44558</v>
      </c>
      <c r="C4585" s="1" t="n">
        <v>45212</v>
      </c>
      <c r="D4585" t="inlineStr">
        <is>
          <t>VÄSTERNORRLANDS LÄN</t>
        </is>
      </c>
      <c r="E4585" t="inlineStr">
        <is>
          <t>TIMRÅ</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74334-2021</t>
        </is>
      </c>
      <c r="B4586" s="1" t="n">
        <v>44559</v>
      </c>
      <c r="C4586" s="1" t="n">
        <v>45212</v>
      </c>
      <c r="D4586" t="inlineStr">
        <is>
          <t>VÄSTERNORRLANDS LÄN</t>
        </is>
      </c>
      <c r="E4586" t="inlineStr">
        <is>
          <t>HÄRNÖSAND</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74383-2021</t>
        </is>
      </c>
      <c r="B4587" s="1" t="n">
        <v>44559</v>
      </c>
      <c r="C4587" s="1" t="n">
        <v>45212</v>
      </c>
      <c r="D4587" t="inlineStr">
        <is>
          <t>VÄSTERNORRLANDS LÄN</t>
        </is>
      </c>
      <c r="E4587" t="inlineStr">
        <is>
          <t>SUNDSVALL</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74384-2021</t>
        </is>
      </c>
      <c r="B4588" s="1" t="n">
        <v>44559</v>
      </c>
      <c r="C4588" s="1" t="n">
        <v>45212</v>
      </c>
      <c r="D4588" t="inlineStr">
        <is>
          <t>VÄSTERNORRLANDS LÄN</t>
        </is>
      </c>
      <c r="E4588" t="inlineStr">
        <is>
          <t>SUNDSVALL</t>
        </is>
      </c>
      <c r="G4588" t="n">
        <v>4.2</v>
      </c>
      <c r="H4588" t="n">
        <v>0</v>
      </c>
      <c r="I4588" t="n">
        <v>0</v>
      </c>
      <c r="J4588" t="n">
        <v>0</v>
      </c>
      <c r="K4588" t="n">
        <v>0</v>
      </c>
      <c r="L4588" t="n">
        <v>0</v>
      </c>
      <c r="M4588" t="n">
        <v>0</v>
      </c>
      <c r="N4588" t="n">
        <v>0</v>
      </c>
      <c r="O4588" t="n">
        <v>0</v>
      </c>
      <c r="P4588" t="n">
        <v>0</v>
      </c>
      <c r="Q4588" t="n">
        <v>0</v>
      </c>
      <c r="R4588" s="2" t="inlineStr"/>
    </row>
    <row r="4589" ht="15" customHeight="1">
      <c r="A4589" t="inlineStr">
        <is>
          <t>A 2-2022</t>
        </is>
      </c>
      <c r="B4589" s="1" t="n">
        <v>44562</v>
      </c>
      <c r="C4589" s="1" t="n">
        <v>45212</v>
      </c>
      <c r="D4589" t="inlineStr">
        <is>
          <t>VÄSTERNORRLANDS LÄN</t>
        </is>
      </c>
      <c r="E4589" t="inlineStr">
        <is>
          <t>SOLLEFTEÅ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183-2022</t>
        </is>
      </c>
      <c r="B4590" s="1" t="n">
        <v>44564</v>
      </c>
      <c r="C4590" s="1" t="n">
        <v>45212</v>
      </c>
      <c r="D4590" t="inlineStr">
        <is>
          <t>VÄSTERNORRLANDS LÄN</t>
        </is>
      </c>
      <c r="E4590" t="inlineStr">
        <is>
          <t>KRAMFORS</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227-2022</t>
        </is>
      </c>
      <c r="B4591" s="1" t="n">
        <v>44564</v>
      </c>
      <c r="C4591" s="1" t="n">
        <v>45212</v>
      </c>
      <c r="D4591" t="inlineStr">
        <is>
          <t>VÄSTERNORRLANDS LÄN</t>
        </is>
      </c>
      <c r="E4591" t="inlineStr">
        <is>
          <t>SUNDSVALL</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228-2022</t>
        </is>
      </c>
      <c r="B4592" s="1" t="n">
        <v>44564</v>
      </c>
      <c r="C4592" s="1" t="n">
        <v>45212</v>
      </c>
      <c r="D4592" t="inlineStr">
        <is>
          <t>VÄSTERNORRLANDS LÄN</t>
        </is>
      </c>
      <c r="E4592" t="inlineStr">
        <is>
          <t>SUNDSVALL</t>
        </is>
      </c>
      <c r="G4592" t="n">
        <v>0.5</v>
      </c>
      <c r="H4592" t="n">
        <v>0</v>
      </c>
      <c r="I4592" t="n">
        <v>0</v>
      </c>
      <c r="J4592" t="n">
        <v>0</v>
      </c>
      <c r="K4592" t="n">
        <v>0</v>
      </c>
      <c r="L4592" t="n">
        <v>0</v>
      </c>
      <c r="M4592" t="n">
        <v>0</v>
      </c>
      <c r="N4592" t="n">
        <v>0</v>
      </c>
      <c r="O4592" t="n">
        <v>0</v>
      </c>
      <c r="P4592" t="n">
        <v>0</v>
      </c>
      <c r="Q4592" t="n">
        <v>0</v>
      </c>
      <c r="R4592" s="2" t="inlineStr"/>
    </row>
    <row r="4593" ht="15" customHeight="1">
      <c r="A4593" t="inlineStr">
        <is>
          <t>A 352-2022</t>
        </is>
      </c>
      <c r="B4593" s="1" t="n">
        <v>44564</v>
      </c>
      <c r="C4593" s="1" t="n">
        <v>45212</v>
      </c>
      <c r="D4593" t="inlineStr">
        <is>
          <t>VÄSTERNORRLANDS LÄN</t>
        </is>
      </c>
      <c r="E4593" t="inlineStr">
        <is>
          <t>ÖRNSKÖLDSVIK</t>
        </is>
      </c>
      <c r="G4593" t="n">
        <v>7.2</v>
      </c>
      <c r="H4593" t="n">
        <v>0</v>
      </c>
      <c r="I4593" t="n">
        <v>0</v>
      </c>
      <c r="J4593" t="n">
        <v>0</v>
      </c>
      <c r="K4593" t="n">
        <v>0</v>
      </c>
      <c r="L4593" t="n">
        <v>0</v>
      </c>
      <c r="M4593" t="n">
        <v>0</v>
      </c>
      <c r="N4593" t="n">
        <v>0</v>
      </c>
      <c r="O4593" t="n">
        <v>0</v>
      </c>
      <c r="P4593" t="n">
        <v>0</v>
      </c>
      <c r="Q4593" t="n">
        <v>0</v>
      </c>
      <c r="R4593" s="2" t="inlineStr"/>
    </row>
    <row r="4594" ht="15" customHeight="1">
      <c r="A4594" t="inlineStr">
        <is>
          <t>A 19-2022</t>
        </is>
      </c>
      <c r="B4594" s="1" t="n">
        <v>44564</v>
      </c>
      <c r="C4594" s="1" t="n">
        <v>45212</v>
      </c>
      <c r="D4594" t="inlineStr">
        <is>
          <t>VÄSTERNORRLANDS LÄN</t>
        </is>
      </c>
      <c r="E4594" t="inlineStr">
        <is>
          <t>SOLLEFTEÅ</t>
        </is>
      </c>
      <c r="G4594" t="n">
        <v>14.9</v>
      </c>
      <c r="H4594" t="n">
        <v>0</v>
      </c>
      <c r="I4594" t="n">
        <v>0</v>
      </c>
      <c r="J4594" t="n">
        <v>0</v>
      </c>
      <c r="K4594" t="n">
        <v>0</v>
      </c>
      <c r="L4594" t="n">
        <v>0</v>
      </c>
      <c r="M4594" t="n">
        <v>0</v>
      </c>
      <c r="N4594" t="n">
        <v>0</v>
      </c>
      <c r="O4594" t="n">
        <v>0</v>
      </c>
      <c r="P4594" t="n">
        <v>0</v>
      </c>
      <c r="Q4594" t="n">
        <v>0</v>
      </c>
      <c r="R4594" s="2" t="inlineStr"/>
    </row>
    <row r="4595" ht="15" customHeight="1">
      <c r="A4595" t="inlineStr">
        <is>
          <t>A 689-2022</t>
        </is>
      </c>
      <c r="B4595" s="1" t="n">
        <v>44566</v>
      </c>
      <c r="C4595" s="1" t="n">
        <v>45212</v>
      </c>
      <c r="D4595" t="inlineStr">
        <is>
          <t>VÄSTERNORRLANDS LÄN</t>
        </is>
      </c>
      <c r="E4595" t="inlineStr">
        <is>
          <t>ÖRNSKÖLDSVIK</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580-2022</t>
        </is>
      </c>
      <c r="B4596" s="1" t="n">
        <v>44566</v>
      </c>
      <c r="C4596" s="1" t="n">
        <v>45212</v>
      </c>
      <c r="D4596" t="inlineStr">
        <is>
          <t>VÄSTERNORRLANDS LÄN</t>
        </is>
      </c>
      <c r="E4596" t="inlineStr">
        <is>
          <t>TIMRÅ</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683-2022</t>
        </is>
      </c>
      <c r="B4597" s="1" t="n">
        <v>44566</v>
      </c>
      <c r="C4597" s="1" t="n">
        <v>45212</v>
      </c>
      <c r="D4597" t="inlineStr">
        <is>
          <t>VÄSTERNORRLANDS LÄN</t>
        </is>
      </c>
      <c r="E4597" t="inlineStr">
        <is>
          <t>ÖRNSKÖLDSVIK</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692-2022</t>
        </is>
      </c>
      <c r="B4598" s="1" t="n">
        <v>44566</v>
      </c>
      <c r="C4598" s="1" t="n">
        <v>45212</v>
      </c>
      <c r="D4598" t="inlineStr">
        <is>
          <t>VÄSTERNORRLANDS LÄN</t>
        </is>
      </c>
      <c r="E4598" t="inlineStr">
        <is>
          <t>KRAMFORS</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944-2022</t>
        </is>
      </c>
      <c r="B4599" s="1" t="n">
        <v>44568</v>
      </c>
      <c r="C4599" s="1" t="n">
        <v>45212</v>
      </c>
      <c r="D4599" t="inlineStr">
        <is>
          <t>VÄSTERNORRLANDS LÄN</t>
        </is>
      </c>
      <c r="E4599" t="inlineStr">
        <is>
          <t>ÖRNSKÖLDSVIK</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832-2022</t>
        </is>
      </c>
      <c r="B4600" s="1" t="n">
        <v>44568</v>
      </c>
      <c r="C4600" s="1" t="n">
        <v>45212</v>
      </c>
      <c r="D4600" t="inlineStr">
        <is>
          <t>VÄSTERNORRLANDS LÄN</t>
        </is>
      </c>
      <c r="E4600" t="inlineStr">
        <is>
          <t>ÖRNSKÖLDSVIK</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699-2022</t>
        </is>
      </c>
      <c r="B4601" s="1" t="n">
        <v>44568</v>
      </c>
      <c r="C4601" s="1" t="n">
        <v>45212</v>
      </c>
      <c r="D4601" t="inlineStr">
        <is>
          <t>VÄSTERNORRLANDS LÄN</t>
        </is>
      </c>
      <c r="E4601" t="inlineStr">
        <is>
          <t>ÖRNSKÖLDSVIK</t>
        </is>
      </c>
      <c r="G4601" t="n">
        <v>4.5</v>
      </c>
      <c r="H4601" t="n">
        <v>0</v>
      </c>
      <c r="I4601" t="n">
        <v>0</v>
      </c>
      <c r="J4601" t="n">
        <v>0</v>
      </c>
      <c r="K4601" t="n">
        <v>0</v>
      </c>
      <c r="L4601" t="n">
        <v>0</v>
      </c>
      <c r="M4601" t="n">
        <v>0</v>
      </c>
      <c r="N4601" t="n">
        <v>0</v>
      </c>
      <c r="O4601" t="n">
        <v>0</v>
      </c>
      <c r="P4601" t="n">
        <v>0</v>
      </c>
      <c r="Q4601" t="n">
        <v>0</v>
      </c>
      <c r="R4601" s="2" t="inlineStr"/>
    </row>
    <row r="4602" ht="15" customHeight="1">
      <c r="A4602" t="inlineStr">
        <is>
          <t>A 851-2022</t>
        </is>
      </c>
      <c r="B4602" s="1" t="n">
        <v>44568</v>
      </c>
      <c r="C4602" s="1" t="n">
        <v>45212</v>
      </c>
      <c r="D4602" t="inlineStr">
        <is>
          <t>VÄSTERNORRLANDS LÄN</t>
        </is>
      </c>
      <c r="E4602" t="inlineStr">
        <is>
          <t>ÖRNSKÖLDSVIK</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878-2022</t>
        </is>
      </c>
      <c r="B4603" s="1" t="n">
        <v>44571</v>
      </c>
      <c r="C4603" s="1" t="n">
        <v>45212</v>
      </c>
      <c r="D4603" t="inlineStr">
        <is>
          <t>VÄSTERNORRLANDS LÄN</t>
        </is>
      </c>
      <c r="E4603" t="inlineStr">
        <is>
          <t>KRAMFORS</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1100-2022</t>
        </is>
      </c>
      <c r="B4604" s="1" t="n">
        <v>44571</v>
      </c>
      <c r="C4604" s="1" t="n">
        <v>45212</v>
      </c>
      <c r="D4604" t="inlineStr">
        <is>
          <t>VÄSTERNORRLANDS LÄN</t>
        </is>
      </c>
      <c r="E4604" t="inlineStr">
        <is>
          <t>SUNDSVALL</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1094-2022</t>
        </is>
      </c>
      <c r="B4605" s="1" t="n">
        <v>44571</v>
      </c>
      <c r="C4605" s="1" t="n">
        <v>45212</v>
      </c>
      <c r="D4605" t="inlineStr">
        <is>
          <t>VÄSTERNORRLANDS LÄN</t>
        </is>
      </c>
      <c r="E4605" t="inlineStr">
        <is>
          <t>SOLLEFTEÅ</t>
        </is>
      </c>
      <c r="F4605" t="inlineStr">
        <is>
          <t>SCA</t>
        </is>
      </c>
      <c r="G4605" t="n">
        <v>6</v>
      </c>
      <c r="H4605" t="n">
        <v>0</v>
      </c>
      <c r="I4605" t="n">
        <v>0</v>
      </c>
      <c r="J4605" t="n">
        <v>0</v>
      </c>
      <c r="K4605" t="n">
        <v>0</v>
      </c>
      <c r="L4605" t="n">
        <v>0</v>
      </c>
      <c r="M4605" t="n">
        <v>0</v>
      </c>
      <c r="N4605" t="n">
        <v>0</v>
      </c>
      <c r="O4605" t="n">
        <v>0</v>
      </c>
      <c r="P4605" t="n">
        <v>0</v>
      </c>
      <c r="Q4605" t="n">
        <v>0</v>
      </c>
      <c r="R4605" s="2" t="inlineStr"/>
    </row>
    <row r="4606" ht="15" customHeight="1">
      <c r="A4606" t="inlineStr">
        <is>
          <t>A 992-2022</t>
        </is>
      </c>
      <c r="B4606" s="1" t="n">
        <v>44571</v>
      </c>
      <c r="C4606" s="1" t="n">
        <v>45212</v>
      </c>
      <c r="D4606" t="inlineStr">
        <is>
          <t>VÄSTERNORRLANDS LÄN</t>
        </is>
      </c>
      <c r="E4606" t="inlineStr">
        <is>
          <t>HÄRNÖSAND</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1088-2022</t>
        </is>
      </c>
      <c r="B4607" s="1" t="n">
        <v>44571</v>
      </c>
      <c r="C4607" s="1" t="n">
        <v>45212</v>
      </c>
      <c r="D4607" t="inlineStr">
        <is>
          <t>VÄSTERNORRLANDS LÄN</t>
        </is>
      </c>
      <c r="E4607" t="inlineStr">
        <is>
          <t>HÄRNÖSAND</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1215-2022</t>
        </is>
      </c>
      <c r="B4608" s="1" t="n">
        <v>44572</v>
      </c>
      <c r="C4608" s="1" t="n">
        <v>45212</v>
      </c>
      <c r="D4608" t="inlineStr">
        <is>
          <t>VÄSTERNORRLANDS LÄN</t>
        </is>
      </c>
      <c r="E4608" t="inlineStr">
        <is>
          <t>KRAMFORS</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1341-2022</t>
        </is>
      </c>
      <c r="B4609" s="1" t="n">
        <v>44572</v>
      </c>
      <c r="C4609" s="1" t="n">
        <v>45212</v>
      </c>
      <c r="D4609" t="inlineStr">
        <is>
          <t>VÄSTERNORRLANDS LÄN</t>
        </is>
      </c>
      <c r="E4609" t="inlineStr">
        <is>
          <t>SUNDSVALL</t>
        </is>
      </c>
      <c r="F4609" t="inlineStr">
        <is>
          <t>SCA</t>
        </is>
      </c>
      <c r="G4609" t="n">
        <v>19.1</v>
      </c>
      <c r="H4609" t="n">
        <v>0</v>
      </c>
      <c r="I4609" t="n">
        <v>0</v>
      </c>
      <c r="J4609" t="n">
        <v>0</v>
      </c>
      <c r="K4609" t="n">
        <v>0</v>
      </c>
      <c r="L4609" t="n">
        <v>0</v>
      </c>
      <c r="M4609" t="n">
        <v>0</v>
      </c>
      <c r="N4609" t="n">
        <v>0</v>
      </c>
      <c r="O4609" t="n">
        <v>0</v>
      </c>
      <c r="P4609" t="n">
        <v>0</v>
      </c>
      <c r="Q4609" t="n">
        <v>0</v>
      </c>
      <c r="R4609" s="2" t="inlineStr"/>
    </row>
    <row r="4610" ht="15" customHeight="1">
      <c r="A4610" t="inlineStr">
        <is>
          <t>A 1343-2022</t>
        </is>
      </c>
      <c r="B4610" s="1" t="n">
        <v>44572</v>
      </c>
      <c r="C4610" s="1" t="n">
        <v>45212</v>
      </c>
      <c r="D4610" t="inlineStr">
        <is>
          <t>VÄSTERNORRLANDS LÄN</t>
        </is>
      </c>
      <c r="E4610" t="inlineStr">
        <is>
          <t>HÄRNÖSAND</t>
        </is>
      </c>
      <c r="F4610" t="inlineStr">
        <is>
          <t>SCA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1342-2022</t>
        </is>
      </c>
      <c r="B4611" s="1" t="n">
        <v>44572</v>
      </c>
      <c r="C4611" s="1" t="n">
        <v>45212</v>
      </c>
      <c r="D4611" t="inlineStr">
        <is>
          <t>VÄSTERNORRLANDS LÄN</t>
        </is>
      </c>
      <c r="E4611" t="inlineStr">
        <is>
          <t>SUNDSVALL</t>
        </is>
      </c>
      <c r="F4611" t="inlineStr">
        <is>
          <t>SCA</t>
        </is>
      </c>
      <c r="G4611" t="n">
        <v>20.6</v>
      </c>
      <c r="H4611" t="n">
        <v>0</v>
      </c>
      <c r="I4611" t="n">
        <v>0</v>
      </c>
      <c r="J4611" t="n">
        <v>0</v>
      </c>
      <c r="K4611" t="n">
        <v>0</v>
      </c>
      <c r="L4611" t="n">
        <v>0</v>
      </c>
      <c r="M4611" t="n">
        <v>0</v>
      </c>
      <c r="N4611" t="n">
        <v>0</v>
      </c>
      <c r="O4611" t="n">
        <v>0</v>
      </c>
      <c r="P4611" t="n">
        <v>0</v>
      </c>
      <c r="Q4611" t="n">
        <v>0</v>
      </c>
      <c r="R4611" s="2" t="inlineStr"/>
    </row>
    <row r="4612" ht="15" customHeight="1">
      <c r="A4612" t="inlineStr">
        <is>
          <t>A 1590-2022</t>
        </is>
      </c>
      <c r="B4612" s="1" t="n">
        <v>44573</v>
      </c>
      <c r="C4612" s="1" t="n">
        <v>45212</v>
      </c>
      <c r="D4612" t="inlineStr">
        <is>
          <t>VÄSTERNORRLANDS LÄN</t>
        </is>
      </c>
      <c r="E4612" t="inlineStr">
        <is>
          <t>HÄRNÖSAND</t>
        </is>
      </c>
      <c r="G4612" t="n">
        <v>11.4</v>
      </c>
      <c r="H4612" t="n">
        <v>0</v>
      </c>
      <c r="I4612" t="n">
        <v>0</v>
      </c>
      <c r="J4612" t="n">
        <v>0</v>
      </c>
      <c r="K4612" t="n">
        <v>0</v>
      </c>
      <c r="L4612" t="n">
        <v>0</v>
      </c>
      <c r="M4612" t="n">
        <v>0</v>
      </c>
      <c r="N4612" t="n">
        <v>0</v>
      </c>
      <c r="O4612" t="n">
        <v>0</v>
      </c>
      <c r="P4612" t="n">
        <v>0</v>
      </c>
      <c r="Q4612" t="n">
        <v>0</v>
      </c>
      <c r="R4612" s="2" t="inlineStr"/>
    </row>
    <row r="4613" ht="15" customHeight="1">
      <c r="A4613" t="inlineStr">
        <is>
          <t>A 1648-2022</t>
        </is>
      </c>
      <c r="B4613" s="1" t="n">
        <v>44573</v>
      </c>
      <c r="C4613" s="1" t="n">
        <v>45212</v>
      </c>
      <c r="D4613" t="inlineStr">
        <is>
          <t>VÄSTERNORRLANDS LÄN</t>
        </is>
      </c>
      <c r="E4613" t="inlineStr">
        <is>
          <t>HÄRNÖSAND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1402-2022</t>
        </is>
      </c>
      <c r="B4614" s="1" t="n">
        <v>44573</v>
      </c>
      <c r="C4614" s="1" t="n">
        <v>45212</v>
      </c>
      <c r="D4614" t="inlineStr">
        <is>
          <t>VÄSTERNORRLANDS LÄN</t>
        </is>
      </c>
      <c r="E4614" t="inlineStr">
        <is>
          <t>SOLLEFTEÅ</t>
        </is>
      </c>
      <c r="G4614" t="n">
        <v>8</v>
      </c>
      <c r="H4614" t="n">
        <v>0</v>
      </c>
      <c r="I4614" t="n">
        <v>0</v>
      </c>
      <c r="J4614" t="n">
        <v>0</v>
      </c>
      <c r="K4614" t="n">
        <v>0</v>
      </c>
      <c r="L4614" t="n">
        <v>0</v>
      </c>
      <c r="M4614" t="n">
        <v>0</v>
      </c>
      <c r="N4614" t="n">
        <v>0</v>
      </c>
      <c r="O4614" t="n">
        <v>0</v>
      </c>
      <c r="P4614" t="n">
        <v>0</v>
      </c>
      <c r="Q4614" t="n">
        <v>0</v>
      </c>
      <c r="R4614" s="2" t="inlineStr"/>
    </row>
    <row r="4615" ht="15" customHeight="1">
      <c r="A4615" t="inlineStr">
        <is>
          <t>A 1624-2022</t>
        </is>
      </c>
      <c r="B4615" s="1" t="n">
        <v>44573</v>
      </c>
      <c r="C4615" s="1" t="n">
        <v>45212</v>
      </c>
      <c r="D4615" t="inlineStr">
        <is>
          <t>VÄSTERNORRLANDS LÄN</t>
        </is>
      </c>
      <c r="E4615" t="inlineStr">
        <is>
          <t>KRAMFORS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1471-2022</t>
        </is>
      </c>
      <c r="B4616" s="1" t="n">
        <v>44573</v>
      </c>
      <c r="C4616" s="1" t="n">
        <v>45212</v>
      </c>
      <c r="D4616" t="inlineStr">
        <is>
          <t>VÄSTERNORRLANDS LÄN</t>
        </is>
      </c>
      <c r="E4616" t="inlineStr">
        <is>
          <t>ÖRNSKÖLDSVIK</t>
        </is>
      </c>
      <c r="G4616" t="n">
        <v>4</v>
      </c>
      <c r="H4616" t="n">
        <v>0</v>
      </c>
      <c r="I4616" t="n">
        <v>0</v>
      </c>
      <c r="J4616" t="n">
        <v>0</v>
      </c>
      <c r="K4616" t="n">
        <v>0</v>
      </c>
      <c r="L4616" t="n">
        <v>0</v>
      </c>
      <c r="M4616" t="n">
        <v>0</v>
      </c>
      <c r="N4616" t="n">
        <v>0</v>
      </c>
      <c r="O4616" t="n">
        <v>0</v>
      </c>
      <c r="P4616" t="n">
        <v>0</v>
      </c>
      <c r="Q4616" t="n">
        <v>0</v>
      </c>
      <c r="R4616" s="2" t="inlineStr"/>
    </row>
    <row r="4617" ht="15" customHeight="1">
      <c r="A4617" t="inlineStr">
        <is>
          <t>A 1649-2022</t>
        </is>
      </c>
      <c r="B4617" s="1" t="n">
        <v>44573</v>
      </c>
      <c r="C4617" s="1" t="n">
        <v>45212</v>
      </c>
      <c r="D4617" t="inlineStr">
        <is>
          <t>VÄSTERNORRLANDS LÄN</t>
        </is>
      </c>
      <c r="E4617" t="inlineStr">
        <is>
          <t>HÄRNÖSAND</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1681-2022</t>
        </is>
      </c>
      <c r="B4618" s="1" t="n">
        <v>44574</v>
      </c>
      <c r="C4618" s="1" t="n">
        <v>45212</v>
      </c>
      <c r="D4618" t="inlineStr">
        <is>
          <t>VÄSTERNORRLANDS LÄN</t>
        </is>
      </c>
      <c r="E4618" t="inlineStr">
        <is>
          <t>ÖRNSKÖLDSVIK</t>
        </is>
      </c>
      <c r="F4618" t="inlineStr">
        <is>
          <t>Holmen skog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1706-2022</t>
        </is>
      </c>
      <c r="B4619" s="1" t="n">
        <v>44574</v>
      </c>
      <c r="C4619" s="1" t="n">
        <v>45212</v>
      </c>
      <c r="D4619" t="inlineStr">
        <is>
          <t>VÄSTERNORRLANDS LÄN</t>
        </is>
      </c>
      <c r="E4619" t="inlineStr">
        <is>
          <t>ÖRNSKÖLDSVIK</t>
        </is>
      </c>
      <c r="F4619" t="inlineStr">
        <is>
          <t>Holmen skog AB</t>
        </is>
      </c>
      <c r="G4619" t="n">
        <v>5.5</v>
      </c>
      <c r="H4619" t="n">
        <v>0</v>
      </c>
      <c r="I4619" t="n">
        <v>0</v>
      </c>
      <c r="J4619" t="n">
        <v>0</v>
      </c>
      <c r="K4619" t="n">
        <v>0</v>
      </c>
      <c r="L4619" t="n">
        <v>0</v>
      </c>
      <c r="M4619" t="n">
        <v>0</v>
      </c>
      <c r="N4619" t="n">
        <v>0</v>
      </c>
      <c r="O4619" t="n">
        <v>0</v>
      </c>
      <c r="P4619" t="n">
        <v>0</v>
      </c>
      <c r="Q4619" t="n">
        <v>0</v>
      </c>
      <c r="R4619" s="2" t="inlineStr"/>
    </row>
    <row r="4620" ht="15" customHeight="1">
      <c r="A4620" t="inlineStr">
        <is>
          <t>A 1745-2022</t>
        </is>
      </c>
      <c r="B4620" s="1" t="n">
        <v>44574</v>
      </c>
      <c r="C4620" s="1" t="n">
        <v>45212</v>
      </c>
      <c r="D4620" t="inlineStr">
        <is>
          <t>VÄSTERNORRLANDS LÄN</t>
        </is>
      </c>
      <c r="E4620" t="inlineStr">
        <is>
          <t>KRAMFORS</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1763-2022</t>
        </is>
      </c>
      <c r="B4621" s="1" t="n">
        <v>44574</v>
      </c>
      <c r="C4621" s="1" t="n">
        <v>45212</v>
      </c>
      <c r="D4621" t="inlineStr">
        <is>
          <t>VÄSTERNORRLANDS LÄN</t>
        </is>
      </c>
      <c r="E4621" t="inlineStr">
        <is>
          <t>ÖRNSKÖLDSVIK</t>
        </is>
      </c>
      <c r="F4621" t="inlineStr">
        <is>
          <t>Holmen skog AB</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1825-2022</t>
        </is>
      </c>
      <c r="B4622" s="1" t="n">
        <v>44574</v>
      </c>
      <c r="C4622" s="1" t="n">
        <v>45212</v>
      </c>
      <c r="D4622" t="inlineStr">
        <is>
          <t>VÄSTERNORRLANDS LÄN</t>
        </is>
      </c>
      <c r="E4622" t="inlineStr">
        <is>
          <t>KRAMFORS</t>
        </is>
      </c>
      <c r="G4622" t="n">
        <v>1.4</v>
      </c>
      <c r="H4622" t="n">
        <v>0</v>
      </c>
      <c r="I4622" t="n">
        <v>0</v>
      </c>
      <c r="J4622" t="n">
        <v>0</v>
      </c>
      <c r="K4622" t="n">
        <v>0</v>
      </c>
      <c r="L4622" t="n">
        <v>0</v>
      </c>
      <c r="M4622" t="n">
        <v>0</v>
      </c>
      <c r="N4622" t="n">
        <v>0</v>
      </c>
      <c r="O4622" t="n">
        <v>0</v>
      </c>
      <c r="P4622" t="n">
        <v>0</v>
      </c>
      <c r="Q4622" t="n">
        <v>0</v>
      </c>
      <c r="R4622" s="2" t="inlineStr"/>
    </row>
    <row r="4623" ht="15" customHeight="1">
      <c r="A4623" t="inlineStr">
        <is>
          <t>A 1738-2022</t>
        </is>
      </c>
      <c r="B4623" s="1" t="n">
        <v>44574</v>
      </c>
      <c r="C4623" s="1" t="n">
        <v>45212</v>
      </c>
      <c r="D4623" t="inlineStr">
        <is>
          <t>VÄSTERNORRLANDS LÄN</t>
        </is>
      </c>
      <c r="E4623" t="inlineStr">
        <is>
          <t>ÖRNSKÖLDSVIK</t>
        </is>
      </c>
      <c r="F4623" t="inlineStr">
        <is>
          <t>Holmen skog AB</t>
        </is>
      </c>
      <c r="G4623" t="n">
        <v>4.4</v>
      </c>
      <c r="H4623" t="n">
        <v>0</v>
      </c>
      <c r="I4623" t="n">
        <v>0</v>
      </c>
      <c r="J4623" t="n">
        <v>0</v>
      </c>
      <c r="K4623" t="n">
        <v>0</v>
      </c>
      <c r="L4623" t="n">
        <v>0</v>
      </c>
      <c r="M4623" t="n">
        <v>0</v>
      </c>
      <c r="N4623" t="n">
        <v>0</v>
      </c>
      <c r="O4623" t="n">
        <v>0</v>
      </c>
      <c r="P4623" t="n">
        <v>0</v>
      </c>
      <c r="Q4623" t="n">
        <v>0</v>
      </c>
      <c r="R4623" s="2" t="inlineStr"/>
    </row>
    <row r="4624" ht="15" customHeight="1">
      <c r="A4624" t="inlineStr">
        <is>
          <t>A 1683-2022</t>
        </is>
      </c>
      <c r="B4624" s="1" t="n">
        <v>44574</v>
      </c>
      <c r="C4624" s="1" t="n">
        <v>45212</v>
      </c>
      <c r="D4624" t="inlineStr">
        <is>
          <t>VÄSTERNORRLANDS LÄN</t>
        </is>
      </c>
      <c r="E4624" t="inlineStr">
        <is>
          <t>KRAMFORS</t>
        </is>
      </c>
      <c r="G4624" t="n">
        <v>0.7</v>
      </c>
      <c r="H4624" t="n">
        <v>0</v>
      </c>
      <c r="I4624" t="n">
        <v>0</v>
      </c>
      <c r="J4624" t="n">
        <v>0</v>
      </c>
      <c r="K4624" t="n">
        <v>0</v>
      </c>
      <c r="L4624" t="n">
        <v>0</v>
      </c>
      <c r="M4624" t="n">
        <v>0</v>
      </c>
      <c r="N4624" t="n">
        <v>0</v>
      </c>
      <c r="O4624" t="n">
        <v>0</v>
      </c>
      <c r="P4624" t="n">
        <v>0</v>
      </c>
      <c r="Q4624" t="n">
        <v>0</v>
      </c>
      <c r="R4624" s="2" t="inlineStr"/>
    </row>
    <row r="4625" ht="15" customHeight="1">
      <c r="A4625" t="inlineStr">
        <is>
          <t>A 1869-2022</t>
        </is>
      </c>
      <c r="B4625" s="1" t="n">
        <v>44574</v>
      </c>
      <c r="C4625" s="1" t="n">
        <v>45212</v>
      </c>
      <c r="D4625" t="inlineStr">
        <is>
          <t>VÄSTERNORRLANDS LÄN</t>
        </is>
      </c>
      <c r="E4625" t="inlineStr">
        <is>
          <t>ÅNGE</t>
        </is>
      </c>
      <c r="F4625" t="inlineStr">
        <is>
          <t>SCA</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1987-2022</t>
        </is>
      </c>
      <c r="B4626" s="1" t="n">
        <v>44575</v>
      </c>
      <c r="C4626" s="1" t="n">
        <v>45212</v>
      </c>
      <c r="D4626" t="inlineStr">
        <is>
          <t>VÄSTERNORRLANDS LÄN</t>
        </is>
      </c>
      <c r="E4626" t="inlineStr">
        <is>
          <t>SOLLEFTEÅ</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1997-2022</t>
        </is>
      </c>
      <c r="B4627" s="1" t="n">
        <v>44575</v>
      </c>
      <c r="C4627" s="1" t="n">
        <v>45212</v>
      </c>
      <c r="D4627" t="inlineStr">
        <is>
          <t>VÄSTERNORRLANDS LÄN</t>
        </is>
      </c>
      <c r="E4627" t="inlineStr">
        <is>
          <t>SOLLEFTEÅ</t>
        </is>
      </c>
      <c r="G4627" t="n">
        <v>8.800000000000001</v>
      </c>
      <c r="H4627" t="n">
        <v>0</v>
      </c>
      <c r="I4627" t="n">
        <v>0</v>
      </c>
      <c r="J4627" t="n">
        <v>0</v>
      </c>
      <c r="K4627" t="n">
        <v>0</v>
      </c>
      <c r="L4627" t="n">
        <v>0</v>
      </c>
      <c r="M4627" t="n">
        <v>0</v>
      </c>
      <c r="N4627" t="n">
        <v>0</v>
      </c>
      <c r="O4627" t="n">
        <v>0</v>
      </c>
      <c r="P4627" t="n">
        <v>0</v>
      </c>
      <c r="Q4627" t="n">
        <v>0</v>
      </c>
      <c r="R4627" s="2" t="inlineStr"/>
    </row>
    <row r="4628" ht="15" customHeight="1">
      <c r="A4628" t="inlineStr">
        <is>
          <t>A 2330-2022</t>
        </is>
      </c>
      <c r="B4628" s="1" t="n">
        <v>44578</v>
      </c>
      <c r="C4628" s="1" t="n">
        <v>45212</v>
      </c>
      <c r="D4628" t="inlineStr">
        <is>
          <t>VÄSTERNORRLANDS LÄN</t>
        </is>
      </c>
      <c r="E4628" t="inlineStr">
        <is>
          <t>SUNDSVALL</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2268-2022</t>
        </is>
      </c>
      <c r="B4629" s="1" t="n">
        <v>44578</v>
      </c>
      <c r="C4629" s="1" t="n">
        <v>45212</v>
      </c>
      <c r="D4629" t="inlineStr">
        <is>
          <t>VÄSTERNORRLANDS LÄN</t>
        </is>
      </c>
      <c r="E4629" t="inlineStr">
        <is>
          <t>ÖRNSKÖLDSVIK</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2332-2022</t>
        </is>
      </c>
      <c r="B4630" s="1" t="n">
        <v>44578</v>
      </c>
      <c r="C4630" s="1" t="n">
        <v>45212</v>
      </c>
      <c r="D4630" t="inlineStr">
        <is>
          <t>VÄSTERNORRLANDS LÄN</t>
        </is>
      </c>
      <c r="E4630" t="inlineStr">
        <is>
          <t>SUNDSVALL</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2226-2022</t>
        </is>
      </c>
      <c r="B4631" s="1" t="n">
        <v>44578</v>
      </c>
      <c r="C4631" s="1" t="n">
        <v>45212</v>
      </c>
      <c r="D4631" t="inlineStr">
        <is>
          <t>VÄSTERNORRLANDS LÄN</t>
        </is>
      </c>
      <c r="E4631" t="inlineStr">
        <is>
          <t>TIMRÅ</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2271-2022</t>
        </is>
      </c>
      <c r="B4632" s="1" t="n">
        <v>44578</v>
      </c>
      <c r="C4632" s="1" t="n">
        <v>45212</v>
      </c>
      <c r="D4632" t="inlineStr">
        <is>
          <t>VÄSTERNORRLANDS LÄN</t>
        </is>
      </c>
      <c r="E4632" t="inlineStr">
        <is>
          <t>ÖRNSKÖLDSVIK</t>
        </is>
      </c>
      <c r="G4632" t="n">
        <v>4.2</v>
      </c>
      <c r="H4632" t="n">
        <v>0</v>
      </c>
      <c r="I4632" t="n">
        <v>0</v>
      </c>
      <c r="J4632" t="n">
        <v>0</v>
      </c>
      <c r="K4632" t="n">
        <v>0</v>
      </c>
      <c r="L4632" t="n">
        <v>0</v>
      </c>
      <c r="M4632" t="n">
        <v>0</v>
      </c>
      <c r="N4632" t="n">
        <v>0</v>
      </c>
      <c r="O4632" t="n">
        <v>0</v>
      </c>
      <c r="P4632" t="n">
        <v>0</v>
      </c>
      <c r="Q4632" t="n">
        <v>0</v>
      </c>
      <c r="R4632" s="2" t="inlineStr"/>
    </row>
    <row r="4633" ht="15" customHeight="1">
      <c r="A4633" t="inlineStr">
        <is>
          <t>A 2347-2022</t>
        </is>
      </c>
      <c r="B4633" s="1" t="n">
        <v>44578</v>
      </c>
      <c r="C4633" s="1" t="n">
        <v>45212</v>
      </c>
      <c r="D4633" t="inlineStr">
        <is>
          <t>VÄSTERNORRLANDS LÄN</t>
        </is>
      </c>
      <c r="E4633" t="inlineStr">
        <is>
          <t>SUNDSVALL</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2536-2022</t>
        </is>
      </c>
      <c r="B4634" s="1" t="n">
        <v>44579</v>
      </c>
      <c r="C4634" s="1" t="n">
        <v>45212</v>
      </c>
      <c r="D4634" t="inlineStr">
        <is>
          <t>VÄSTERNORRLANDS LÄN</t>
        </is>
      </c>
      <c r="E4634" t="inlineStr">
        <is>
          <t>SOLLEFTEÅ</t>
        </is>
      </c>
      <c r="F4634" t="inlineStr">
        <is>
          <t>Övriga Aktiebolag</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2537-2022</t>
        </is>
      </c>
      <c r="B4635" s="1" t="n">
        <v>44579</v>
      </c>
      <c r="C4635" s="1" t="n">
        <v>45212</v>
      </c>
      <c r="D4635" t="inlineStr">
        <is>
          <t>VÄSTERNORRLANDS LÄN</t>
        </is>
      </c>
      <c r="E4635" t="inlineStr">
        <is>
          <t>SUNDSVALL</t>
        </is>
      </c>
      <c r="F4635" t="inlineStr">
        <is>
          <t>SCA</t>
        </is>
      </c>
      <c r="G4635" t="n">
        <v>6.9</v>
      </c>
      <c r="H4635" t="n">
        <v>0</v>
      </c>
      <c r="I4635" t="n">
        <v>0</v>
      </c>
      <c r="J4635" t="n">
        <v>0</v>
      </c>
      <c r="K4635" t="n">
        <v>0</v>
      </c>
      <c r="L4635" t="n">
        <v>0</v>
      </c>
      <c r="M4635" t="n">
        <v>0</v>
      </c>
      <c r="N4635" t="n">
        <v>0</v>
      </c>
      <c r="O4635" t="n">
        <v>0</v>
      </c>
      <c r="P4635" t="n">
        <v>0</v>
      </c>
      <c r="Q4635" t="n">
        <v>0</v>
      </c>
      <c r="R4635" s="2" t="inlineStr"/>
    </row>
    <row r="4636" ht="15" customHeight="1">
      <c r="A4636" t="inlineStr">
        <is>
          <t>A 2783-2022</t>
        </is>
      </c>
      <c r="B4636" s="1" t="n">
        <v>44581</v>
      </c>
      <c r="C4636" s="1" t="n">
        <v>45212</v>
      </c>
      <c r="D4636" t="inlineStr">
        <is>
          <t>VÄSTERNORRLANDS LÄN</t>
        </is>
      </c>
      <c r="E4636" t="inlineStr">
        <is>
          <t>KRAMFORS</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2892-2022</t>
        </is>
      </c>
      <c r="B4637" s="1" t="n">
        <v>44581</v>
      </c>
      <c r="C4637" s="1" t="n">
        <v>45212</v>
      </c>
      <c r="D4637" t="inlineStr">
        <is>
          <t>VÄSTERNORRLANDS LÄN</t>
        </is>
      </c>
      <c r="E4637" t="inlineStr">
        <is>
          <t>ÖRNSKÖLDSVIK</t>
        </is>
      </c>
      <c r="G4637" t="n">
        <v>4.7</v>
      </c>
      <c r="H4637" t="n">
        <v>0</v>
      </c>
      <c r="I4637" t="n">
        <v>0</v>
      </c>
      <c r="J4637" t="n">
        <v>0</v>
      </c>
      <c r="K4637" t="n">
        <v>0</v>
      </c>
      <c r="L4637" t="n">
        <v>0</v>
      </c>
      <c r="M4637" t="n">
        <v>0</v>
      </c>
      <c r="N4637" t="n">
        <v>0</v>
      </c>
      <c r="O4637" t="n">
        <v>0</v>
      </c>
      <c r="P4637" t="n">
        <v>0</v>
      </c>
      <c r="Q4637" t="n">
        <v>0</v>
      </c>
      <c r="R4637" s="2" t="inlineStr"/>
    </row>
    <row r="4638" ht="15" customHeight="1">
      <c r="A4638" t="inlineStr">
        <is>
          <t>A 3001-2022</t>
        </is>
      </c>
      <c r="B4638" s="1" t="n">
        <v>44581</v>
      </c>
      <c r="C4638" s="1" t="n">
        <v>45212</v>
      </c>
      <c r="D4638" t="inlineStr">
        <is>
          <t>VÄSTERNORRLANDS LÄN</t>
        </is>
      </c>
      <c r="E4638" t="inlineStr">
        <is>
          <t>SOLLEFTEÅ</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2775-2022</t>
        </is>
      </c>
      <c r="B4639" s="1" t="n">
        <v>44581</v>
      </c>
      <c r="C4639" s="1" t="n">
        <v>45212</v>
      </c>
      <c r="D4639" t="inlineStr">
        <is>
          <t>VÄSTERNORRLANDS LÄN</t>
        </is>
      </c>
      <c r="E4639" t="inlineStr">
        <is>
          <t>KRAMFORS</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2786-2022</t>
        </is>
      </c>
      <c r="B4640" s="1" t="n">
        <v>44581</v>
      </c>
      <c r="C4640" s="1" t="n">
        <v>45212</v>
      </c>
      <c r="D4640" t="inlineStr">
        <is>
          <t>VÄSTERNORRLANDS LÄN</t>
        </is>
      </c>
      <c r="E4640" t="inlineStr">
        <is>
          <t>HÄRNÖSAND</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3008-2022</t>
        </is>
      </c>
      <c r="B4641" s="1" t="n">
        <v>44581</v>
      </c>
      <c r="C4641" s="1" t="n">
        <v>45212</v>
      </c>
      <c r="D4641" t="inlineStr">
        <is>
          <t>VÄSTERNORRLANDS LÄN</t>
        </is>
      </c>
      <c r="E4641" t="inlineStr">
        <is>
          <t>SUNDSVALL</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3236-2022</t>
        </is>
      </c>
      <c r="B4642" s="1" t="n">
        <v>44582</v>
      </c>
      <c r="C4642" s="1" t="n">
        <v>45212</v>
      </c>
      <c r="D4642" t="inlineStr">
        <is>
          <t>VÄSTERNORRLANDS LÄN</t>
        </is>
      </c>
      <c r="E4642" t="inlineStr">
        <is>
          <t>SUNDSVALL</t>
        </is>
      </c>
      <c r="F4642" t="inlineStr">
        <is>
          <t>SCA</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3067-2022</t>
        </is>
      </c>
      <c r="B4643" s="1" t="n">
        <v>44582</v>
      </c>
      <c r="C4643" s="1" t="n">
        <v>45212</v>
      </c>
      <c r="D4643" t="inlineStr">
        <is>
          <t>VÄSTERNORRLANDS LÄN</t>
        </is>
      </c>
      <c r="E4643" t="inlineStr">
        <is>
          <t>ÖRNSKÖLDSVIK</t>
        </is>
      </c>
      <c r="G4643" t="n">
        <v>2.5</v>
      </c>
      <c r="H4643" t="n">
        <v>0</v>
      </c>
      <c r="I4643" t="n">
        <v>0</v>
      </c>
      <c r="J4643" t="n">
        <v>0</v>
      </c>
      <c r="K4643" t="n">
        <v>0</v>
      </c>
      <c r="L4643" t="n">
        <v>0</v>
      </c>
      <c r="M4643" t="n">
        <v>0</v>
      </c>
      <c r="N4643" t="n">
        <v>0</v>
      </c>
      <c r="O4643" t="n">
        <v>0</v>
      </c>
      <c r="P4643" t="n">
        <v>0</v>
      </c>
      <c r="Q4643" t="n">
        <v>0</v>
      </c>
      <c r="R4643" s="2" t="inlineStr"/>
    </row>
    <row r="4644" ht="15" customHeight="1">
      <c r="A4644" t="inlineStr">
        <is>
          <t>A 3238-2022</t>
        </is>
      </c>
      <c r="B4644" s="1" t="n">
        <v>44582</v>
      </c>
      <c r="C4644" s="1" t="n">
        <v>45212</v>
      </c>
      <c r="D4644" t="inlineStr">
        <is>
          <t>VÄSTERNORRLANDS LÄN</t>
        </is>
      </c>
      <c r="E4644" t="inlineStr">
        <is>
          <t>SUNDSVALL</t>
        </is>
      </c>
      <c r="F4644" t="inlineStr">
        <is>
          <t>SCA</t>
        </is>
      </c>
      <c r="G4644" t="n">
        <v>5.1</v>
      </c>
      <c r="H4644" t="n">
        <v>0</v>
      </c>
      <c r="I4644" t="n">
        <v>0</v>
      </c>
      <c r="J4644" t="n">
        <v>0</v>
      </c>
      <c r="K4644" t="n">
        <v>0</v>
      </c>
      <c r="L4644" t="n">
        <v>0</v>
      </c>
      <c r="M4644" t="n">
        <v>0</v>
      </c>
      <c r="N4644" t="n">
        <v>0</v>
      </c>
      <c r="O4644" t="n">
        <v>0</v>
      </c>
      <c r="P4644" t="n">
        <v>0</v>
      </c>
      <c r="Q4644" t="n">
        <v>0</v>
      </c>
      <c r="R4644" s="2" t="inlineStr"/>
    </row>
    <row r="4645" ht="15" customHeight="1">
      <c r="A4645" t="inlineStr">
        <is>
          <t>A 3546-2022</t>
        </is>
      </c>
      <c r="B4645" s="1" t="n">
        <v>44585</v>
      </c>
      <c r="C4645" s="1" t="n">
        <v>45212</v>
      </c>
      <c r="D4645" t="inlineStr">
        <is>
          <t>VÄSTERNORRLANDS LÄN</t>
        </is>
      </c>
      <c r="E4645" t="inlineStr">
        <is>
          <t>SUNDSVALL</t>
        </is>
      </c>
      <c r="F4645" t="inlineStr">
        <is>
          <t>SCA</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3531-2022</t>
        </is>
      </c>
      <c r="B4646" s="1" t="n">
        <v>44585</v>
      </c>
      <c r="C4646" s="1" t="n">
        <v>45212</v>
      </c>
      <c r="D4646" t="inlineStr">
        <is>
          <t>VÄSTERNORRLANDS LÄN</t>
        </is>
      </c>
      <c r="E4646" t="inlineStr">
        <is>
          <t>HÄRNÖSAND</t>
        </is>
      </c>
      <c r="G4646" t="n">
        <v>0.7</v>
      </c>
      <c r="H4646" t="n">
        <v>0</v>
      </c>
      <c r="I4646" t="n">
        <v>0</v>
      </c>
      <c r="J4646" t="n">
        <v>0</v>
      </c>
      <c r="K4646" t="n">
        <v>0</v>
      </c>
      <c r="L4646" t="n">
        <v>0</v>
      </c>
      <c r="M4646" t="n">
        <v>0</v>
      </c>
      <c r="N4646" t="n">
        <v>0</v>
      </c>
      <c r="O4646" t="n">
        <v>0</v>
      </c>
      <c r="P4646" t="n">
        <v>0</v>
      </c>
      <c r="Q4646" t="n">
        <v>0</v>
      </c>
      <c r="R4646" s="2" t="inlineStr"/>
    </row>
    <row r="4647" ht="15" customHeight="1">
      <c r="A4647" t="inlineStr">
        <is>
          <t>A 3541-2022</t>
        </is>
      </c>
      <c r="B4647" s="1" t="n">
        <v>44585</v>
      </c>
      <c r="C4647" s="1" t="n">
        <v>45212</v>
      </c>
      <c r="D4647" t="inlineStr">
        <is>
          <t>VÄSTERNORRLANDS LÄN</t>
        </is>
      </c>
      <c r="E4647" t="inlineStr">
        <is>
          <t>SOLLEFTEÅ</t>
        </is>
      </c>
      <c r="F4647" t="inlineStr">
        <is>
          <t>SCA</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3549-2022</t>
        </is>
      </c>
      <c r="B4648" s="1" t="n">
        <v>44585</v>
      </c>
      <c r="C4648" s="1" t="n">
        <v>45212</v>
      </c>
      <c r="D4648" t="inlineStr">
        <is>
          <t>VÄSTERNORRLANDS LÄN</t>
        </is>
      </c>
      <c r="E4648" t="inlineStr">
        <is>
          <t>SOLLEFTEÅ</t>
        </is>
      </c>
      <c r="F4648" t="inlineStr">
        <is>
          <t>SCA</t>
        </is>
      </c>
      <c r="G4648" t="n">
        <v>4.9</v>
      </c>
      <c r="H4648" t="n">
        <v>0</v>
      </c>
      <c r="I4648" t="n">
        <v>0</v>
      </c>
      <c r="J4648" t="n">
        <v>0</v>
      </c>
      <c r="K4648" t="n">
        <v>0</v>
      </c>
      <c r="L4648" t="n">
        <v>0</v>
      </c>
      <c r="M4648" t="n">
        <v>0</v>
      </c>
      <c r="N4648" t="n">
        <v>0</v>
      </c>
      <c r="O4648" t="n">
        <v>0</v>
      </c>
      <c r="P4648" t="n">
        <v>0</v>
      </c>
      <c r="Q4648" t="n">
        <v>0</v>
      </c>
      <c r="R4648" s="2" t="inlineStr"/>
    </row>
    <row r="4649" ht="15" customHeight="1">
      <c r="A4649" t="inlineStr">
        <is>
          <t>A 3359-2022</t>
        </is>
      </c>
      <c r="B4649" s="1" t="n">
        <v>44585</v>
      </c>
      <c r="C4649" s="1" t="n">
        <v>45212</v>
      </c>
      <c r="D4649" t="inlineStr">
        <is>
          <t>VÄSTERNORRLANDS LÄN</t>
        </is>
      </c>
      <c r="E4649" t="inlineStr">
        <is>
          <t>SUNDSVALL</t>
        </is>
      </c>
      <c r="G4649" t="n">
        <v>6</v>
      </c>
      <c r="H4649" t="n">
        <v>0</v>
      </c>
      <c r="I4649" t="n">
        <v>0</v>
      </c>
      <c r="J4649" t="n">
        <v>0</v>
      </c>
      <c r="K4649" t="n">
        <v>0</v>
      </c>
      <c r="L4649" t="n">
        <v>0</v>
      </c>
      <c r="M4649" t="n">
        <v>0</v>
      </c>
      <c r="N4649" t="n">
        <v>0</v>
      </c>
      <c r="O4649" t="n">
        <v>0</v>
      </c>
      <c r="P4649" t="n">
        <v>0</v>
      </c>
      <c r="Q4649" t="n">
        <v>0</v>
      </c>
      <c r="R4649" s="2" t="inlineStr"/>
    </row>
    <row r="4650" ht="15" customHeight="1">
      <c r="A4650" t="inlineStr">
        <is>
          <t>A 3545-2022</t>
        </is>
      </c>
      <c r="B4650" s="1" t="n">
        <v>44585</v>
      </c>
      <c r="C4650" s="1" t="n">
        <v>45212</v>
      </c>
      <c r="D4650" t="inlineStr">
        <is>
          <t>VÄSTERNORRLANDS LÄN</t>
        </is>
      </c>
      <c r="E4650" t="inlineStr">
        <is>
          <t>SUNDSVALL</t>
        </is>
      </c>
      <c r="F4650" t="inlineStr">
        <is>
          <t>SCA</t>
        </is>
      </c>
      <c r="G4650" t="n">
        <v>9.800000000000001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3556-2022</t>
        </is>
      </c>
      <c r="B4651" s="1" t="n">
        <v>44585</v>
      </c>
      <c r="C4651" s="1" t="n">
        <v>45212</v>
      </c>
      <c r="D4651" t="inlineStr">
        <is>
          <t>VÄSTERNORRLANDS LÄN</t>
        </is>
      </c>
      <c r="E4651" t="inlineStr">
        <is>
          <t>SOLLEFTEÅ</t>
        </is>
      </c>
      <c r="F4651" t="inlineStr">
        <is>
          <t>SCA</t>
        </is>
      </c>
      <c r="G4651" t="n">
        <v>18.2</v>
      </c>
      <c r="H4651" t="n">
        <v>0</v>
      </c>
      <c r="I4651" t="n">
        <v>0</v>
      </c>
      <c r="J4651" t="n">
        <v>0</v>
      </c>
      <c r="K4651" t="n">
        <v>0</v>
      </c>
      <c r="L4651" t="n">
        <v>0</v>
      </c>
      <c r="M4651" t="n">
        <v>0</v>
      </c>
      <c r="N4651" t="n">
        <v>0</v>
      </c>
      <c r="O4651" t="n">
        <v>0</v>
      </c>
      <c r="P4651" t="n">
        <v>0</v>
      </c>
      <c r="Q4651" t="n">
        <v>0</v>
      </c>
      <c r="R4651" s="2" t="inlineStr"/>
    </row>
    <row r="4652" ht="15" customHeight="1">
      <c r="A4652" t="inlineStr">
        <is>
          <t>A 3329-2022</t>
        </is>
      </c>
      <c r="B4652" s="1" t="n">
        <v>44585</v>
      </c>
      <c r="C4652" s="1" t="n">
        <v>45212</v>
      </c>
      <c r="D4652" t="inlineStr">
        <is>
          <t>VÄSTERNORRLANDS LÄN</t>
        </is>
      </c>
      <c r="E4652" t="inlineStr">
        <is>
          <t>ÖRNSKÖLDSVIK</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3552-2022</t>
        </is>
      </c>
      <c r="B4653" s="1" t="n">
        <v>44585</v>
      </c>
      <c r="C4653" s="1" t="n">
        <v>45212</v>
      </c>
      <c r="D4653" t="inlineStr">
        <is>
          <t>VÄSTERNORRLANDS LÄN</t>
        </is>
      </c>
      <c r="E4653" t="inlineStr">
        <is>
          <t>SOLLEFTEÅ</t>
        </is>
      </c>
      <c r="F4653" t="inlineStr">
        <is>
          <t>SCA</t>
        </is>
      </c>
      <c r="G4653" t="n">
        <v>4.9</v>
      </c>
      <c r="H4653" t="n">
        <v>0</v>
      </c>
      <c r="I4653" t="n">
        <v>0</v>
      </c>
      <c r="J4653" t="n">
        <v>0</v>
      </c>
      <c r="K4653" t="n">
        <v>0</v>
      </c>
      <c r="L4653" t="n">
        <v>0</v>
      </c>
      <c r="M4653" t="n">
        <v>0</v>
      </c>
      <c r="N4653" t="n">
        <v>0</v>
      </c>
      <c r="O4653" t="n">
        <v>0</v>
      </c>
      <c r="P4653" t="n">
        <v>0</v>
      </c>
      <c r="Q4653" t="n">
        <v>0</v>
      </c>
      <c r="R4653" s="2" t="inlineStr"/>
    </row>
    <row r="4654" ht="15" customHeight="1">
      <c r="A4654" t="inlineStr">
        <is>
          <t>A 3795-2022</t>
        </is>
      </c>
      <c r="B4654" s="1" t="n">
        <v>44586</v>
      </c>
      <c r="C4654" s="1" t="n">
        <v>45212</v>
      </c>
      <c r="D4654" t="inlineStr">
        <is>
          <t>VÄSTERNORRLANDS LÄN</t>
        </is>
      </c>
      <c r="E4654" t="inlineStr">
        <is>
          <t>SOLLEFTEÅ</t>
        </is>
      </c>
      <c r="F4654" t="inlineStr">
        <is>
          <t>SCA</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3942-2022</t>
        </is>
      </c>
      <c r="B4655" s="1" t="n">
        <v>44587</v>
      </c>
      <c r="C4655" s="1" t="n">
        <v>45212</v>
      </c>
      <c r="D4655" t="inlineStr">
        <is>
          <t>VÄSTERNORRLANDS LÄN</t>
        </is>
      </c>
      <c r="E4655" t="inlineStr">
        <is>
          <t>ÖRNSKÖLDSVIK</t>
        </is>
      </c>
      <c r="G4655" t="n">
        <v>5</v>
      </c>
      <c r="H4655" t="n">
        <v>0</v>
      </c>
      <c r="I4655" t="n">
        <v>0</v>
      </c>
      <c r="J4655" t="n">
        <v>0</v>
      </c>
      <c r="K4655" t="n">
        <v>0</v>
      </c>
      <c r="L4655" t="n">
        <v>0</v>
      </c>
      <c r="M4655" t="n">
        <v>0</v>
      </c>
      <c r="N4655" t="n">
        <v>0</v>
      </c>
      <c r="O4655" t="n">
        <v>0</v>
      </c>
      <c r="P4655" t="n">
        <v>0</v>
      </c>
      <c r="Q4655" t="n">
        <v>0</v>
      </c>
      <c r="R4655" s="2" t="inlineStr"/>
    </row>
    <row r="4656" ht="15" customHeight="1">
      <c r="A4656" t="inlineStr">
        <is>
          <t>A 4021-2022</t>
        </is>
      </c>
      <c r="B4656" s="1" t="n">
        <v>44587</v>
      </c>
      <c r="C4656" s="1" t="n">
        <v>45212</v>
      </c>
      <c r="D4656" t="inlineStr">
        <is>
          <t>VÄSTERNORRLANDS LÄN</t>
        </is>
      </c>
      <c r="E4656" t="inlineStr">
        <is>
          <t>KRAMFORS</t>
        </is>
      </c>
      <c r="F4656" t="inlineStr">
        <is>
          <t>SCA</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4050-2022</t>
        </is>
      </c>
      <c r="B4657" s="1" t="n">
        <v>44588</v>
      </c>
      <c r="C4657" s="1" t="n">
        <v>45212</v>
      </c>
      <c r="D4657" t="inlineStr">
        <is>
          <t>VÄSTERNORRLANDS LÄN</t>
        </is>
      </c>
      <c r="E4657" t="inlineStr">
        <is>
          <t>ÖRNSKÖLDSVIK</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4100-2022</t>
        </is>
      </c>
      <c r="B4658" s="1" t="n">
        <v>44588</v>
      </c>
      <c r="C4658" s="1" t="n">
        <v>45212</v>
      </c>
      <c r="D4658" t="inlineStr">
        <is>
          <t>VÄSTERNORRLANDS LÄN</t>
        </is>
      </c>
      <c r="E4658" t="inlineStr">
        <is>
          <t>ÖRNSKÖLDSVIK</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4343-2022</t>
        </is>
      </c>
      <c r="B4659" s="1" t="n">
        <v>44588</v>
      </c>
      <c r="C4659" s="1" t="n">
        <v>45212</v>
      </c>
      <c r="D4659" t="inlineStr">
        <is>
          <t>VÄSTERNORRLANDS LÄN</t>
        </is>
      </c>
      <c r="E4659" t="inlineStr">
        <is>
          <t>SOLLEFTEÅ</t>
        </is>
      </c>
      <c r="F4659" t="inlineStr">
        <is>
          <t>SCA</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4087-2022</t>
        </is>
      </c>
      <c r="B4660" s="1" t="n">
        <v>44588</v>
      </c>
      <c r="C4660" s="1" t="n">
        <v>45212</v>
      </c>
      <c r="D4660" t="inlineStr">
        <is>
          <t>VÄSTERNORRLANDS LÄN</t>
        </is>
      </c>
      <c r="E4660" t="inlineStr">
        <is>
          <t>ÖRNSKÖLDSVIK</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4332-2022</t>
        </is>
      </c>
      <c r="B4661" s="1" t="n">
        <v>44588</v>
      </c>
      <c r="C4661" s="1" t="n">
        <v>45212</v>
      </c>
      <c r="D4661" t="inlineStr">
        <is>
          <t>VÄSTERNORRLANDS LÄN</t>
        </is>
      </c>
      <c r="E4661" t="inlineStr">
        <is>
          <t>SUNDSVALL</t>
        </is>
      </c>
      <c r="G4661" t="n">
        <v>0.4</v>
      </c>
      <c r="H4661" t="n">
        <v>0</v>
      </c>
      <c r="I4661" t="n">
        <v>0</v>
      </c>
      <c r="J4661" t="n">
        <v>0</v>
      </c>
      <c r="K4661" t="n">
        <v>0</v>
      </c>
      <c r="L4661" t="n">
        <v>0</v>
      </c>
      <c r="M4661" t="n">
        <v>0</v>
      </c>
      <c r="N4661" t="n">
        <v>0</v>
      </c>
      <c r="O4661" t="n">
        <v>0</v>
      </c>
      <c r="P4661" t="n">
        <v>0</v>
      </c>
      <c r="Q4661" t="n">
        <v>0</v>
      </c>
      <c r="R4661" s="2" t="inlineStr"/>
    </row>
    <row r="4662" ht="15" customHeight="1">
      <c r="A4662" t="inlineStr">
        <is>
          <t>A 4428-2022</t>
        </is>
      </c>
      <c r="B4662" s="1" t="n">
        <v>44589</v>
      </c>
      <c r="C4662" s="1" t="n">
        <v>45212</v>
      </c>
      <c r="D4662" t="inlineStr">
        <is>
          <t>VÄSTERNORRLANDS LÄN</t>
        </is>
      </c>
      <c r="E4662" t="inlineStr">
        <is>
          <t>ÖRNSKÖLDSVIK</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4519-2022</t>
        </is>
      </c>
      <c r="B4663" s="1" t="n">
        <v>44589</v>
      </c>
      <c r="C4663" s="1" t="n">
        <v>45212</v>
      </c>
      <c r="D4663" t="inlineStr">
        <is>
          <t>VÄSTERNORRLANDS LÄN</t>
        </is>
      </c>
      <c r="E4663" t="inlineStr">
        <is>
          <t>SUNDSVALL</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4651-2022</t>
        </is>
      </c>
      <c r="B4664" s="1" t="n">
        <v>44592</v>
      </c>
      <c r="C4664" s="1" t="n">
        <v>45212</v>
      </c>
      <c r="D4664" t="inlineStr">
        <is>
          <t>VÄSTERNORRLANDS LÄN</t>
        </is>
      </c>
      <c r="E4664" t="inlineStr">
        <is>
          <t>ÅNGE</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4678-2022</t>
        </is>
      </c>
      <c r="B4665" s="1" t="n">
        <v>44592</v>
      </c>
      <c r="C4665" s="1" t="n">
        <v>45212</v>
      </c>
      <c r="D4665" t="inlineStr">
        <is>
          <t>VÄSTERNORRLANDS LÄN</t>
        </is>
      </c>
      <c r="E4665" t="inlineStr">
        <is>
          <t>KRAMFORS</t>
        </is>
      </c>
      <c r="G4665" t="n">
        <v>16.1</v>
      </c>
      <c r="H4665" t="n">
        <v>0</v>
      </c>
      <c r="I4665" t="n">
        <v>0</v>
      </c>
      <c r="J4665" t="n">
        <v>0</v>
      </c>
      <c r="K4665" t="n">
        <v>0</v>
      </c>
      <c r="L4665" t="n">
        <v>0</v>
      </c>
      <c r="M4665" t="n">
        <v>0</v>
      </c>
      <c r="N4665" t="n">
        <v>0</v>
      </c>
      <c r="O4665" t="n">
        <v>0</v>
      </c>
      <c r="P4665" t="n">
        <v>0</v>
      </c>
      <c r="Q4665" t="n">
        <v>0</v>
      </c>
      <c r="R4665" s="2" t="inlineStr"/>
    </row>
    <row r="4666" ht="15" customHeight="1">
      <c r="A4666" t="inlineStr">
        <is>
          <t>A 4794-2022</t>
        </is>
      </c>
      <c r="B4666" s="1" t="n">
        <v>44592</v>
      </c>
      <c r="C4666" s="1" t="n">
        <v>45212</v>
      </c>
      <c r="D4666" t="inlineStr">
        <is>
          <t>VÄSTERNORRLANDS LÄN</t>
        </is>
      </c>
      <c r="E4666" t="inlineStr">
        <is>
          <t>ÖRNSKÖLDSVIK</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4871-2022</t>
        </is>
      </c>
      <c r="B4667" s="1" t="n">
        <v>44592</v>
      </c>
      <c r="C4667" s="1" t="n">
        <v>45212</v>
      </c>
      <c r="D4667" t="inlineStr">
        <is>
          <t>VÄSTERNORRLANDS LÄN</t>
        </is>
      </c>
      <c r="E4667" t="inlineStr">
        <is>
          <t>SUNDSVALL</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5119-2022</t>
        </is>
      </c>
      <c r="B4668" s="1" t="n">
        <v>44593</v>
      </c>
      <c r="C4668" s="1" t="n">
        <v>45212</v>
      </c>
      <c r="D4668" t="inlineStr">
        <is>
          <t>VÄSTERNORRLANDS LÄN</t>
        </is>
      </c>
      <c r="E4668" t="inlineStr">
        <is>
          <t>SUNDSVALL</t>
        </is>
      </c>
      <c r="F4668" t="inlineStr">
        <is>
          <t>SCA</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5300-2022</t>
        </is>
      </c>
      <c r="B4669" s="1" t="n">
        <v>44594</v>
      </c>
      <c r="C4669" s="1" t="n">
        <v>45212</v>
      </c>
      <c r="D4669" t="inlineStr">
        <is>
          <t>VÄSTERNORRLANDS LÄN</t>
        </is>
      </c>
      <c r="E4669" t="inlineStr">
        <is>
          <t>KRAMFORS</t>
        </is>
      </c>
      <c r="G4669" t="n">
        <v>0.2</v>
      </c>
      <c r="H4669" t="n">
        <v>0</v>
      </c>
      <c r="I4669" t="n">
        <v>0</v>
      </c>
      <c r="J4669" t="n">
        <v>0</v>
      </c>
      <c r="K4669" t="n">
        <v>0</v>
      </c>
      <c r="L4669" t="n">
        <v>0</v>
      </c>
      <c r="M4669" t="n">
        <v>0</v>
      </c>
      <c r="N4669" t="n">
        <v>0</v>
      </c>
      <c r="O4669" t="n">
        <v>0</v>
      </c>
      <c r="P4669" t="n">
        <v>0</v>
      </c>
      <c r="Q4669" t="n">
        <v>0</v>
      </c>
      <c r="R4669" s="2" t="inlineStr"/>
    </row>
    <row r="4670" ht="15" customHeight="1">
      <c r="A4670" t="inlineStr">
        <is>
          <t>A 5332-2022</t>
        </is>
      </c>
      <c r="B4670" s="1" t="n">
        <v>44594</v>
      </c>
      <c r="C4670" s="1" t="n">
        <v>45212</v>
      </c>
      <c r="D4670" t="inlineStr">
        <is>
          <t>VÄSTERNORRLANDS LÄN</t>
        </is>
      </c>
      <c r="E4670" t="inlineStr">
        <is>
          <t>SUNDSVALL</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5373-2022</t>
        </is>
      </c>
      <c r="B4671" s="1" t="n">
        <v>44594</v>
      </c>
      <c r="C4671" s="1" t="n">
        <v>45212</v>
      </c>
      <c r="D4671" t="inlineStr">
        <is>
          <t>VÄSTERNORRLANDS LÄN</t>
        </is>
      </c>
      <c r="E4671" t="inlineStr">
        <is>
          <t>KRAMFORS</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5392-2022</t>
        </is>
      </c>
      <c r="B4672" s="1" t="n">
        <v>44594</v>
      </c>
      <c r="C4672" s="1" t="n">
        <v>45212</v>
      </c>
      <c r="D4672" t="inlineStr">
        <is>
          <t>VÄSTERNORRLANDS LÄN</t>
        </is>
      </c>
      <c r="E4672" t="inlineStr">
        <is>
          <t>ÖRNSKÖLDSVIK</t>
        </is>
      </c>
      <c r="G4672" t="n">
        <v>22.3</v>
      </c>
      <c r="H4672" t="n">
        <v>0</v>
      </c>
      <c r="I4672" t="n">
        <v>0</v>
      </c>
      <c r="J4672" t="n">
        <v>0</v>
      </c>
      <c r="K4672" t="n">
        <v>0</v>
      </c>
      <c r="L4672" t="n">
        <v>0</v>
      </c>
      <c r="M4672" t="n">
        <v>0</v>
      </c>
      <c r="N4672" t="n">
        <v>0</v>
      </c>
      <c r="O4672" t="n">
        <v>0</v>
      </c>
      <c r="P4672" t="n">
        <v>0</v>
      </c>
      <c r="Q4672" t="n">
        <v>0</v>
      </c>
      <c r="R4672" s="2" t="inlineStr"/>
    </row>
    <row r="4673" ht="15" customHeight="1">
      <c r="A4673" t="inlineStr">
        <is>
          <t>A 5134-2022</t>
        </is>
      </c>
      <c r="B4673" s="1" t="n">
        <v>44594</v>
      </c>
      <c r="C4673" s="1" t="n">
        <v>45212</v>
      </c>
      <c r="D4673" t="inlineStr">
        <is>
          <t>VÄSTERNORRLANDS LÄN</t>
        </is>
      </c>
      <c r="E4673" t="inlineStr">
        <is>
          <t>SOLLEFTEÅ</t>
        </is>
      </c>
      <c r="G4673" t="n">
        <v>20.4</v>
      </c>
      <c r="H4673" t="n">
        <v>0</v>
      </c>
      <c r="I4673" t="n">
        <v>0</v>
      </c>
      <c r="J4673" t="n">
        <v>0</v>
      </c>
      <c r="K4673" t="n">
        <v>0</v>
      </c>
      <c r="L4673" t="n">
        <v>0</v>
      </c>
      <c r="M4673" t="n">
        <v>0</v>
      </c>
      <c r="N4673" t="n">
        <v>0</v>
      </c>
      <c r="O4673" t="n">
        <v>0</v>
      </c>
      <c r="P4673" t="n">
        <v>0</v>
      </c>
      <c r="Q4673" t="n">
        <v>0</v>
      </c>
      <c r="R4673" s="2" t="inlineStr"/>
    </row>
    <row r="4674" ht="15" customHeight="1">
      <c r="A4674" t="inlineStr">
        <is>
          <t>A 5279-2022</t>
        </is>
      </c>
      <c r="B4674" s="1" t="n">
        <v>44594</v>
      </c>
      <c r="C4674" s="1" t="n">
        <v>45212</v>
      </c>
      <c r="D4674" t="inlineStr">
        <is>
          <t>VÄSTERNORRLANDS LÄN</t>
        </is>
      </c>
      <c r="E4674" t="inlineStr">
        <is>
          <t>ÅNGE</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5297-2022</t>
        </is>
      </c>
      <c r="B4675" s="1" t="n">
        <v>44594</v>
      </c>
      <c r="C4675" s="1" t="n">
        <v>45212</v>
      </c>
      <c r="D4675" t="inlineStr">
        <is>
          <t>VÄSTERNORRLANDS LÄN</t>
        </is>
      </c>
      <c r="E4675" t="inlineStr">
        <is>
          <t>KRAMFORS</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5303-2022</t>
        </is>
      </c>
      <c r="B4676" s="1" t="n">
        <v>44594</v>
      </c>
      <c r="C4676" s="1" t="n">
        <v>45212</v>
      </c>
      <c r="D4676" t="inlineStr">
        <is>
          <t>VÄSTERNORRLANDS LÄN</t>
        </is>
      </c>
      <c r="E4676" t="inlineStr">
        <is>
          <t>KRAMFORS</t>
        </is>
      </c>
      <c r="G4676" t="n">
        <v>0.2</v>
      </c>
      <c r="H4676" t="n">
        <v>0</v>
      </c>
      <c r="I4676" t="n">
        <v>0</v>
      </c>
      <c r="J4676" t="n">
        <v>0</v>
      </c>
      <c r="K4676" t="n">
        <v>0</v>
      </c>
      <c r="L4676" t="n">
        <v>0</v>
      </c>
      <c r="M4676" t="n">
        <v>0</v>
      </c>
      <c r="N4676" t="n">
        <v>0</v>
      </c>
      <c r="O4676" t="n">
        <v>0</v>
      </c>
      <c r="P4676" t="n">
        <v>0</v>
      </c>
      <c r="Q4676" t="n">
        <v>0</v>
      </c>
      <c r="R4676" s="2" t="inlineStr"/>
    </row>
    <row r="4677" ht="15" customHeight="1">
      <c r="A4677" t="inlineStr">
        <is>
          <t>A 5403-2022</t>
        </is>
      </c>
      <c r="B4677" s="1" t="n">
        <v>44594</v>
      </c>
      <c r="C4677" s="1" t="n">
        <v>45212</v>
      </c>
      <c r="D4677" t="inlineStr">
        <is>
          <t>VÄSTERNORRLANDS LÄN</t>
        </is>
      </c>
      <c r="E4677" t="inlineStr">
        <is>
          <t>ÖRNSKÖLDSVIK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5650-2022</t>
        </is>
      </c>
      <c r="B4678" s="1" t="n">
        <v>44595</v>
      </c>
      <c r="C4678" s="1" t="n">
        <v>45212</v>
      </c>
      <c r="D4678" t="inlineStr">
        <is>
          <t>VÄSTERNORRLANDS LÄN</t>
        </is>
      </c>
      <c r="E4678" t="inlineStr">
        <is>
          <t>SUNDSVALL</t>
        </is>
      </c>
      <c r="G4678" t="n">
        <v>1.3</v>
      </c>
      <c r="H4678" t="n">
        <v>0</v>
      </c>
      <c r="I4678" t="n">
        <v>0</v>
      </c>
      <c r="J4678" t="n">
        <v>0</v>
      </c>
      <c r="K4678" t="n">
        <v>0</v>
      </c>
      <c r="L4678" t="n">
        <v>0</v>
      </c>
      <c r="M4678" t="n">
        <v>0</v>
      </c>
      <c r="N4678" t="n">
        <v>0</v>
      </c>
      <c r="O4678" t="n">
        <v>0</v>
      </c>
      <c r="P4678" t="n">
        <v>0</v>
      </c>
      <c r="Q4678" t="n">
        <v>0</v>
      </c>
      <c r="R4678" s="2" t="inlineStr"/>
    </row>
    <row r="4679" ht="15" customHeight="1">
      <c r="A4679" t="inlineStr">
        <is>
          <t>A 5565-2022</t>
        </is>
      </c>
      <c r="B4679" s="1" t="n">
        <v>44595</v>
      </c>
      <c r="C4679" s="1" t="n">
        <v>45212</v>
      </c>
      <c r="D4679" t="inlineStr">
        <is>
          <t>VÄSTERNORRLANDS LÄN</t>
        </is>
      </c>
      <c r="E4679" t="inlineStr">
        <is>
          <t>ÅNGE</t>
        </is>
      </c>
      <c r="G4679" t="n">
        <v>0.3</v>
      </c>
      <c r="H4679" t="n">
        <v>0</v>
      </c>
      <c r="I4679" t="n">
        <v>0</v>
      </c>
      <c r="J4679" t="n">
        <v>0</v>
      </c>
      <c r="K4679" t="n">
        <v>0</v>
      </c>
      <c r="L4679" t="n">
        <v>0</v>
      </c>
      <c r="M4679" t="n">
        <v>0</v>
      </c>
      <c r="N4679" t="n">
        <v>0</v>
      </c>
      <c r="O4679" t="n">
        <v>0</v>
      </c>
      <c r="P4679" t="n">
        <v>0</v>
      </c>
      <c r="Q4679" t="n">
        <v>0</v>
      </c>
      <c r="R4679" s="2" t="inlineStr"/>
    </row>
    <row r="4680" ht="15" customHeight="1">
      <c r="A4680" t="inlineStr">
        <is>
          <t>A 5520-2022</t>
        </is>
      </c>
      <c r="B4680" s="1" t="n">
        <v>44595</v>
      </c>
      <c r="C4680" s="1" t="n">
        <v>45212</v>
      </c>
      <c r="D4680" t="inlineStr">
        <is>
          <t>VÄSTERNORRLANDS LÄN</t>
        </is>
      </c>
      <c r="E4680" t="inlineStr">
        <is>
          <t>ÅNGE</t>
        </is>
      </c>
      <c r="G4680" t="n">
        <v>4.9</v>
      </c>
      <c r="H4680" t="n">
        <v>0</v>
      </c>
      <c r="I4680" t="n">
        <v>0</v>
      </c>
      <c r="J4680" t="n">
        <v>0</v>
      </c>
      <c r="K4680" t="n">
        <v>0</v>
      </c>
      <c r="L4680" t="n">
        <v>0</v>
      </c>
      <c r="M4680" t="n">
        <v>0</v>
      </c>
      <c r="N4680" t="n">
        <v>0</v>
      </c>
      <c r="O4680" t="n">
        <v>0</v>
      </c>
      <c r="P4680" t="n">
        <v>0</v>
      </c>
      <c r="Q4680" t="n">
        <v>0</v>
      </c>
      <c r="R4680" s="2" t="inlineStr"/>
    </row>
    <row r="4681" ht="15" customHeight="1">
      <c r="A4681" t="inlineStr">
        <is>
          <t>A 5654-2022</t>
        </is>
      </c>
      <c r="B4681" s="1" t="n">
        <v>44595</v>
      </c>
      <c r="C4681" s="1" t="n">
        <v>45212</v>
      </c>
      <c r="D4681" t="inlineStr">
        <is>
          <t>VÄSTERNORRLANDS LÄN</t>
        </is>
      </c>
      <c r="E4681" t="inlineStr">
        <is>
          <t>SUNDSVALL</t>
        </is>
      </c>
      <c r="F4681" t="inlineStr">
        <is>
          <t>SCA</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5896-2022</t>
        </is>
      </c>
      <c r="B4682" s="1" t="n">
        <v>44596</v>
      </c>
      <c r="C4682" s="1" t="n">
        <v>45212</v>
      </c>
      <c r="D4682" t="inlineStr">
        <is>
          <t>VÄSTERNORRLANDS LÄN</t>
        </is>
      </c>
      <c r="E4682" t="inlineStr">
        <is>
          <t>HÄRNÖSAND</t>
        </is>
      </c>
      <c r="F4682" t="inlineStr">
        <is>
          <t>Övriga statliga verk och myndigheter</t>
        </is>
      </c>
      <c r="G4682" t="n">
        <v>2.4</v>
      </c>
      <c r="H4682" t="n">
        <v>0</v>
      </c>
      <c r="I4682" t="n">
        <v>0</v>
      </c>
      <c r="J4682" t="n">
        <v>0</v>
      </c>
      <c r="K4682" t="n">
        <v>0</v>
      </c>
      <c r="L4682" t="n">
        <v>0</v>
      </c>
      <c r="M4682" t="n">
        <v>0</v>
      </c>
      <c r="N4682" t="n">
        <v>0</v>
      </c>
      <c r="O4682" t="n">
        <v>0</v>
      </c>
      <c r="P4682" t="n">
        <v>0</v>
      </c>
      <c r="Q4682" t="n">
        <v>0</v>
      </c>
      <c r="R4682" s="2" t="inlineStr"/>
    </row>
    <row r="4683" ht="15" customHeight="1">
      <c r="A4683" t="inlineStr">
        <is>
          <t>A 6115-2022</t>
        </is>
      </c>
      <c r="B4683" s="1" t="n">
        <v>44599</v>
      </c>
      <c r="C4683" s="1" t="n">
        <v>45212</v>
      </c>
      <c r="D4683" t="inlineStr">
        <is>
          <t>VÄSTERNORRLANDS LÄN</t>
        </is>
      </c>
      <c r="E4683" t="inlineStr">
        <is>
          <t>ÅNGE</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6239-2022</t>
        </is>
      </c>
      <c r="B4684" s="1" t="n">
        <v>44599</v>
      </c>
      <c r="C4684" s="1" t="n">
        <v>45212</v>
      </c>
      <c r="D4684" t="inlineStr">
        <is>
          <t>VÄSTERNORRLANDS LÄN</t>
        </is>
      </c>
      <c r="E4684" t="inlineStr">
        <is>
          <t>SUNDSVALL</t>
        </is>
      </c>
      <c r="G4684" t="n">
        <v>1.9</v>
      </c>
      <c r="H4684" t="n">
        <v>0</v>
      </c>
      <c r="I4684" t="n">
        <v>0</v>
      </c>
      <c r="J4684" t="n">
        <v>0</v>
      </c>
      <c r="K4684" t="n">
        <v>0</v>
      </c>
      <c r="L4684" t="n">
        <v>0</v>
      </c>
      <c r="M4684" t="n">
        <v>0</v>
      </c>
      <c r="N4684" t="n">
        <v>0</v>
      </c>
      <c r="O4684" t="n">
        <v>0</v>
      </c>
      <c r="P4684" t="n">
        <v>0</v>
      </c>
      <c r="Q4684" t="n">
        <v>0</v>
      </c>
      <c r="R4684" s="2" t="inlineStr"/>
    </row>
    <row r="4685" ht="15" customHeight="1">
      <c r="A4685" t="inlineStr">
        <is>
          <t>A 6112-2022</t>
        </is>
      </c>
      <c r="B4685" s="1" t="n">
        <v>44599</v>
      </c>
      <c r="C4685" s="1" t="n">
        <v>45212</v>
      </c>
      <c r="D4685" t="inlineStr">
        <is>
          <t>VÄSTERNORRLANDS LÄN</t>
        </is>
      </c>
      <c r="E4685" t="inlineStr">
        <is>
          <t>ÅNGE</t>
        </is>
      </c>
      <c r="G4685" t="n">
        <v>5.6</v>
      </c>
      <c r="H4685" t="n">
        <v>0</v>
      </c>
      <c r="I4685" t="n">
        <v>0</v>
      </c>
      <c r="J4685" t="n">
        <v>0</v>
      </c>
      <c r="K4685" t="n">
        <v>0</v>
      </c>
      <c r="L4685" t="n">
        <v>0</v>
      </c>
      <c r="M4685" t="n">
        <v>0</v>
      </c>
      <c r="N4685" t="n">
        <v>0</v>
      </c>
      <c r="O4685" t="n">
        <v>0</v>
      </c>
      <c r="P4685" t="n">
        <v>0</v>
      </c>
      <c r="Q4685" t="n">
        <v>0</v>
      </c>
      <c r="R4685" s="2" t="inlineStr"/>
    </row>
    <row r="4686" ht="15" customHeight="1">
      <c r="A4686" t="inlineStr">
        <is>
          <t>A 6170-2022</t>
        </is>
      </c>
      <c r="B4686" s="1" t="n">
        <v>44599</v>
      </c>
      <c r="C4686" s="1" t="n">
        <v>45212</v>
      </c>
      <c r="D4686" t="inlineStr">
        <is>
          <t>VÄSTERNORRLANDS LÄN</t>
        </is>
      </c>
      <c r="E4686" t="inlineStr">
        <is>
          <t>SOLLEFTEÅ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5994-2022</t>
        </is>
      </c>
      <c r="B4687" s="1" t="n">
        <v>44599</v>
      </c>
      <c r="C4687" s="1" t="n">
        <v>45212</v>
      </c>
      <c r="D4687" t="inlineStr">
        <is>
          <t>VÄSTERNORRLANDS LÄN</t>
        </is>
      </c>
      <c r="E4687" t="inlineStr">
        <is>
          <t>ÖRNSKÖLDSVIK</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6113-2022</t>
        </is>
      </c>
      <c r="B4688" s="1" t="n">
        <v>44599</v>
      </c>
      <c r="C4688" s="1" t="n">
        <v>45212</v>
      </c>
      <c r="D4688" t="inlineStr">
        <is>
          <t>VÄSTERNORRLANDS LÄN</t>
        </is>
      </c>
      <c r="E4688" t="inlineStr">
        <is>
          <t>ÅNGE</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6121-2022</t>
        </is>
      </c>
      <c r="B4689" s="1" t="n">
        <v>44599</v>
      </c>
      <c r="C4689" s="1" t="n">
        <v>45212</v>
      </c>
      <c r="D4689" t="inlineStr">
        <is>
          <t>VÄSTERNORRLANDS LÄN</t>
        </is>
      </c>
      <c r="E4689" t="inlineStr">
        <is>
          <t>SOLLEFTEÅ</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6431-2022</t>
        </is>
      </c>
      <c r="B4690" s="1" t="n">
        <v>44600</v>
      </c>
      <c r="C4690" s="1" t="n">
        <v>45212</v>
      </c>
      <c r="D4690" t="inlineStr">
        <is>
          <t>VÄSTERNORRLANDS LÄN</t>
        </is>
      </c>
      <c r="E4690" t="inlineStr">
        <is>
          <t>HÄRNÖSAND</t>
        </is>
      </c>
      <c r="F4690" t="inlineStr">
        <is>
          <t>SCA</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6409-2022</t>
        </is>
      </c>
      <c r="B4691" s="1" t="n">
        <v>44600</v>
      </c>
      <c r="C4691" s="1" t="n">
        <v>45212</v>
      </c>
      <c r="D4691" t="inlineStr">
        <is>
          <t>VÄSTERNORRLANDS LÄN</t>
        </is>
      </c>
      <c r="E4691" t="inlineStr">
        <is>
          <t>ÖRNSKÖLDSVIK</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6263-2022</t>
        </is>
      </c>
      <c r="B4692" s="1" t="n">
        <v>44600</v>
      </c>
      <c r="C4692" s="1" t="n">
        <v>45212</v>
      </c>
      <c r="D4692" t="inlineStr">
        <is>
          <t>VÄSTERNORRLANDS LÄN</t>
        </is>
      </c>
      <c r="E4692" t="inlineStr">
        <is>
          <t>ÅNGE</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6443-2022</t>
        </is>
      </c>
      <c r="B4693" s="1" t="n">
        <v>44601</v>
      </c>
      <c r="C4693" s="1" t="n">
        <v>45212</v>
      </c>
      <c r="D4693" t="inlineStr">
        <is>
          <t>VÄSTERNORRLANDS LÄN</t>
        </is>
      </c>
      <c r="E4693" t="inlineStr">
        <is>
          <t>ÅNGE</t>
        </is>
      </c>
      <c r="G4693" t="n">
        <v>3.3</v>
      </c>
      <c r="H4693" t="n">
        <v>0</v>
      </c>
      <c r="I4693" t="n">
        <v>0</v>
      </c>
      <c r="J4693" t="n">
        <v>0</v>
      </c>
      <c r="K4693" t="n">
        <v>0</v>
      </c>
      <c r="L4693" t="n">
        <v>0</v>
      </c>
      <c r="M4693" t="n">
        <v>0</v>
      </c>
      <c r="N4693" t="n">
        <v>0</v>
      </c>
      <c r="O4693" t="n">
        <v>0</v>
      </c>
      <c r="P4693" t="n">
        <v>0</v>
      </c>
      <c r="Q4693" t="n">
        <v>0</v>
      </c>
      <c r="R4693" s="2" t="inlineStr"/>
    </row>
    <row r="4694" ht="15" customHeight="1">
      <c r="A4694" t="inlineStr">
        <is>
          <t>A 6594-2022</t>
        </is>
      </c>
      <c r="B4694" s="1" t="n">
        <v>44601</v>
      </c>
      <c r="C4694" s="1" t="n">
        <v>45212</v>
      </c>
      <c r="D4694" t="inlineStr">
        <is>
          <t>VÄSTERNORRLANDS LÄN</t>
        </is>
      </c>
      <c r="E4694" t="inlineStr">
        <is>
          <t>ÖRNSKÖLDSVIK</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6639-2022</t>
        </is>
      </c>
      <c r="B4695" s="1" t="n">
        <v>44601</v>
      </c>
      <c r="C4695" s="1" t="n">
        <v>45212</v>
      </c>
      <c r="D4695" t="inlineStr">
        <is>
          <t>VÄSTERNORRLANDS LÄN</t>
        </is>
      </c>
      <c r="E4695" t="inlineStr">
        <is>
          <t>HÄRNÖSAND</t>
        </is>
      </c>
      <c r="F4695" t="inlineStr">
        <is>
          <t>SCA</t>
        </is>
      </c>
      <c r="G4695" t="n">
        <v>4.3</v>
      </c>
      <c r="H4695" t="n">
        <v>0</v>
      </c>
      <c r="I4695" t="n">
        <v>0</v>
      </c>
      <c r="J4695" t="n">
        <v>0</v>
      </c>
      <c r="K4695" t="n">
        <v>0</v>
      </c>
      <c r="L4695" t="n">
        <v>0</v>
      </c>
      <c r="M4695" t="n">
        <v>0</v>
      </c>
      <c r="N4695" t="n">
        <v>0</v>
      </c>
      <c r="O4695" t="n">
        <v>0</v>
      </c>
      <c r="P4695" t="n">
        <v>0</v>
      </c>
      <c r="Q4695" t="n">
        <v>0</v>
      </c>
      <c r="R4695" s="2" t="inlineStr"/>
    </row>
    <row r="4696" ht="15" customHeight="1">
      <c r="A4696" t="inlineStr">
        <is>
          <t>A 6908-2022</t>
        </is>
      </c>
      <c r="B4696" s="1" t="n">
        <v>44602</v>
      </c>
      <c r="C4696" s="1" t="n">
        <v>45212</v>
      </c>
      <c r="D4696" t="inlineStr">
        <is>
          <t>VÄSTERNORRLANDS LÄN</t>
        </is>
      </c>
      <c r="E4696" t="inlineStr">
        <is>
          <t>KRAMFORS</t>
        </is>
      </c>
      <c r="G4696" t="n">
        <v>20.9</v>
      </c>
      <c r="H4696" t="n">
        <v>0</v>
      </c>
      <c r="I4696" t="n">
        <v>0</v>
      </c>
      <c r="J4696" t="n">
        <v>0</v>
      </c>
      <c r="K4696" t="n">
        <v>0</v>
      </c>
      <c r="L4696" t="n">
        <v>0</v>
      </c>
      <c r="M4696" t="n">
        <v>0</v>
      </c>
      <c r="N4696" t="n">
        <v>0</v>
      </c>
      <c r="O4696" t="n">
        <v>0</v>
      </c>
      <c r="P4696" t="n">
        <v>0</v>
      </c>
      <c r="Q4696" t="n">
        <v>0</v>
      </c>
      <c r="R4696" s="2" t="inlineStr"/>
    </row>
    <row r="4697" ht="15" customHeight="1">
      <c r="A4697" t="inlineStr">
        <is>
          <t>A 6808-2022</t>
        </is>
      </c>
      <c r="B4697" s="1" t="n">
        <v>44602</v>
      </c>
      <c r="C4697" s="1" t="n">
        <v>45212</v>
      </c>
      <c r="D4697" t="inlineStr">
        <is>
          <t>VÄSTERNORRLANDS LÄN</t>
        </is>
      </c>
      <c r="E4697" t="inlineStr">
        <is>
          <t>SUNDSVALL</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7061-2022</t>
        </is>
      </c>
      <c r="B4698" s="1" t="n">
        <v>44603</v>
      </c>
      <c r="C4698" s="1" t="n">
        <v>45212</v>
      </c>
      <c r="D4698" t="inlineStr">
        <is>
          <t>VÄSTERNORRLANDS LÄN</t>
        </is>
      </c>
      <c r="E4698" t="inlineStr">
        <is>
          <t>HÄRNÖSAND</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7076-2022</t>
        </is>
      </c>
      <c r="B4699" s="1" t="n">
        <v>44603</v>
      </c>
      <c r="C4699" s="1" t="n">
        <v>45212</v>
      </c>
      <c r="D4699" t="inlineStr">
        <is>
          <t>VÄSTERNORRLANDS LÄN</t>
        </is>
      </c>
      <c r="E4699" t="inlineStr">
        <is>
          <t>HÄRNÖSAND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7317-2022</t>
        </is>
      </c>
      <c r="B4700" s="1" t="n">
        <v>44606</v>
      </c>
      <c r="C4700" s="1" t="n">
        <v>45212</v>
      </c>
      <c r="D4700" t="inlineStr">
        <is>
          <t>VÄSTERNORRLANDS LÄN</t>
        </is>
      </c>
      <c r="E4700" t="inlineStr">
        <is>
          <t>HÄRNÖSAND</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7367-2022</t>
        </is>
      </c>
      <c r="B4701" s="1" t="n">
        <v>44606</v>
      </c>
      <c r="C4701" s="1" t="n">
        <v>45212</v>
      </c>
      <c r="D4701" t="inlineStr">
        <is>
          <t>VÄSTERNORRLANDS LÄN</t>
        </is>
      </c>
      <c r="E4701" t="inlineStr">
        <is>
          <t>KRAMFORS</t>
        </is>
      </c>
      <c r="G4701" t="n">
        <v>2.9</v>
      </c>
      <c r="H4701" t="n">
        <v>0</v>
      </c>
      <c r="I4701" t="n">
        <v>0</v>
      </c>
      <c r="J4701" t="n">
        <v>0</v>
      </c>
      <c r="K4701" t="n">
        <v>0</v>
      </c>
      <c r="L4701" t="n">
        <v>0</v>
      </c>
      <c r="M4701" t="n">
        <v>0</v>
      </c>
      <c r="N4701" t="n">
        <v>0</v>
      </c>
      <c r="O4701" t="n">
        <v>0</v>
      </c>
      <c r="P4701" t="n">
        <v>0</v>
      </c>
      <c r="Q4701" t="n">
        <v>0</v>
      </c>
      <c r="R4701" s="2" t="inlineStr"/>
    </row>
    <row r="4702" ht="15" customHeight="1">
      <c r="A4702" t="inlineStr">
        <is>
          <t>A 7437-2022</t>
        </is>
      </c>
      <c r="B4702" s="1" t="n">
        <v>44606</v>
      </c>
      <c r="C4702" s="1" t="n">
        <v>45212</v>
      </c>
      <c r="D4702" t="inlineStr">
        <is>
          <t>VÄSTERNORRLANDS LÄN</t>
        </is>
      </c>
      <c r="E4702" t="inlineStr">
        <is>
          <t>SUNDSVALL</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7436-2022</t>
        </is>
      </c>
      <c r="B4703" s="1" t="n">
        <v>44606</v>
      </c>
      <c r="C4703" s="1" t="n">
        <v>45212</v>
      </c>
      <c r="D4703" t="inlineStr">
        <is>
          <t>VÄSTERNORRLANDS LÄN</t>
        </is>
      </c>
      <c r="E4703" t="inlineStr">
        <is>
          <t>SUNDSVALL</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7649-2022</t>
        </is>
      </c>
      <c r="B4704" s="1" t="n">
        <v>44607</v>
      </c>
      <c r="C4704" s="1" t="n">
        <v>45212</v>
      </c>
      <c r="D4704" t="inlineStr">
        <is>
          <t>VÄSTERNORRLANDS LÄN</t>
        </is>
      </c>
      <c r="E4704" t="inlineStr">
        <is>
          <t>ÅNGE</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7667-2022</t>
        </is>
      </c>
      <c r="B4705" s="1" t="n">
        <v>44607</v>
      </c>
      <c r="C4705" s="1" t="n">
        <v>45212</v>
      </c>
      <c r="D4705" t="inlineStr">
        <is>
          <t>VÄSTERNORRLANDS LÄN</t>
        </is>
      </c>
      <c r="E4705" t="inlineStr">
        <is>
          <t>SOLLEFTEÅ</t>
        </is>
      </c>
      <c r="F4705" t="inlineStr">
        <is>
          <t>SCA</t>
        </is>
      </c>
      <c r="G4705" t="n">
        <v>6.5</v>
      </c>
      <c r="H4705" t="n">
        <v>0</v>
      </c>
      <c r="I4705" t="n">
        <v>0</v>
      </c>
      <c r="J4705" t="n">
        <v>0</v>
      </c>
      <c r="K4705" t="n">
        <v>0</v>
      </c>
      <c r="L4705" t="n">
        <v>0</v>
      </c>
      <c r="M4705" t="n">
        <v>0</v>
      </c>
      <c r="N4705" t="n">
        <v>0</v>
      </c>
      <c r="O4705" t="n">
        <v>0</v>
      </c>
      <c r="P4705" t="n">
        <v>0</v>
      </c>
      <c r="Q4705" t="n">
        <v>0</v>
      </c>
      <c r="R4705" s="2" t="inlineStr"/>
    </row>
    <row r="4706" ht="15" customHeight="1">
      <c r="A4706" t="inlineStr">
        <is>
          <t>A 7670-2022</t>
        </is>
      </c>
      <c r="B4706" s="1" t="n">
        <v>44607</v>
      </c>
      <c r="C4706" s="1" t="n">
        <v>45212</v>
      </c>
      <c r="D4706" t="inlineStr">
        <is>
          <t>VÄSTERNORRLANDS LÄN</t>
        </is>
      </c>
      <c r="E4706" t="inlineStr">
        <is>
          <t>TIMRÅ</t>
        </is>
      </c>
      <c r="G4706" t="n">
        <v>3.6</v>
      </c>
      <c r="H4706" t="n">
        <v>0</v>
      </c>
      <c r="I4706" t="n">
        <v>0</v>
      </c>
      <c r="J4706" t="n">
        <v>0</v>
      </c>
      <c r="K4706" t="n">
        <v>0</v>
      </c>
      <c r="L4706" t="n">
        <v>0</v>
      </c>
      <c r="M4706" t="n">
        <v>0</v>
      </c>
      <c r="N4706" t="n">
        <v>0</v>
      </c>
      <c r="O4706" t="n">
        <v>0</v>
      </c>
      <c r="P4706" t="n">
        <v>0</v>
      </c>
      <c r="Q4706" t="n">
        <v>0</v>
      </c>
      <c r="R4706" s="2" t="inlineStr"/>
    </row>
    <row r="4707" ht="15" customHeight="1">
      <c r="A4707" t="inlineStr">
        <is>
          <t>A 7716-2022</t>
        </is>
      </c>
      <c r="B4707" s="1" t="n">
        <v>44607</v>
      </c>
      <c r="C4707" s="1" t="n">
        <v>45212</v>
      </c>
      <c r="D4707" t="inlineStr">
        <is>
          <t>VÄSTERNORRLANDS LÄN</t>
        </is>
      </c>
      <c r="E4707" t="inlineStr">
        <is>
          <t>KRAMFORS</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7764-2022</t>
        </is>
      </c>
      <c r="B4708" s="1" t="n">
        <v>44608</v>
      </c>
      <c r="C4708" s="1" t="n">
        <v>45212</v>
      </c>
      <c r="D4708" t="inlineStr">
        <is>
          <t>VÄSTERNORRLANDS LÄN</t>
        </is>
      </c>
      <c r="E4708" t="inlineStr">
        <is>
          <t>KRAMFORS</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7784-2022</t>
        </is>
      </c>
      <c r="B4709" s="1" t="n">
        <v>44608</v>
      </c>
      <c r="C4709" s="1" t="n">
        <v>45212</v>
      </c>
      <c r="D4709" t="inlineStr">
        <is>
          <t>VÄSTERNORRLANDS LÄN</t>
        </is>
      </c>
      <c r="E4709" t="inlineStr">
        <is>
          <t>HÄRNÖSAND</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7873-2022</t>
        </is>
      </c>
      <c r="B4710" s="1" t="n">
        <v>44608</v>
      </c>
      <c r="C4710" s="1" t="n">
        <v>45212</v>
      </c>
      <c r="D4710" t="inlineStr">
        <is>
          <t>VÄSTERNORRLANDS LÄN</t>
        </is>
      </c>
      <c r="E4710" t="inlineStr">
        <is>
          <t>ÖRNSKÖLDSVIK</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7946-2022</t>
        </is>
      </c>
      <c r="B4711" s="1" t="n">
        <v>44608</v>
      </c>
      <c r="C4711" s="1" t="n">
        <v>45212</v>
      </c>
      <c r="D4711" t="inlineStr">
        <is>
          <t>VÄSTERNORRLANDS LÄN</t>
        </is>
      </c>
      <c r="E4711" t="inlineStr">
        <is>
          <t>SUNDSVALL</t>
        </is>
      </c>
      <c r="G4711" t="n">
        <v>5.8</v>
      </c>
      <c r="H4711" t="n">
        <v>0</v>
      </c>
      <c r="I4711" t="n">
        <v>0</v>
      </c>
      <c r="J4711" t="n">
        <v>0</v>
      </c>
      <c r="K4711" t="n">
        <v>0</v>
      </c>
      <c r="L4711" t="n">
        <v>0</v>
      </c>
      <c r="M4711" t="n">
        <v>0</v>
      </c>
      <c r="N4711" t="n">
        <v>0</v>
      </c>
      <c r="O4711" t="n">
        <v>0</v>
      </c>
      <c r="P4711" t="n">
        <v>0</v>
      </c>
      <c r="Q4711" t="n">
        <v>0</v>
      </c>
      <c r="R4711" s="2" t="inlineStr"/>
    </row>
    <row r="4712" ht="15" customHeight="1">
      <c r="A4712" t="inlineStr">
        <is>
          <t>A 7822-2022</t>
        </is>
      </c>
      <c r="B4712" s="1" t="n">
        <v>44608</v>
      </c>
      <c r="C4712" s="1" t="n">
        <v>45212</v>
      </c>
      <c r="D4712" t="inlineStr">
        <is>
          <t>VÄSTERNORRLANDS LÄN</t>
        </is>
      </c>
      <c r="E4712" t="inlineStr">
        <is>
          <t>KRAMFORS</t>
        </is>
      </c>
      <c r="G4712" t="n">
        <v>3</v>
      </c>
      <c r="H4712" t="n">
        <v>0</v>
      </c>
      <c r="I4712" t="n">
        <v>0</v>
      </c>
      <c r="J4712" t="n">
        <v>0</v>
      </c>
      <c r="K4712" t="n">
        <v>0</v>
      </c>
      <c r="L4712" t="n">
        <v>0</v>
      </c>
      <c r="M4712" t="n">
        <v>0</v>
      </c>
      <c r="N4712" t="n">
        <v>0</v>
      </c>
      <c r="O4712" t="n">
        <v>0</v>
      </c>
      <c r="P4712" t="n">
        <v>0</v>
      </c>
      <c r="Q4712" t="n">
        <v>0</v>
      </c>
      <c r="R4712" s="2" t="inlineStr"/>
    </row>
    <row r="4713" ht="15" customHeight="1">
      <c r="A4713" t="inlineStr">
        <is>
          <t>A 7938-2022</t>
        </is>
      </c>
      <c r="B4713" s="1" t="n">
        <v>44608</v>
      </c>
      <c r="C4713" s="1" t="n">
        <v>45212</v>
      </c>
      <c r="D4713" t="inlineStr">
        <is>
          <t>VÄSTERNORRLANDS LÄN</t>
        </is>
      </c>
      <c r="E4713" t="inlineStr">
        <is>
          <t>KRAMFORS</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7866-2022</t>
        </is>
      </c>
      <c r="B4714" s="1" t="n">
        <v>44608</v>
      </c>
      <c r="C4714" s="1" t="n">
        <v>45212</v>
      </c>
      <c r="D4714" t="inlineStr">
        <is>
          <t>VÄSTERNORRLANDS LÄN</t>
        </is>
      </c>
      <c r="E4714" t="inlineStr">
        <is>
          <t>ÖRNSKÖLDSVIK</t>
        </is>
      </c>
      <c r="G4714" t="n">
        <v>23.8</v>
      </c>
      <c r="H4714" t="n">
        <v>0</v>
      </c>
      <c r="I4714" t="n">
        <v>0</v>
      </c>
      <c r="J4714" t="n">
        <v>0</v>
      </c>
      <c r="K4714" t="n">
        <v>0</v>
      </c>
      <c r="L4714" t="n">
        <v>0</v>
      </c>
      <c r="M4714" t="n">
        <v>0</v>
      </c>
      <c r="N4714" t="n">
        <v>0</v>
      </c>
      <c r="O4714" t="n">
        <v>0</v>
      </c>
      <c r="P4714" t="n">
        <v>0</v>
      </c>
      <c r="Q4714" t="n">
        <v>0</v>
      </c>
      <c r="R4714" s="2" t="inlineStr"/>
    </row>
    <row r="4715" ht="15" customHeight="1">
      <c r="A4715" t="inlineStr">
        <is>
          <t>A 7935-2022</t>
        </is>
      </c>
      <c r="B4715" s="1" t="n">
        <v>44608</v>
      </c>
      <c r="C4715" s="1" t="n">
        <v>45212</v>
      </c>
      <c r="D4715" t="inlineStr">
        <is>
          <t>VÄSTERNORRLANDS LÄN</t>
        </is>
      </c>
      <c r="E4715" t="inlineStr">
        <is>
          <t>SOLLEFTEÅ</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7943-2022</t>
        </is>
      </c>
      <c r="B4716" s="1" t="n">
        <v>44608</v>
      </c>
      <c r="C4716" s="1" t="n">
        <v>45212</v>
      </c>
      <c r="D4716" t="inlineStr">
        <is>
          <t>VÄSTERNORRLANDS LÄN</t>
        </is>
      </c>
      <c r="E4716" t="inlineStr">
        <is>
          <t>SUNDSVALL</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7966-2022</t>
        </is>
      </c>
      <c r="B4717" s="1" t="n">
        <v>44608</v>
      </c>
      <c r="C4717" s="1" t="n">
        <v>45212</v>
      </c>
      <c r="D4717" t="inlineStr">
        <is>
          <t>VÄSTERNORRLANDS LÄN</t>
        </is>
      </c>
      <c r="E4717" t="inlineStr">
        <is>
          <t>TIMRÅ</t>
        </is>
      </c>
      <c r="F4717" t="inlineStr">
        <is>
          <t>SCA</t>
        </is>
      </c>
      <c r="G4717" t="n">
        <v>8.199999999999999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8224-2022</t>
        </is>
      </c>
      <c r="B4718" s="1" t="n">
        <v>44609</v>
      </c>
      <c r="C4718" s="1" t="n">
        <v>45212</v>
      </c>
      <c r="D4718" t="inlineStr">
        <is>
          <t>VÄSTERNORRLANDS LÄN</t>
        </is>
      </c>
      <c r="E4718" t="inlineStr">
        <is>
          <t>SUNDSVALL</t>
        </is>
      </c>
      <c r="G4718" t="n">
        <v>4.3</v>
      </c>
      <c r="H4718" t="n">
        <v>0</v>
      </c>
      <c r="I4718" t="n">
        <v>0</v>
      </c>
      <c r="J4718" t="n">
        <v>0</v>
      </c>
      <c r="K4718" t="n">
        <v>0</v>
      </c>
      <c r="L4718" t="n">
        <v>0</v>
      </c>
      <c r="M4718" t="n">
        <v>0</v>
      </c>
      <c r="N4718" t="n">
        <v>0</v>
      </c>
      <c r="O4718" t="n">
        <v>0</v>
      </c>
      <c r="P4718" t="n">
        <v>0</v>
      </c>
      <c r="Q4718" t="n">
        <v>0</v>
      </c>
      <c r="R4718" s="2" t="inlineStr"/>
    </row>
    <row r="4719" ht="15" customHeight="1">
      <c r="A4719" t="inlineStr">
        <is>
          <t>A 8220-2022</t>
        </is>
      </c>
      <c r="B4719" s="1" t="n">
        <v>44609</v>
      </c>
      <c r="C4719" s="1" t="n">
        <v>45212</v>
      </c>
      <c r="D4719" t="inlineStr">
        <is>
          <t>VÄSTERNORRLANDS LÄN</t>
        </is>
      </c>
      <c r="E4719" t="inlineStr">
        <is>
          <t>HÄRNÖSAND</t>
        </is>
      </c>
      <c r="F4719" t="inlineStr">
        <is>
          <t>Övriga statliga verk och myndigheter</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8336-2022</t>
        </is>
      </c>
      <c r="B4720" s="1" t="n">
        <v>44610</v>
      </c>
      <c r="C4720" s="1" t="n">
        <v>45212</v>
      </c>
      <c r="D4720" t="inlineStr">
        <is>
          <t>VÄSTERNORRLANDS LÄN</t>
        </is>
      </c>
      <c r="E4720" t="inlineStr">
        <is>
          <t>TIMRÅ</t>
        </is>
      </c>
      <c r="F4720" t="inlineStr">
        <is>
          <t>Kommuner</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8264-2022</t>
        </is>
      </c>
      <c r="B4721" s="1" t="n">
        <v>44610</v>
      </c>
      <c r="C4721" s="1" t="n">
        <v>45212</v>
      </c>
      <c r="D4721" t="inlineStr">
        <is>
          <t>VÄSTERNORRLANDS LÄN</t>
        </is>
      </c>
      <c r="E4721" t="inlineStr">
        <is>
          <t>KRAMFORS</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8734-2022</t>
        </is>
      </c>
      <c r="B4722" s="1" t="n">
        <v>44613</v>
      </c>
      <c r="C4722" s="1" t="n">
        <v>45212</v>
      </c>
      <c r="D4722" t="inlineStr">
        <is>
          <t>VÄSTERNORRLANDS LÄN</t>
        </is>
      </c>
      <c r="E4722" t="inlineStr">
        <is>
          <t>SOLLEFTEÅ</t>
        </is>
      </c>
      <c r="F4722" t="inlineStr">
        <is>
          <t>SCA</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8581-2022</t>
        </is>
      </c>
      <c r="B4723" s="1" t="n">
        <v>44613</v>
      </c>
      <c r="C4723" s="1" t="n">
        <v>45212</v>
      </c>
      <c r="D4723" t="inlineStr">
        <is>
          <t>VÄSTERNORRLANDS LÄN</t>
        </is>
      </c>
      <c r="E4723" t="inlineStr">
        <is>
          <t>ÖRNSKÖLDSVIK</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8755-2022</t>
        </is>
      </c>
      <c r="B4724" s="1" t="n">
        <v>44614</v>
      </c>
      <c r="C4724" s="1" t="n">
        <v>45212</v>
      </c>
      <c r="D4724" t="inlineStr">
        <is>
          <t>VÄSTERNORRLANDS LÄN</t>
        </is>
      </c>
      <c r="E4724" t="inlineStr">
        <is>
          <t>ÅNGE</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9203-2022</t>
        </is>
      </c>
      <c r="B4725" s="1" t="n">
        <v>44615</v>
      </c>
      <c r="C4725" s="1" t="n">
        <v>45212</v>
      </c>
      <c r="D4725" t="inlineStr">
        <is>
          <t>VÄSTERNORRLANDS LÄN</t>
        </is>
      </c>
      <c r="E4725" t="inlineStr">
        <is>
          <t>TIMRÅ</t>
        </is>
      </c>
      <c r="G4725" t="n">
        <v>5.5</v>
      </c>
      <c r="H4725" t="n">
        <v>0</v>
      </c>
      <c r="I4725" t="n">
        <v>0</v>
      </c>
      <c r="J4725" t="n">
        <v>0</v>
      </c>
      <c r="K4725" t="n">
        <v>0</v>
      </c>
      <c r="L4725" t="n">
        <v>0</v>
      </c>
      <c r="M4725" t="n">
        <v>0</v>
      </c>
      <c r="N4725" t="n">
        <v>0</v>
      </c>
      <c r="O4725" t="n">
        <v>0</v>
      </c>
      <c r="P4725" t="n">
        <v>0</v>
      </c>
      <c r="Q4725" t="n">
        <v>0</v>
      </c>
      <c r="R4725" s="2" t="inlineStr"/>
    </row>
    <row r="4726" ht="15" customHeight="1">
      <c r="A4726" t="inlineStr">
        <is>
          <t>A 9059-2022</t>
        </is>
      </c>
      <c r="B4726" s="1" t="n">
        <v>44615</v>
      </c>
      <c r="C4726" s="1" t="n">
        <v>45212</v>
      </c>
      <c r="D4726" t="inlineStr">
        <is>
          <t>VÄSTERNORRLANDS LÄN</t>
        </is>
      </c>
      <c r="E4726" t="inlineStr">
        <is>
          <t>HÄRNÖSAND</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9202-2022</t>
        </is>
      </c>
      <c r="B4727" s="1" t="n">
        <v>44615</v>
      </c>
      <c r="C4727" s="1" t="n">
        <v>45212</v>
      </c>
      <c r="D4727" t="inlineStr">
        <is>
          <t>VÄSTERNORRLANDS LÄN</t>
        </is>
      </c>
      <c r="E4727" t="inlineStr">
        <is>
          <t>TIMRÅ</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9028-2022</t>
        </is>
      </c>
      <c r="B4728" s="1" t="n">
        <v>44615</v>
      </c>
      <c r="C4728" s="1" t="n">
        <v>45212</v>
      </c>
      <c r="D4728" t="inlineStr">
        <is>
          <t>VÄSTERNORRLANDS LÄN</t>
        </is>
      </c>
      <c r="E4728" t="inlineStr">
        <is>
          <t>ÖRNSKÖLDSVIK</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9256-2022</t>
        </is>
      </c>
      <c r="B4729" s="1" t="n">
        <v>44616</v>
      </c>
      <c r="C4729" s="1" t="n">
        <v>45212</v>
      </c>
      <c r="D4729" t="inlineStr">
        <is>
          <t>VÄSTERNORRLANDS LÄN</t>
        </is>
      </c>
      <c r="E4729" t="inlineStr">
        <is>
          <t>TIMRÅ</t>
        </is>
      </c>
      <c r="G4729" t="n">
        <v>1.8</v>
      </c>
      <c r="H4729" t="n">
        <v>0</v>
      </c>
      <c r="I4729" t="n">
        <v>0</v>
      </c>
      <c r="J4729" t="n">
        <v>0</v>
      </c>
      <c r="K4729" t="n">
        <v>0</v>
      </c>
      <c r="L4729" t="n">
        <v>0</v>
      </c>
      <c r="M4729" t="n">
        <v>0</v>
      </c>
      <c r="N4729" t="n">
        <v>0</v>
      </c>
      <c r="O4729" t="n">
        <v>0</v>
      </c>
      <c r="P4729" t="n">
        <v>0</v>
      </c>
      <c r="Q4729" t="n">
        <v>0</v>
      </c>
      <c r="R4729" s="2" t="inlineStr"/>
    </row>
    <row r="4730" ht="15" customHeight="1">
      <c r="A4730" t="inlineStr">
        <is>
          <t>A 9317-2022</t>
        </is>
      </c>
      <c r="B4730" s="1" t="n">
        <v>44616</v>
      </c>
      <c r="C4730" s="1" t="n">
        <v>45212</v>
      </c>
      <c r="D4730" t="inlineStr">
        <is>
          <t>VÄSTERNORRLANDS LÄN</t>
        </is>
      </c>
      <c r="E4730" t="inlineStr">
        <is>
          <t>TIMRÅ</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9480-2022</t>
        </is>
      </c>
      <c r="B4731" s="1" t="n">
        <v>44616</v>
      </c>
      <c r="C4731" s="1" t="n">
        <v>45212</v>
      </c>
      <c r="D4731" t="inlineStr">
        <is>
          <t>VÄSTERNORRLANDS LÄN</t>
        </is>
      </c>
      <c r="E4731" t="inlineStr">
        <is>
          <t>ÅNGE</t>
        </is>
      </c>
      <c r="G4731" t="n">
        <v>0.3</v>
      </c>
      <c r="H4731" t="n">
        <v>0</v>
      </c>
      <c r="I4731" t="n">
        <v>0</v>
      </c>
      <c r="J4731" t="n">
        <v>0</v>
      </c>
      <c r="K4731" t="n">
        <v>0</v>
      </c>
      <c r="L4731" t="n">
        <v>0</v>
      </c>
      <c r="M4731" t="n">
        <v>0</v>
      </c>
      <c r="N4731" t="n">
        <v>0</v>
      </c>
      <c r="O4731" t="n">
        <v>0</v>
      </c>
      <c r="P4731" t="n">
        <v>0</v>
      </c>
      <c r="Q4731" t="n">
        <v>0</v>
      </c>
      <c r="R4731" s="2" t="inlineStr"/>
    </row>
    <row r="4732" ht="15" customHeight="1">
      <c r="A4732" t="inlineStr">
        <is>
          <t>A 9257-2022</t>
        </is>
      </c>
      <c r="B4732" s="1" t="n">
        <v>44616</v>
      </c>
      <c r="C4732" s="1" t="n">
        <v>45212</v>
      </c>
      <c r="D4732" t="inlineStr">
        <is>
          <t>VÄSTERNORRLANDS LÄN</t>
        </is>
      </c>
      <c r="E4732" t="inlineStr">
        <is>
          <t>KRAMFORS</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9586-2022</t>
        </is>
      </c>
      <c r="B4733" s="1" t="n">
        <v>44617</v>
      </c>
      <c r="C4733" s="1" t="n">
        <v>45212</v>
      </c>
      <c r="D4733" t="inlineStr">
        <is>
          <t>VÄSTERNORRLANDS LÄN</t>
        </is>
      </c>
      <c r="E4733" t="inlineStr">
        <is>
          <t>SOLLEFTEÅ</t>
        </is>
      </c>
      <c r="F4733" t="inlineStr">
        <is>
          <t>Övriga Aktiebolag</t>
        </is>
      </c>
      <c r="G4733" t="n">
        <v>2.9</v>
      </c>
      <c r="H4733" t="n">
        <v>0</v>
      </c>
      <c r="I4733" t="n">
        <v>0</v>
      </c>
      <c r="J4733" t="n">
        <v>0</v>
      </c>
      <c r="K4733" t="n">
        <v>0</v>
      </c>
      <c r="L4733" t="n">
        <v>0</v>
      </c>
      <c r="M4733" t="n">
        <v>0</v>
      </c>
      <c r="N4733" t="n">
        <v>0</v>
      </c>
      <c r="O4733" t="n">
        <v>0</v>
      </c>
      <c r="P4733" t="n">
        <v>0</v>
      </c>
      <c r="Q4733" t="n">
        <v>0</v>
      </c>
      <c r="R4733" s="2" t="inlineStr"/>
    </row>
    <row r="4734" ht="15" customHeight="1">
      <c r="A4734" t="inlineStr">
        <is>
          <t>A 9583-2022</t>
        </is>
      </c>
      <c r="B4734" s="1" t="n">
        <v>44617</v>
      </c>
      <c r="C4734" s="1" t="n">
        <v>45212</v>
      </c>
      <c r="D4734" t="inlineStr">
        <is>
          <t>VÄSTERNORRLANDS LÄN</t>
        </is>
      </c>
      <c r="E4734" t="inlineStr">
        <is>
          <t>SOLLEFTEÅ</t>
        </is>
      </c>
      <c r="F4734" t="inlineStr">
        <is>
          <t>Övriga Aktiebolag</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9544-2022</t>
        </is>
      </c>
      <c r="B4735" s="1" t="n">
        <v>44617</v>
      </c>
      <c r="C4735" s="1" t="n">
        <v>45212</v>
      </c>
      <c r="D4735" t="inlineStr">
        <is>
          <t>VÄSTERNORRLANDS LÄN</t>
        </is>
      </c>
      <c r="E4735" t="inlineStr">
        <is>
          <t>ÅNGE</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9726-2022</t>
        </is>
      </c>
      <c r="B4736" s="1" t="n">
        <v>44617</v>
      </c>
      <c r="C4736" s="1" t="n">
        <v>45212</v>
      </c>
      <c r="D4736" t="inlineStr">
        <is>
          <t>VÄSTERNORRLANDS LÄN</t>
        </is>
      </c>
      <c r="E4736" t="inlineStr">
        <is>
          <t>HÄRNÖSAND</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10141-2022</t>
        </is>
      </c>
      <c r="B4737" s="1" t="n">
        <v>44621</v>
      </c>
      <c r="C4737" s="1" t="n">
        <v>45212</v>
      </c>
      <c r="D4737" t="inlineStr">
        <is>
          <t>VÄSTERNORRLANDS LÄN</t>
        </is>
      </c>
      <c r="E4737" t="inlineStr">
        <is>
          <t>SOLLEFTEÅ</t>
        </is>
      </c>
      <c r="F4737" t="inlineStr">
        <is>
          <t>SCA</t>
        </is>
      </c>
      <c r="G4737" t="n">
        <v>15.5</v>
      </c>
      <c r="H4737" t="n">
        <v>0</v>
      </c>
      <c r="I4737" t="n">
        <v>0</v>
      </c>
      <c r="J4737" t="n">
        <v>0</v>
      </c>
      <c r="K4737" t="n">
        <v>0</v>
      </c>
      <c r="L4737" t="n">
        <v>0</v>
      </c>
      <c r="M4737" t="n">
        <v>0</v>
      </c>
      <c r="N4737" t="n">
        <v>0</v>
      </c>
      <c r="O4737" t="n">
        <v>0</v>
      </c>
      <c r="P4737" t="n">
        <v>0</v>
      </c>
      <c r="Q4737" t="n">
        <v>0</v>
      </c>
      <c r="R4737" s="2" t="inlineStr"/>
    </row>
    <row r="4738" ht="15" customHeight="1">
      <c r="A4738" t="inlineStr">
        <is>
          <t>A 10140-2022</t>
        </is>
      </c>
      <c r="B4738" s="1" t="n">
        <v>44621</v>
      </c>
      <c r="C4738" s="1" t="n">
        <v>45212</v>
      </c>
      <c r="D4738" t="inlineStr">
        <is>
          <t>VÄSTERNORRLANDS LÄN</t>
        </is>
      </c>
      <c r="E4738" t="inlineStr">
        <is>
          <t>SOLLEFTEÅ</t>
        </is>
      </c>
      <c r="F4738" t="inlineStr">
        <is>
          <t>SCA</t>
        </is>
      </c>
      <c r="G4738" t="n">
        <v>7.8</v>
      </c>
      <c r="H4738" t="n">
        <v>0</v>
      </c>
      <c r="I4738" t="n">
        <v>0</v>
      </c>
      <c r="J4738" t="n">
        <v>0</v>
      </c>
      <c r="K4738" t="n">
        <v>0</v>
      </c>
      <c r="L4738" t="n">
        <v>0</v>
      </c>
      <c r="M4738" t="n">
        <v>0</v>
      </c>
      <c r="N4738" t="n">
        <v>0</v>
      </c>
      <c r="O4738" t="n">
        <v>0</v>
      </c>
      <c r="P4738" t="n">
        <v>0</v>
      </c>
      <c r="Q4738" t="n">
        <v>0</v>
      </c>
      <c r="R4738" s="2" t="inlineStr"/>
    </row>
    <row r="4739" ht="15" customHeight="1">
      <c r="A4739" t="inlineStr">
        <is>
          <t>A 10139-2022</t>
        </is>
      </c>
      <c r="B4739" s="1" t="n">
        <v>44621</v>
      </c>
      <c r="C4739" s="1" t="n">
        <v>45212</v>
      </c>
      <c r="D4739" t="inlineStr">
        <is>
          <t>VÄSTERNORRLANDS LÄN</t>
        </is>
      </c>
      <c r="E4739" t="inlineStr">
        <is>
          <t>SOLLEFTEÅ</t>
        </is>
      </c>
      <c r="F4739" t="inlineStr">
        <is>
          <t>SCA</t>
        </is>
      </c>
      <c r="G4739" t="n">
        <v>6</v>
      </c>
      <c r="H4739" t="n">
        <v>0</v>
      </c>
      <c r="I4739" t="n">
        <v>0</v>
      </c>
      <c r="J4739" t="n">
        <v>0</v>
      </c>
      <c r="K4739" t="n">
        <v>0</v>
      </c>
      <c r="L4739" t="n">
        <v>0</v>
      </c>
      <c r="M4739" t="n">
        <v>0</v>
      </c>
      <c r="N4739" t="n">
        <v>0</v>
      </c>
      <c r="O4739" t="n">
        <v>0</v>
      </c>
      <c r="P4739" t="n">
        <v>0</v>
      </c>
      <c r="Q4739" t="n">
        <v>0</v>
      </c>
      <c r="R4739" s="2" t="inlineStr"/>
    </row>
    <row r="4740" ht="15" customHeight="1">
      <c r="A4740" t="inlineStr">
        <is>
          <t>A 10307-2022</t>
        </is>
      </c>
      <c r="B4740" s="1" t="n">
        <v>44622</v>
      </c>
      <c r="C4740" s="1" t="n">
        <v>45212</v>
      </c>
      <c r="D4740" t="inlineStr">
        <is>
          <t>VÄSTERNORRLANDS LÄN</t>
        </is>
      </c>
      <c r="E4740" t="inlineStr">
        <is>
          <t>SOLLEFTEÅ</t>
        </is>
      </c>
      <c r="F4740" t="inlineStr">
        <is>
          <t>SCA</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10242-2022</t>
        </is>
      </c>
      <c r="B4741" s="1" t="n">
        <v>44622</v>
      </c>
      <c r="C4741" s="1" t="n">
        <v>45212</v>
      </c>
      <c r="D4741" t="inlineStr">
        <is>
          <t>VÄSTERNORRLANDS LÄN</t>
        </is>
      </c>
      <c r="E4741" t="inlineStr">
        <is>
          <t>SOLLEFTEÅ</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10309-2022</t>
        </is>
      </c>
      <c r="B4742" s="1" t="n">
        <v>44622</v>
      </c>
      <c r="C4742" s="1" t="n">
        <v>45212</v>
      </c>
      <c r="D4742" t="inlineStr">
        <is>
          <t>VÄSTERNORRLANDS LÄN</t>
        </is>
      </c>
      <c r="E4742" t="inlineStr">
        <is>
          <t>SOLLEFTEÅ</t>
        </is>
      </c>
      <c r="F4742" t="inlineStr">
        <is>
          <t>SCA</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10313-2022</t>
        </is>
      </c>
      <c r="B4743" s="1" t="n">
        <v>44622</v>
      </c>
      <c r="C4743" s="1" t="n">
        <v>45212</v>
      </c>
      <c r="D4743" t="inlineStr">
        <is>
          <t>VÄSTERNORRLANDS LÄN</t>
        </is>
      </c>
      <c r="E4743" t="inlineStr">
        <is>
          <t>ÅNGE</t>
        </is>
      </c>
      <c r="F4743" t="inlineStr">
        <is>
          <t>SCA</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10331-2022</t>
        </is>
      </c>
      <c r="B4744" s="1" t="n">
        <v>44622</v>
      </c>
      <c r="C4744" s="1" t="n">
        <v>45212</v>
      </c>
      <c r="D4744" t="inlineStr">
        <is>
          <t>VÄSTERNORRLANDS LÄN</t>
        </is>
      </c>
      <c r="E4744" t="inlineStr">
        <is>
          <t>ÅNGE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10308-2022</t>
        </is>
      </c>
      <c r="B4745" s="1" t="n">
        <v>44622</v>
      </c>
      <c r="C4745" s="1" t="n">
        <v>45212</v>
      </c>
      <c r="D4745" t="inlineStr">
        <is>
          <t>VÄSTERNORRLANDS LÄN</t>
        </is>
      </c>
      <c r="E4745" t="inlineStr">
        <is>
          <t>SOLLEFTEÅ</t>
        </is>
      </c>
      <c r="F4745" t="inlineStr">
        <is>
          <t>SCA</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10603-2022</t>
        </is>
      </c>
      <c r="B4746" s="1" t="n">
        <v>44623</v>
      </c>
      <c r="C4746" s="1" t="n">
        <v>45212</v>
      </c>
      <c r="D4746" t="inlineStr">
        <is>
          <t>VÄSTERNORRLANDS LÄN</t>
        </is>
      </c>
      <c r="E4746" t="inlineStr">
        <is>
          <t>ÖRNSKÖLDSVIK</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10574-2022</t>
        </is>
      </c>
      <c r="B4747" s="1" t="n">
        <v>44623</v>
      </c>
      <c r="C4747" s="1" t="n">
        <v>45212</v>
      </c>
      <c r="D4747" t="inlineStr">
        <is>
          <t>VÄSTERNORRLANDS LÄN</t>
        </is>
      </c>
      <c r="E4747" t="inlineStr">
        <is>
          <t>ÖRNSKÖLDSVIK</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10417-2022</t>
        </is>
      </c>
      <c r="B4748" s="1" t="n">
        <v>44623</v>
      </c>
      <c r="C4748" s="1" t="n">
        <v>45212</v>
      </c>
      <c r="D4748" t="inlineStr">
        <is>
          <t>VÄSTERNORRLANDS LÄN</t>
        </is>
      </c>
      <c r="E4748" t="inlineStr">
        <is>
          <t>SOLLEFTEÅ</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10453-2022</t>
        </is>
      </c>
      <c r="B4749" s="1" t="n">
        <v>44623</v>
      </c>
      <c r="C4749" s="1" t="n">
        <v>45212</v>
      </c>
      <c r="D4749" t="inlineStr">
        <is>
          <t>VÄSTERNORRLANDS LÄN</t>
        </is>
      </c>
      <c r="E4749" t="inlineStr">
        <is>
          <t>ÖRNSKÖLDSVIK</t>
        </is>
      </c>
      <c r="G4749" t="n">
        <v>17.3</v>
      </c>
      <c r="H4749" t="n">
        <v>0</v>
      </c>
      <c r="I4749" t="n">
        <v>0</v>
      </c>
      <c r="J4749" t="n">
        <v>0</v>
      </c>
      <c r="K4749" t="n">
        <v>0</v>
      </c>
      <c r="L4749" t="n">
        <v>0</v>
      </c>
      <c r="M4749" t="n">
        <v>0</v>
      </c>
      <c r="N4749" t="n">
        <v>0</v>
      </c>
      <c r="O4749" t="n">
        <v>0</v>
      </c>
      <c r="P4749" t="n">
        <v>0</v>
      </c>
      <c r="Q4749" t="n">
        <v>0</v>
      </c>
      <c r="R4749" s="2" t="inlineStr"/>
    </row>
    <row r="4750" ht="15" customHeight="1">
      <c r="A4750" t="inlineStr">
        <is>
          <t>A 10423-2022</t>
        </is>
      </c>
      <c r="B4750" s="1" t="n">
        <v>44623</v>
      </c>
      <c r="C4750" s="1" t="n">
        <v>45212</v>
      </c>
      <c r="D4750" t="inlineStr">
        <is>
          <t>VÄSTERNORRLANDS LÄN</t>
        </is>
      </c>
      <c r="E4750" t="inlineStr">
        <is>
          <t>ÖRNSKÖLDSVIK</t>
        </is>
      </c>
      <c r="G4750" t="n">
        <v>3.2</v>
      </c>
      <c r="H4750" t="n">
        <v>0</v>
      </c>
      <c r="I4750" t="n">
        <v>0</v>
      </c>
      <c r="J4750" t="n">
        <v>0</v>
      </c>
      <c r="K4750" t="n">
        <v>0</v>
      </c>
      <c r="L4750" t="n">
        <v>0</v>
      </c>
      <c r="M4750" t="n">
        <v>0</v>
      </c>
      <c r="N4750" t="n">
        <v>0</v>
      </c>
      <c r="O4750" t="n">
        <v>0</v>
      </c>
      <c r="P4750" t="n">
        <v>0</v>
      </c>
      <c r="Q4750" t="n">
        <v>0</v>
      </c>
      <c r="R4750" s="2" t="inlineStr"/>
    </row>
    <row r="4751" ht="15" customHeight="1">
      <c r="A4751" t="inlineStr">
        <is>
          <t>A 10559-2022</t>
        </is>
      </c>
      <c r="B4751" s="1" t="n">
        <v>44623</v>
      </c>
      <c r="C4751" s="1" t="n">
        <v>45212</v>
      </c>
      <c r="D4751" t="inlineStr">
        <is>
          <t>VÄSTERNORRLANDS LÄN</t>
        </is>
      </c>
      <c r="E4751" t="inlineStr">
        <is>
          <t>ÖRNSKÖLDSVIK</t>
        </is>
      </c>
      <c r="G4751" t="n">
        <v>5.1</v>
      </c>
      <c r="H4751" t="n">
        <v>0</v>
      </c>
      <c r="I4751" t="n">
        <v>0</v>
      </c>
      <c r="J4751" t="n">
        <v>0</v>
      </c>
      <c r="K4751" t="n">
        <v>0</v>
      </c>
      <c r="L4751" t="n">
        <v>0</v>
      </c>
      <c r="M4751" t="n">
        <v>0</v>
      </c>
      <c r="N4751" t="n">
        <v>0</v>
      </c>
      <c r="O4751" t="n">
        <v>0</v>
      </c>
      <c r="P4751" t="n">
        <v>0</v>
      </c>
      <c r="Q4751" t="n">
        <v>0</v>
      </c>
      <c r="R4751" s="2" t="inlineStr"/>
    </row>
    <row r="4752" ht="15" customHeight="1">
      <c r="A4752" t="inlineStr">
        <is>
          <t>A 10680-2022</t>
        </is>
      </c>
      <c r="B4752" s="1" t="n">
        <v>44624</v>
      </c>
      <c r="C4752" s="1" t="n">
        <v>45212</v>
      </c>
      <c r="D4752" t="inlineStr">
        <is>
          <t>VÄSTERNORRLANDS LÄN</t>
        </is>
      </c>
      <c r="E4752" t="inlineStr">
        <is>
          <t>ÅNGE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10606-2022</t>
        </is>
      </c>
      <c r="B4753" s="1" t="n">
        <v>44624</v>
      </c>
      <c r="C4753" s="1" t="n">
        <v>45212</v>
      </c>
      <c r="D4753" t="inlineStr">
        <is>
          <t>VÄSTERNORRLANDS LÄN</t>
        </is>
      </c>
      <c r="E4753" t="inlineStr">
        <is>
          <t>ÖRNSKÖLDSVIK</t>
        </is>
      </c>
      <c r="G4753" t="n">
        <v>4.5</v>
      </c>
      <c r="H4753" t="n">
        <v>0</v>
      </c>
      <c r="I4753" t="n">
        <v>0</v>
      </c>
      <c r="J4753" t="n">
        <v>0</v>
      </c>
      <c r="K4753" t="n">
        <v>0</v>
      </c>
      <c r="L4753" t="n">
        <v>0</v>
      </c>
      <c r="M4753" t="n">
        <v>0</v>
      </c>
      <c r="N4753" t="n">
        <v>0</v>
      </c>
      <c r="O4753" t="n">
        <v>0</v>
      </c>
      <c r="P4753" t="n">
        <v>0</v>
      </c>
      <c r="Q4753" t="n">
        <v>0</v>
      </c>
      <c r="R4753" s="2" t="inlineStr"/>
    </row>
    <row r="4754" ht="15" customHeight="1">
      <c r="A4754" t="inlineStr">
        <is>
          <t>A 10890-2022</t>
        </is>
      </c>
      <c r="B4754" s="1" t="n">
        <v>44627</v>
      </c>
      <c r="C4754" s="1" t="n">
        <v>45212</v>
      </c>
      <c r="D4754" t="inlineStr">
        <is>
          <t>VÄSTERNORRLANDS LÄN</t>
        </is>
      </c>
      <c r="E4754" t="inlineStr">
        <is>
          <t>SUNDSVALL</t>
        </is>
      </c>
      <c r="F4754" t="inlineStr">
        <is>
          <t>Kommuner</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10924-2022</t>
        </is>
      </c>
      <c r="B4755" s="1" t="n">
        <v>44627</v>
      </c>
      <c r="C4755" s="1" t="n">
        <v>45212</v>
      </c>
      <c r="D4755" t="inlineStr">
        <is>
          <t>VÄSTERNORRLANDS LÄN</t>
        </is>
      </c>
      <c r="E4755" t="inlineStr">
        <is>
          <t>SOLLEFTEÅ</t>
        </is>
      </c>
      <c r="F4755" t="inlineStr">
        <is>
          <t>SCA</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10933-2022</t>
        </is>
      </c>
      <c r="B4756" s="1" t="n">
        <v>44627</v>
      </c>
      <c r="C4756" s="1" t="n">
        <v>45212</v>
      </c>
      <c r="D4756" t="inlineStr">
        <is>
          <t>VÄSTERNORRLANDS LÄN</t>
        </is>
      </c>
      <c r="E4756" t="inlineStr">
        <is>
          <t>ÅNGE</t>
        </is>
      </c>
      <c r="F4756" t="inlineStr">
        <is>
          <t>SCA</t>
        </is>
      </c>
      <c r="G4756" t="n">
        <v>3.8</v>
      </c>
      <c r="H4756" t="n">
        <v>0</v>
      </c>
      <c r="I4756" t="n">
        <v>0</v>
      </c>
      <c r="J4756" t="n">
        <v>0</v>
      </c>
      <c r="K4756" t="n">
        <v>0</v>
      </c>
      <c r="L4756" t="n">
        <v>0</v>
      </c>
      <c r="M4756" t="n">
        <v>0</v>
      </c>
      <c r="N4756" t="n">
        <v>0</v>
      </c>
      <c r="O4756" t="n">
        <v>0</v>
      </c>
      <c r="P4756" t="n">
        <v>0</v>
      </c>
      <c r="Q4756" t="n">
        <v>0</v>
      </c>
      <c r="R4756" s="2" t="inlineStr"/>
    </row>
    <row r="4757" ht="15" customHeight="1">
      <c r="A4757" t="inlineStr">
        <is>
          <t>A 10986-2022</t>
        </is>
      </c>
      <c r="B4757" s="1" t="n">
        <v>44628</v>
      </c>
      <c r="C4757" s="1" t="n">
        <v>45212</v>
      </c>
      <c r="D4757" t="inlineStr">
        <is>
          <t>VÄSTERNORRLANDS LÄN</t>
        </is>
      </c>
      <c r="E4757" t="inlineStr">
        <is>
          <t>SUNDSVALL</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11038-2022</t>
        </is>
      </c>
      <c r="B4758" s="1" t="n">
        <v>44628</v>
      </c>
      <c r="C4758" s="1" t="n">
        <v>45212</v>
      </c>
      <c r="D4758" t="inlineStr">
        <is>
          <t>VÄSTERNORRLANDS LÄN</t>
        </is>
      </c>
      <c r="E4758" t="inlineStr">
        <is>
          <t>KRAMFORS</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11098-2022</t>
        </is>
      </c>
      <c r="B4759" s="1" t="n">
        <v>44628</v>
      </c>
      <c r="C4759" s="1" t="n">
        <v>45212</v>
      </c>
      <c r="D4759" t="inlineStr">
        <is>
          <t>VÄSTERNORRLANDS LÄN</t>
        </is>
      </c>
      <c r="E4759" t="inlineStr">
        <is>
          <t>ÅNGE</t>
        </is>
      </c>
      <c r="G4759" t="n">
        <v>8.9</v>
      </c>
      <c r="H4759" t="n">
        <v>0</v>
      </c>
      <c r="I4759" t="n">
        <v>0</v>
      </c>
      <c r="J4759" t="n">
        <v>0</v>
      </c>
      <c r="K4759" t="n">
        <v>0</v>
      </c>
      <c r="L4759" t="n">
        <v>0</v>
      </c>
      <c r="M4759" t="n">
        <v>0</v>
      </c>
      <c r="N4759" t="n">
        <v>0</v>
      </c>
      <c r="O4759" t="n">
        <v>0</v>
      </c>
      <c r="P4759" t="n">
        <v>0</v>
      </c>
      <c r="Q4759" t="n">
        <v>0</v>
      </c>
      <c r="R4759" s="2" t="inlineStr"/>
    </row>
    <row r="4760" ht="15" customHeight="1">
      <c r="A4760" t="inlineStr">
        <is>
          <t>A 11125-2022</t>
        </is>
      </c>
      <c r="B4760" s="1" t="n">
        <v>44628</v>
      </c>
      <c r="C4760" s="1" t="n">
        <v>45212</v>
      </c>
      <c r="D4760" t="inlineStr">
        <is>
          <t>VÄSTERNORRLANDS LÄN</t>
        </is>
      </c>
      <c r="E4760" t="inlineStr">
        <is>
          <t>SOLLEFTEÅ</t>
        </is>
      </c>
      <c r="F4760" t="inlineStr">
        <is>
          <t>SCA</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10988-2022</t>
        </is>
      </c>
      <c r="B4761" s="1" t="n">
        <v>44628</v>
      </c>
      <c r="C4761" s="1" t="n">
        <v>45212</v>
      </c>
      <c r="D4761" t="inlineStr">
        <is>
          <t>VÄSTERNORRLANDS LÄN</t>
        </is>
      </c>
      <c r="E4761" t="inlineStr">
        <is>
          <t>SUNDSVALL</t>
        </is>
      </c>
      <c r="G4761" t="n">
        <v>3.5</v>
      </c>
      <c r="H4761" t="n">
        <v>0</v>
      </c>
      <c r="I4761" t="n">
        <v>0</v>
      </c>
      <c r="J4761" t="n">
        <v>0</v>
      </c>
      <c r="K4761" t="n">
        <v>0</v>
      </c>
      <c r="L4761" t="n">
        <v>0</v>
      </c>
      <c r="M4761" t="n">
        <v>0</v>
      </c>
      <c r="N4761" t="n">
        <v>0</v>
      </c>
      <c r="O4761" t="n">
        <v>0</v>
      </c>
      <c r="P4761" t="n">
        <v>0</v>
      </c>
      <c r="Q4761" t="n">
        <v>0</v>
      </c>
      <c r="R4761" s="2" t="inlineStr"/>
    </row>
    <row r="4762" ht="15" customHeight="1">
      <c r="A4762" t="inlineStr">
        <is>
          <t>A 11131-2022</t>
        </is>
      </c>
      <c r="B4762" s="1" t="n">
        <v>44628</v>
      </c>
      <c r="C4762" s="1" t="n">
        <v>45212</v>
      </c>
      <c r="D4762" t="inlineStr">
        <is>
          <t>VÄSTERNORRLANDS LÄN</t>
        </is>
      </c>
      <c r="E4762" t="inlineStr">
        <is>
          <t>SOLLEFTEÅ</t>
        </is>
      </c>
      <c r="F4762" t="inlineStr">
        <is>
          <t>SCA</t>
        </is>
      </c>
      <c r="G4762" t="n">
        <v>6.3</v>
      </c>
      <c r="H4762" t="n">
        <v>0</v>
      </c>
      <c r="I4762" t="n">
        <v>0</v>
      </c>
      <c r="J4762" t="n">
        <v>0</v>
      </c>
      <c r="K4762" t="n">
        <v>0</v>
      </c>
      <c r="L4762" t="n">
        <v>0</v>
      </c>
      <c r="M4762" t="n">
        <v>0</v>
      </c>
      <c r="N4762" t="n">
        <v>0</v>
      </c>
      <c r="O4762" t="n">
        <v>0</v>
      </c>
      <c r="P4762" t="n">
        <v>0</v>
      </c>
      <c r="Q4762" t="n">
        <v>0</v>
      </c>
      <c r="R4762" s="2" t="inlineStr"/>
    </row>
    <row r="4763" ht="15" customHeight="1">
      <c r="A4763" t="inlineStr">
        <is>
          <t>A 10984-2022</t>
        </is>
      </c>
      <c r="B4763" s="1" t="n">
        <v>44628</v>
      </c>
      <c r="C4763" s="1" t="n">
        <v>45212</v>
      </c>
      <c r="D4763" t="inlineStr">
        <is>
          <t>VÄSTERNORRLANDS LÄN</t>
        </is>
      </c>
      <c r="E4763" t="inlineStr">
        <is>
          <t>SUNDSVALL</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11121-2022</t>
        </is>
      </c>
      <c r="B4764" s="1" t="n">
        <v>44628</v>
      </c>
      <c r="C4764" s="1" t="n">
        <v>45212</v>
      </c>
      <c r="D4764" t="inlineStr">
        <is>
          <t>VÄSTERNORRLANDS LÄN</t>
        </is>
      </c>
      <c r="E4764" t="inlineStr">
        <is>
          <t>SOLLEFTEÅ</t>
        </is>
      </c>
      <c r="F4764" t="inlineStr">
        <is>
          <t>SCA</t>
        </is>
      </c>
      <c r="G4764" t="n">
        <v>5.4</v>
      </c>
      <c r="H4764" t="n">
        <v>0</v>
      </c>
      <c r="I4764" t="n">
        <v>0</v>
      </c>
      <c r="J4764" t="n">
        <v>0</v>
      </c>
      <c r="K4764" t="n">
        <v>0</v>
      </c>
      <c r="L4764" t="n">
        <v>0</v>
      </c>
      <c r="M4764" t="n">
        <v>0</v>
      </c>
      <c r="N4764" t="n">
        <v>0</v>
      </c>
      <c r="O4764" t="n">
        <v>0</v>
      </c>
      <c r="P4764" t="n">
        <v>0</v>
      </c>
      <c r="Q4764" t="n">
        <v>0</v>
      </c>
      <c r="R4764" s="2" t="inlineStr"/>
    </row>
    <row r="4765" ht="15" customHeight="1">
      <c r="A4765" t="inlineStr">
        <is>
          <t>A 11133-2022</t>
        </is>
      </c>
      <c r="B4765" s="1" t="n">
        <v>44628</v>
      </c>
      <c r="C4765" s="1" t="n">
        <v>45212</v>
      </c>
      <c r="D4765" t="inlineStr">
        <is>
          <t>VÄSTERNORRLANDS LÄN</t>
        </is>
      </c>
      <c r="E4765" t="inlineStr">
        <is>
          <t>SOLLEFTEÅ</t>
        </is>
      </c>
      <c r="F4765" t="inlineStr">
        <is>
          <t>SCA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11241-2022</t>
        </is>
      </c>
      <c r="B4766" s="1" t="n">
        <v>44629</v>
      </c>
      <c r="C4766" s="1" t="n">
        <v>45212</v>
      </c>
      <c r="D4766" t="inlineStr">
        <is>
          <t>VÄSTERNORRLANDS LÄN</t>
        </is>
      </c>
      <c r="E4766" t="inlineStr">
        <is>
          <t>SOLLEFTEÅ</t>
        </is>
      </c>
      <c r="F4766" t="inlineStr">
        <is>
          <t>Kommuner</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11292-2022</t>
        </is>
      </c>
      <c r="B4767" s="1" t="n">
        <v>44629</v>
      </c>
      <c r="C4767" s="1" t="n">
        <v>45212</v>
      </c>
      <c r="D4767" t="inlineStr">
        <is>
          <t>VÄSTERNORRLANDS LÄN</t>
        </is>
      </c>
      <c r="E4767" t="inlineStr">
        <is>
          <t>KRAMFORS</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11299-2022</t>
        </is>
      </c>
      <c r="B4768" s="1" t="n">
        <v>44629</v>
      </c>
      <c r="C4768" s="1" t="n">
        <v>45212</v>
      </c>
      <c r="D4768" t="inlineStr">
        <is>
          <t>VÄSTERNORRLANDS LÄN</t>
        </is>
      </c>
      <c r="E4768" t="inlineStr">
        <is>
          <t>KRAMFORS</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11293-2022</t>
        </is>
      </c>
      <c r="B4769" s="1" t="n">
        <v>44629</v>
      </c>
      <c r="C4769" s="1" t="n">
        <v>45212</v>
      </c>
      <c r="D4769" t="inlineStr">
        <is>
          <t>VÄSTERNORRLANDS LÄN</t>
        </is>
      </c>
      <c r="E4769" t="inlineStr">
        <is>
          <t>KRAMFORS</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11300-2022</t>
        </is>
      </c>
      <c r="B4770" s="1" t="n">
        <v>44629</v>
      </c>
      <c r="C4770" s="1" t="n">
        <v>45212</v>
      </c>
      <c r="D4770" t="inlineStr">
        <is>
          <t>VÄSTERNORRLANDS LÄN</t>
        </is>
      </c>
      <c r="E4770" t="inlineStr">
        <is>
          <t>KRAMFORS</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11291-2022</t>
        </is>
      </c>
      <c r="B4771" s="1" t="n">
        <v>44629</v>
      </c>
      <c r="C4771" s="1" t="n">
        <v>45212</v>
      </c>
      <c r="D4771" t="inlineStr">
        <is>
          <t>VÄSTERNORRLANDS LÄN</t>
        </is>
      </c>
      <c r="E4771" t="inlineStr">
        <is>
          <t>KRAMFORS</t>
        </is>
      </c>
      <c r="G4771" t="n">
        <v>4.5</v>
      </c>
      <c r="H4771" t="n">
        <v>0</v>
      </c>
      <c r="I4771" t="n">
        <v>0</v>
      </c>
      <c r="J4771" t="n">
        <v>0</v>
      </c>
      <c r="K4771" t="n">
        <v>0</v>
      </c>
      <c r="L4771" t="n">
        <v>0</v>
      </c>
      <c r="M4771" t="n">
        <v>0</v>
      </c>
      <c r="N4771" t="n">
        <v>0</v>
      </c>
      <c r="O4771" t="n">
        <v>0</v>
      </c>
      <c r="P4771" t="n">
        <v>0</v>
      </c>
      <c r="Q4771" t="n">
        <v>0</v>
      </c>
      <c r="R4771" s="2" t="inlineStr"/>
    </row>
    <row r="4772" ht="15" customHeight="1">
      <c r="A4772" t="inlineStr">
        <is>
          <t>A 11298-2022</t>
        </is>
      </c>
      <c r="B4772" s="1" t="n">
        <v>44629</v>
      </c>
      <c r="C4772" s="1" t="n">
        <v>45212</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11289-2022</t>
        </is>
      </c>
      <c r="B4773" s="1" t="n">
        <v>44629</v>
      </c>
      <c r="C4773" s="1" t="n">
        <v>45212</v>
      </c>
      <c r="D4773" t="inlineStr">
        <is>
          <t>VÄSTERNORRLANDS LÄN</t>
        </is>
      </c>
      <c r="E4773" t="inlineStr">
        <is>
          <t>KRAMFORS</t>
        </is>
      </c>
      <c r="G4773" t="n">
        <v>6.3</v>
      </c>
      <c r="H4773" t="n">
        <v>0</v>
      </c>
      <c r="I4773" t="n">
        <v>0</v>
      </c>
      <c r="J4773" t="n">
        <v>0</v>
      </c>
      <c r="K4773" t="n">
        <v>0</v>
      </c>
      <c r="L4773" t="n">
        <v>0</v>
      </c>
      <c r="M4773" t="n">
        <v>0</v>
      </c>
      <c r="N4773" t="n">
        <v>0</v>
      </c>
      <c r="O4773" t="n">
        <v>0</v>
      </c>
      <c r="P4773" t="n">
        <v>0</v>
      </c>
      <c r="Q4773" t="n">
        <v>0</v>
      </c>
      <c r="R4773" s="2" t="inlineStr"/>
    </row>
    <row r="4774" ht="15" customHeight="1">
      <c r="A4774" t="inlineStr">
        <is>
          <t>A 11294-2022</t>
        </is>
      </c>
      <c r="B4774" s="1" t="n">
        <v>44629</v>
      </c>
      <c r="C4774" s="1" t="n">
        <v>45212</v>
      </c>
      <c r="D4774" t="inlineStr">
        <is>
          <t>VÄSTERNORRLANDS LÄN</t>
        </is>
      </c>
      <c r="E4774" t="inlineStr">
        <is>
          <t>KRAMFORS</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11301-2022</t>
        </is>
      </c>
      <c r="B4775" s="1" t="n">
        <v>44629</v>
      </c>
      <c r="C4775" s="1" t="n">
        <v>45212</v>
      </c>
      <c r="D4775" t="inlineStr">
        <is>
          <t>VÄSTERNORRLANDS LÄN</t>
        </is>
      </c>
      <c r="E4775" t="inlineStr">
        <is>
          <t>KRAMFORS</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11474-2022</t>
        </is>
      </c>
      <c r="B4776" s="1" t="n">
        <v>44630</v>
      </c>
      <c r="C4776" s="1" t="n">
        <v>45212</v>
      </c>
      <c r="D4776" t="inlineStr">
        <is>
          <t>VÄSTERNORRLANDS LÄN</t>
        </is>
      </c>
      <c r="E4776" t="inlineStr">
        <is>
          <t>SOLLEFTEÅ</t>
        </is>
      </c>
      <c r="G4776" t="n">
        <v>7.5</v>
      </c>
      <c r="H4776" t="n">
        <v>0</v>
      </c>
      <c r="I4776" t="n">
        <v>0</v>
      </c>
      <c r="J4776" t="n">
        <v>0</v>
      </c>
      <c r="K4776" t="n">
        <v>0</v>
      </c>
      <c r="L4776" t="n">
        <v>0</v>
      </c>
      <c r="M4776" t="n">
        <v>0</v>
      </c>
      <c r="N4776" t="n">
        <v>0</v>
      </c>
      <c r="O4776" t="n">
        <v>0</v>
      </c>
      <c r="P4776" t="n">
        <v>0</v>
      </c>
      <c r="Q4776" t="n">
        <v>0</v>
      </c>
      <c r="R4776" s="2" t="inlineStr"/>
    </row>
    <row r="4777" ht="15" customHeight="1">
      <c r="A4777" t="inlineStr">
        <is>
          <t>A 11352-2022</t>
        </is>
      </c>
      <c r="B4777" s="1" t="n">
        <v>44630</v>
      </c>
      <c r="C4777" s="1" t="n">
        <v>45212</v>
      </c>
      <c r="D4777" t="inlineStr">
        <is>
          <t>VÄSTERNORRLANDS LÄN</t>
        </is>
      </c>
      <c r="E4777" t="inlineStr">
        <is>
          <t>SUNDSVALL</t>
        </is>
      </c>
      <c r="G4777" t="n">
        <v>10.2</v>
      </c>
      <c r="H4777" t="n">
        <v>0</v>
      </c>
      <c r="I4777" t="n">
        <v>0</v>
      </c>
      <c r="J4777" t="n">
        <v>0</v>
      </c>
      <c r="K4777" t="n">
        <v>0</v>
      </c>
      <c r="L4777" t="n">
        <v>0</v>
      </c>
      <c r="M4777" t="n">
        <v>0</v>
      </c>
      <c r="N4777" t="n">
        <v>0</v>
      </c>
      <c r="O4777" t="n">
        <v>0</v>
      </c>
      <c r="P4777" t="n">
        <v>0</v>
      </c>
      <c r="Q4777" t="n">
        <v>0</v>
      </c>
      <c r="R4777" s="2" t="inlineStr"/>
    </row>
    <row r="4778" ht="15" customHeight="1">
      <c r="A4778" t="inlineStr">
        <is>
          <t>A 11610-2022</t>
        </is>
      </c>
      <c r="B4778" s="1" t="n">
        <v>44631</v>
      </c>
      <c r="C4778" s="1" t="n">
        <v>45212</v>
      </c>
      <c r="D4778" t="inlineStr">
        <is>
          <t>VÄSTERNORRLANDS LÄN</t>
        </is>
      </c>
      <c r="E4778" t="inlineStr">
        <is>
          <t>SUNDSVALL</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11653-2022</t>
        </is>
      </c>
      <c r="B4779" s="1" t="n">
        <v>44631</v>
      </c>
      <c r="C4779" s="1" t="n">
        <v>45212</v>
      </c>
      <c r="D4779" t="inlineStr">
        <is>
          <t>VÄSTERNORRLANDS LÄN</t>
        </is>
      </c>
      <c r="E4779" t="inlineStr">
        <is>
          <t>SOLLEFTEÅ</t>
        </is>
      </c>
      <c r="F4779" t="inlineStr">
        <is>
          <t>SCA</t>
        </is>
      </c>
      <c r="G4779" t="n">
        <v>6.4</v>
      </c>
      <c r="H4779" t="n">
        <v>0</v>
      </c>
      <c r="I4779" t="n">
        <v>0</v>
      </c>
      <c r="J4779" t="n">
        <v>0</v>
      </c>
      <c r="K4779" t="n">
        <v>0</v>
      </c>
      <c r="L4779" t="n">
        <v>0</v>
      </c>
      <c r="M4779" t="n">
        <v>0</v>
      </c>
      <c r="N4779" t="n">
        <v>0</v>
      </c>
      <c r="O4779" t="n">
        <v>0</v>
      </c>
      <c r="P4779" t="n">
        <v>0</v>
      </c>
      <c r="Q4779" t="n">
        <v>0</v>
      </c>
      <c r="R4779" s="2" t="inlineStr"/>
    </row>
    <row r="4780" ht="15" customHeight="1">
      <c r="A4780" t="inlineStr">
        <is>
          <t>A 11656-2022</t>
        </is>
      </c>
      <c r="B4780" s="1" t="n">
        <v>44631</v>
      </c>
      <c r="C4780" s="1" t="n">
        <v>45212</v>
      </c>
      <c r="D4780" t="inlineStr">
        <is>
          <t>VÄSTERNORRLANDS LÄN</t>
        </is>
      </c>
      <c r="E4780" t="inlineStr">
        <is>
          <t>SOLLEFTEÅ</t>
        </is>
      </c>
      <c r="F4780" t="inlineStr">
        <is>
          <t>SCA</t>
        </is>
      </c>
      <c r="G4780" t="n">
        <v>3.6</v>
      </c>
      <c r="H4780" t="n">
        <v>0</v>
      </c>
      <c r="I4780" t="n">
        <v>0</v>
      </c>
      <c r="J4780" t="n">
        <v>0</v>
      </c>
      <c r="K4780" t="n">
        <v>0</v>
      </c>
      <c r="L4780" t="n">
        <v>0</v>
      </c>
      <c r="M4780" t="n">
        <v>0</v>
      </c>
      <c r="N4780" t="n">
        <v>0</v>
      </c>
      <c r="O4780" t="n">
        <v>0</v>
      </c>
      <c r="P4780" t="n">
        <v>0</v>
      </c>
      <c r="Q4780" t="n">
        <v>0</v>
      </c>
      <c r="R4780" s="2" t="inlineStr"/>
    </row>
    <row r="4781" ht="15" customHeight="1">
      <c r="A4781" t="inlineStr">
        <is>
          <t>A 11652-2022</t>
        </is>
      </c>
      <c r="B4781" s="1" t="n">
        <v>44631</v>
      </c>
      <c r="C4781" s="1" t="n">
        <v>45212</v>
      </c>
      <c r="D4781" t="inlineStr">
        <is>
          <t>VÄSTERNORRLANDS LÄN</t>
        </is>
      </c>
      <c r="E4781" t="inlineStr">
        <is>
          <t>SOLLEFTEÅ</t>
        </is>
      </c>
      <c r="F4781" t="inlineStr">
        <is>
          <t>SCA</t>
        </is>
      </c>
      <c r="G4781" t="n">
        <v>11.8</v>
      </c>
      <c r="H4781" t="n">
        <v>0</v>
      </c>
      <c r="I4781" t="n">
        <v>0</v>
      </c>
      <c r="J4781" t="n">
        <v>0</v>
      </c>
      <c r="K4781" t="n">
        <v>0</v>
      </c>
      <c r="L4781" t="n">
        <v>0</v>
      </c>
      <c r="M4781" t="n">
        <v>0</v>
      </c>
      <c r="N4781" t="n">
        <v>0</v>
      </c>
      <c r="O4781" t="n">
        <v>0</v>
      </c>
      <c r="P4781" t="n">
        <v>0</v>
      </c>
      <c r="Q4781" t="n">
        <v>0</v>
      </c>
      <c r="R4781" s="2" t="inlineStr"/>
    </row>
    <row r="4782" ht="15" customHeight="1">
      <c r="A4782" t="inlineStr">
        <is>
          <t>A 11677-2022</t>
        </is>
      </c>
      <c r="B4782" s="1" t="n">
        <v>44633</v>
      </c>
      <c r="C4782" s="1" t="n">
        <v>45212</v>
      </c>
      <c r="D4782" t="inlineStr">
        <is>
          <t>VÄSTERNORRLANDS LÄN</t>
        </is>
      </c>
      <c r="E4782" t="inlineStr">
        <is>
          <t>SOLLEFTEÅ</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11843-2022</t>
        </is>
      </c>
      <c r="B4783" s="1" t="n">
        <v>44634</v>
      </c>
      <c r="C4783" s="1" t="n">
        <v>45212</v>
      </c>
      <c r="D4783" t="inlineStr">
        <is>
          <t>VÄSTERNORRLANDS LÄN</t>
        </is>
      </c>
      <c r="E4783" t="inlineStr">
        <is>
          <t>ÅNGE</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11860-2022</t>
        </is>
      </c>
      <c r="B4784" s="1" t="n">
        <v>44634</v>
      </c>
      <c r="C4784" s="1" t="n">
        <v>45212</v>
      </c>
      <c r="D4784" t="inlineStr">
        <is>
          <t>VÄSTERNORRLANDS LÄN</t>
        </is>
      </c>
      <c r="E4784" t="inlineStr">
        <is>
          <t>KRAMFORS</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11842-2022</t>
        </is>
      </c>
      <c r="B4785" s="1" t="n">
        <v>44634</v>
      </c>
      <c r="C4785" s="1" t="n">
        <v>45212</v>
      </c>
      <c r="D4785" t="inlineStr">
        <is>
          <t>VÄSTERNORRLANDS LÄN</t>
        </is>
      </c>
      <c r="E4785" t="inlineStr">
        <is>
          <t>SOLLEFTEÅ</t>
        </is>
      </c>
      <c r="F4785" t="inlineStr">
        <is>
          <t>SCA</t>
        </is>
      </c>
      <c r="G4785" t="n">
        <v>2.6</v>
      </c>
      <c r="H4785" t="n">
        <v>0</v>
      </c>
      <c r="I4785" t="n">
        <v>0</v>
      </c>
      <c r="J4785" t="n">
        <v>0</v>
      </c>
      <c r="K4785" t="n">
        <v>0</v>
      </c>
      <c r="L4785" t="n">
        <v>0</v>
      </c>
      <c r="M4785" t="n">
        <v>0</v>
      </c>
      <c r="N4785" t="n">
        <v>0</v>
      </c>
      <c r="O4785" t="n">
        <v>0</v>
      </c>
      <c r="P4785" t="n">
        <v>0</v>
      </c>
      <c r="Q4785" t="n">
        <v>0</v>
      </c>
      <c r="R4785" s="2" t="inlineStr"/>
    </row>
    <row r="4786" ht="15" customHeight="1">
      <c r="A4786" t="inlineStr">
        <is>
          <t>A 11874-2022</t>
        </is>
      </c>
      <c r="B4786" s="1" t="n">
        <v>44635</v>
      </c>
      <c r="C4786" s="1" t="n">
        <v>45212</v>
      </c>
      <c r="D4786" t="inlineStr">
        <is>
          <t>VÄSTERNORRLANDS LÄN</t>
        </is>
      </c>
      <c r="E4786" t="inlineStr">
        <is>
          <t>SOLLEFTEÅ</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11976-2022</t>
        </is>
      </c>
      <c r="B4787" s="1" t="n">
        <v>44635</v>
      </c>
      <c r="C4787" s="1" t="n">
        <v>45212</v>
      </c>
      <c r="D4787" t="inlineStr">
        <is>
          <t>VÄSTERNORRLANDS LÄN</t>
        </is>
      </c>
      <c r="E4787" t="inlineStr">
        <is>
          <t>ÖRNSKÖLDSVIK</t>
        </is>
      </c>
      <c r="G4787" t="n">
        <v>11.9</v>
      </c>
      <c r="H4787" t="n">
        <v>0</v>
      </c>
      <c r="I4787" t="n">
        <v>0</v>
      </c>
      <c r="J4787" t="n">
        <v>0</v>
      </c>
      <c r="K4787" t="n">
        <v>0</v>
      </c>
      <c r="L4787" t="n">
        <v>0</v>
      </c>
      <c r="M4787" t="n">
        <v>0</v>
      </c>
      <c r="N4787" t="n">
        <v>0</v>
      </c>
      <c r="O4787" t="n">
        <v>0</v>
      </c>
      <c r="P4787" t="n">
        <v>0</v>
      </c>
      <c r="Q4787" t="n">
        <v>0</v>
      </c>
      <c r="R4787" s="2" t="inlineStr"/>
    </row>
    <row r="4788" ht="15" customHeight="1">
      <c r="A4788" t="inlineStr">
        <is>
          <t>A 11932-2022</t>
        </is>
      </c>
      <c r="B4788" s="1" t="n">
        <v>44635</v>
      </c>
      <c r="C4788" s="1" t="n">
        <v>45212</v>
      </c>
      <c r="D4788" t="inlineStr">
        <is>
          <t>VÄSTERNORRLANDS LÄN</t>
        </is>
      </c>
      <c r="E4788" t="inlineStr">
        <is>
          <t>ÖRNSKÖLDSVIK</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12012-2022</t>
        </is>
      </c>
      <c r="B4789" s="1" t="n">
        <v>44635</v>
      </c>
      <c r="C4789" s="1" t="n">
        <v>45212</v>
      </c>
      <c r="D4789" t="inlineStr">
        <is>
          <t>VÄSTERNORRLANDS LÄN</t>
        </is>
      </c>
      <c r="E4789" t="inlineStr">
        <is>
          <t>SUNDSVALL</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12021-2022</t>
        </is>
      </c>
      <c r="B4790" s="1" t="n">
        <v>44635</v>
      </c>
      <c r="C4790" s="1" t="n">
        <v>45212</v>
      </c>
      <c r="D4790" t="inlineStr">
        <is>
          <t>VÄSTERNORRLANDS LÄN</t>
        </is>
      </c>
      <c r="E4790" t="inlineStr">
        <is>
          <t>ÅNGE</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11870-2022</t>
        </is>
      </c>
      <c r="B4791" s="1" t="n">
        <v>44635</v>
      </c>
      <c r="C4791" s="1" t="n">
        <v>45212</v>
      </c>
      <c r="D4791" t="inlineStr">
        <is>
          <t>VÄSTERNORRLANDS LÄN</t>
        </is>
      </c>
      <c r="E4791" t="inlineStr">
        <is>
          <t>SOLLEFTEÅ</t>
        </is>
      </c>
      <c r="G4791" t="n">
        <v>5</v>
      </c>
      <c r="H4791" t="n">
        <v>0</v>
      </c>
      <c r="I4791" t="n">
        <v>0</v>
      </c>
      <c r="J4791" t="n">
        <v>0</v>
      </c>
      <c r="K4791" t="n">
        <v>0</v>
      </c>
      <c r="L4791" t="n">
        <v>0</v>
      </c>
      <c r="M4791" t="n">
        <v>0</v>
      </c>
      <c r="N4791" t="n">
        <v>0</v>
      </c>
      <c r="O4791" t="n">
        <v>0</v>
      </c>
      <c r="P4791" t="n">
        <v>0</v>
      </c>
      <c r="Q4791" t="n">
        <v>0</v>
      </c>
      <c r="R4791" s="2" t="inlineStr"/>
    </row>
    <row r="4792" ht="15" customHeight="1">
      <c r="A4792" t="inlineStr">
        <is>
          <t>A 11974-2022</t>
        </is>
      </c>
      <c r="B4792" s="1" t="n">
        <v>44635</v>
      </c>
      <c r="C4792" s="1" t="n">
        <v>45212</v>
      </c>
      <c r="D4792" t="inlineStr">
        <is>
          <t>VÄSTERNORRLANDS LÄN</t>
        </is>
      </c>
      <c r="E4792" t="inlineStr">
        <is>
          <t>KRAMFORS</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12201-2022</t>
        </is>
      </c>
      <c r="B4793" s="1" t="n">
        <v>44636</v>
      </c>
      <c r="C4793" s="1" t="n">
        <v>45212</v>
      </c>
      <c r="D4793" t="inlineStr">
        <is>
          <t>VÄSTERNORRLANDS LÄN</t>
        </is>
      </c>
      <c r="E4793" t="inlineStr">
        <is>
          <t>SOLLEFTEÅ</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12205-2022</t>
        </is>
      </c>
      <c r="B4794" s="1" t="n">
        <v>44636</v>
      </c>
      <c r="C4794" s="1" t="n">
        <v>45212</v>
      </c>
      <c r="D4794" t="inlineStr">
        <is>
          <t>VÄSTERNORRLANDS LÄN</t>
        </is>
      </c>
      <c r="E4794" t="inlineStr">
        <is>
          <t>TIMRÅ</t>
        </is>
      </c>
      <c r="F4794" t="inlineStr">
        <is>
          <t>SCA</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12539-2022</t>
        </is>
      </c>
      <c r="B4795" s="1" t="n">
        <v>44638</v>
      </c>
      <c r="C4795" s="1" t="n">
        <v>45212</v>
      </c>
      <c r="D4795" t="inlineStr">
        <is>
          <t>VÄSTERNORRLANDS LÄN</t>
        </is>
      </c>
      <c r="E4795" t="inlineStr">
        <is>
          <t>KRAMFORS</t>
        </is>
      </c>
      <c r="G4795" t="n">
        <v>4</v>
      </c>
      <c r="H4795" t="n">
        <v>0</v>
      </c>
      <c r="I4795" t="n">
        <v>0</v>
      </c>
      <c r="J4795" t="n">
        <v>0</v>
      </c>
      <c r="K4795" t="n">
        <v>0</v>
      </c>
      <c r="L4795" t="n">
        <v>0</v>
      </c>
      <c r="M4795" t="n">
        <v>0</v>
      </c>
      <c r="N4795" t="n">
        <v>0</v>
      </c>
      <c r="O4795" t="n">
        <v>0</v>
      </c>
      <c r="P4795" t="n">
        <v>0</v>
      </c>
      <c r="Q4795" t="n">
        <v>0</v>
      </c>
      <c r="R4795" s="2" t="inlineStr"/>
    </row>
    <row r="4796" ht="15" customHeight="1">
      <c r="A4796" t="inlineStr">
        <is>
          <t>A 12567-2022</t>
        </is>
      </c>
      <c r="B4796" s="1" t="n">
        <v>44638</v>
      </c>
      <c r="C4796" s="1" t="n">
        <v>45212</v>
      </c>
      <c r="D4796" t="inlineStr">
        <is>
          <t>VÄSTERNORRLANDS LÄN</t>
        </is>
      </c>
      <c r="E4796" t="inlineStr">
        <is>
          <t>SOLLEFTEÅ</t>
        </is>
      </c>
      <c r="F4796" t="inlineStr">
        <is>
          <t>SCA</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12565-2022</t>
        </is>
      </c>
      <c r="B4797" s="1" t="n">
        <v>44638</v>
      </c>
      <c r="C4797" s="1" t="n">
        <v>45212</v>
      </c>
      <c r="D4797" t="inlineStr">
        <is>
          <t>VÄSTERNORRLANDS LÄN</t>
        </is>
      </c>
      <c r="E4797" t="inlineStr">
        <is>
          <t>SOLLEFTEÅ</t>
        </is>
      </c>
      <c r="F4797" t="inlineStr">
        <is>
          <t>SCA</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12475-2022</t>
        </is>
      </c>
      <c r="B4798" s="1" t="n">
        <v>44638</v>
      </c>
      <c r="C4798" s="1" t="n">
        <v>45212</v>
      </c>
      <c r="D4798" t="inlineStr">
        <is>
          <t>VÄSTERNORRLANDS LÄN</t>
        </is>
      </c>
      <c r="E4798" t="inlineStr">
        <is>
          <t>ÖRNSKÖLDSVIK</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12621-2022</t>
        </is>
      </c>
      <c r="B4799" s="1" t="n">
        <v>44641</v>
      </c>
      <c r="C4799" s="1" t="n">
        <v>45212</v>
      </c>
      <c r="D4799" t="inlineStr">
        <is>
          <t>VÄSTERNORRLANDS LÄN</t>
        </is>
      </c>
      <c r="E4799" t="inlineStr">
        <is>
          <t>ÖRNSKÖLDSVIK</t>
        </is>
      </c>
      <c r="G4799" t="n">
        <v>6.3</v>
      </c>
      <c r="H4799" t="n">
        <v>0</v>
      </c>
      <c r="I4799" t="n">
        <v>0</v>
      </c>
      <c r="J4799" t="n">
        <v>0</v>
      </c>
      <c r="K4799" t="n">
        <v>0</v>
      </c>
      <c r="L4799" t="n">
        <v>0</v>
      </c>
      <c r="M4799" t="n">
        <v>0</v>
      </c>
      <c r="N4799" t="n">
        <v>0</v>
      </c>
      <c r="O4799" t="n">
        <v>0</v>
      </c>
      <c r="P4799" t="n">
        <v>0</v>
      </c>
      <c r="Q4799" t="n">
        <v>0</v>
      </c>
      <c r="R4799" s="2" t="inlineStr"/>
    </row>
    <row r="4800" ht="15" customHeight="1">
      <c r="A4800" t="inlineStr">
        <is>
          <t>A 12751-2022</t>
        </is>
      </c>
      <c r="B4800" s="1" t="n">
        <v>44641</v>
      </c>
      <c r="C4800" s="1" t="n">
        <v>45212</v>
      </c>
      <c r="D4800" t="inlineStr">
        <is>
          <t>VÄSTERNORRLANDS LÄN</t>
        </is>
      </c>
      <c r="E4800" t="inlineStr">
        <is>
          <t>SUNDSVALL</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12780-2022</t>
        </is>
      </c>
      <c r="B4801" s="1" t="n">
        <v>44641</v>
      </c>
      <c r="C4801" s="1" t="n">
        <v>45212</v>
      </c>
      <c r="D4801" t="inlineStr">
        <is>
          <t>VÄSTERNORRLANDS LÄN</t>
        </is>
      </c>
      <c r="E4801" t="inlineStr">
        <is>
          <t>TIMRÅ</t>
        </is>
      </c>
      <c r="G4801" t="n">
        <v>9.300000000000001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12797-2022</t>
        </is>
      </c>
      <c r="B4802" s="1" t="n">
        <v>44641</v>
      </c>
      <c r="C4802" s="1" t="n">
        <v>45212</v>
      </c>
      <c r="D4802" t="inlineStr">
        <is>
          <t>VÄSTERNORRLANDS LÄN</t>
        </is>
      </c>
      <c r="E4802" t="inlineStr">
        <is>
          <t>ÅNGE</t>
        </is>
      </c>
      <c r="G4802" t="n">
        <v>7.1</v>
      </c>
      <c r="H4802" t="n">
        <v>0</v>
      </c>
      <c r="I4802" t="n">
        <v>0</v>
      </c>
      <c r="J4802" t="n">
        <v>0</v>
      </c>
      <c r="K4802" t="n">
        <v>0</v>
      </c>
      <c r="L4802" t="n">
        <v>0</v>
      </c>
      <c r="M4802" t="n">
        <v>0</v>
      </c>
      <c r="N4802" t="n">
        <v>0</v>
      </c>
      <c r="O4802" t="n">
        <v>0</v>
      </c>
      <c r="P4802" t="n">
        <v>0</v>
      </c>
      <c r="Q4802" t="n">
        <v>0</v>
      </c>
      <c r="R4802" s="2" t="inlineStr"/>
    </row>
    <row r="4803" ht="15" customHeight="1">
      <c r="A4803" t="inlineStr">
        <is>
          <t>A 12750-2022</t>
        </is>
      </c>
      <c r="B4803" s="1" t="n">
        <v>44641</v>
      </c>
      <c r="C4803" s="1" t="n">
        <v>45212</v>
      </c>
      <c r="D4803" t="inlineStr">
        <is>
          <t>VÄSTERNORRLANDS LÄN</t>
        </is>
      </c>
      <c r="E4803" t="inlineStr">
        <is>
          <t>HÄRNÖSAND</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12779-2022</t>
        </is>
      </c>
      <c r="B4804" s="1" t="n">
        <v>44641</v>
      </c>
      <c r="C4804" s="1" t="n">
        <v>45212</v>
      </c>
      <c r="D4804" t="inlineStr">
        <is>
          <t>VÄSTERNORRLANDS LÄN</t>
        </is>
      </c>
      <c r="E4804" t="inlineStr">
        <is>
          <t>TIMRÅ</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12758-2022</t>
        </is>
      </c>
      <c r="B4805" s="1" t="n">
        <v>44641</v>
      </c>
      <c r="C4805" s="1" t="n">
        <v>45212</v>
      </c>
      <c r="D4805" t="inlineStr">
        <is>
          <t>VÄSTERNORRLANDS LÄN</t>
        </is>
      </c>
      <c r="E4805" t="inlineStr">
        <is>
          <t>SOLLEFTEÅ</t>
        </is>
      </c>
      <c r="G4805" t="n">
        <v>0.1</v>
      </c>
      <c r="H4805" t="n">
        <v>0</v>
      </c>
      <c r="I4805" t="n">
        <v>0</v>
      </c>
      <c r="J4805" t="n">
        <v>0</v>
      </c>
      <c r="K4805" t="n">
        <v>0</v>
      </c>
      <c r="L4805" t="n">
        <v>0</v>
      </c>
      <c r="M4805" t="n">
        <v>0</v>
      </c>
      <c r="N4805" t="n">
        <v>0</v>
      </c>
      <c r="O4805" t="n">
        <v>0</v>
      </c>
      <c r="P4805" t="n">
        <v>0</v>
      </c>
      <c r="Q4805" t="n">
        <v>0</v>
      </c>
      <c r="R4805" s="2" t="inlineStr"/>
    </row>
    <row r="4806" ht="15" customHeight="1">
      <c r="A4806" t="inlineStr">
        <is>
          <t>A 12782-2022</t>
        </is>
      </c>
      <c r="B4806" s="1" t="n">
        <v>44641</v>
      </c>
      <c r="C4806" s="1" t="n">
        <v>45212</v>
      </c>
      <c r="D4806" t="inlineStr">
        <is>
          <t>VÄSTERNORRLANDS LÄN</t>
        </is>
      </c>
      <c r="E4806" t="inlineStr">
        <is>
          <t>TIMRÅ</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12882-2022</t>
        </is>
      </c>
      <c r="B4807" s="1" t="n">
        <v>44642</v>
      </c>
      <c r="C4807" s="1" t="n">
        <v>45212</v>
      </c>
      <c r="D4807" t="inlineStr">
        <is>
          <t>VÄSTERNORRLANDS LÄN</t>
        </is>
      </c>
      <c r="E4807" t="inlineStr">
        <is>
          <t>TIMRÅ</t>
        </is>
      </c>
      <c r="G4807" t="n">
        <v>0.4</v>
      </c>
      <c r="H4807" t="n">
        <v>0</v>
      </c>
      <c r="I4807" t="n">
        <v>0</v>
      </c>
      <c r="J4807" t="n">
        <v>0</v>
      </c>
      <c r="K4807" t="n">
        <v>0</v>
      </c>
      <c r="L4807" t="n">
        <v>0</v>
      </c>
      <c r="M4807" t="n">
        <v>0</v>
      </c>
      <c r="N4807" t="n">
        <v>0</v>
      </c>
      <c r="O4807" t="n">
        <v>0</v>
      </c>
      <c r="P4807" t="n">
        <v>0</v>
      </c>
      <c r="Q4807" t="n">
        <v>0</v>
      </c>
      <c r="R4807" s="2" t="inlineStr"/>
    </row>
    <row r="4808" ht="15" customHeight="1">
      <c r="A4808" t="inlineStr">
        <is>
          <t>A 12885-2022</t>
        </is>
      </c>
      <c r="B4808" s="1" t="n">
        <v>44642</v>
      </c>
      <c r="C4808" s="1" t="n">
        <v>45212</v>
      </c>
      <c r="D4808" t="inlineStr">
        <is>
          <t>VÄSTERNORRLANDS LÄN</t>
        </is>
      </c>
      <c r="E4808" t="inlineStr">
        <is>
          <t>TIMRÅ</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12948-2022</t>
        </is>
      </c>
      <c r="B4809" s="1" t="n">
        <v>44642</v>
      </c>
      <c r="C4809" s="1" t="n">
        <v>45212</v>
      </c>
      <c r="D4809" t="inlineStr">
        <is>
          <t>VÄSTERNORRLANDS LÄN</t>
        </is>
      </c>
      <c r="E4809" t="inlineStr">
        <is>
          <t>ÅNGE</t>
        </is>
      </c>
      <c r="F4809" t="inlineStr">
        <is>
          <t>SCA</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12960-2022</t>
        </is>
      </c>
      <c r="B4810" s="1" t="n">
        <v>44642</v>
      </c>
      <c r="C4810" s="1" t="n">
        <v>45212</v>
      </c>
      <c r="D4810" t="inlineStr">
        <is>
          <t>VÄSTERNORRLANDS LÄN</t>
        </is>
      </c>
      <c r="E4810" t="inlineStr">
        <is>
          <t>ÖRNSKÖLDSVIK</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12880-2022</t>
        </is>
      </c>
      <c r="B4811" s="1" t="n">
        <v>44642</v>
      </c>
      <c r="C4811" s="1" t="n">
        <v>45212</v>
      </c>
      <c r="D4811" t="inlineStr">
        <is>
          <t>VÄSTERNORRLANDS LÄN</t>
        </is>
      </c>
      <c r="E4811" t="inlineStr">
        <is>
          <t>TIMRÅ</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12903-2022</t>
        </is>
      </c>
      <c r="B4812" s="1" t="n">
        <v>44642</v>
      </c>
      <c r="C4812" s="1" t="n">
        <v>45212</v>
      </c>
      <c r="D4812" t="inlineStr">
        <is>
          <t>VÄSTERNORRLANDS LÄN</t>
        </is>
      </c>
      <c r="E4812" t="inlineStr">
        <is>
          <t>ÖRNSKÖLDSVIK</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12952-2022</t>
        </is>
      </c>
      <c r="B4813" s="1" t="n">
        <v>44642</v>
      </c>
      <c r="C4813" s="1" t="n">
        <v>45212</v>
      </c>
      <c r="D4813" t="inlineStr">
        <is>
          <t>VÄSTERNORRLANDS LÄN</t>
        </is>
      </c>
      <c r="E4813" t="inlineStr">
        <is>
          <t>HÄRNÖSAND</t>
        </is>
      </c>
      <c r="F4813" t="inlineStr">
        <is>
          <t>SCA</t>
        </is>
      </c>
      <c r="G4813" t="n">
        <v>11.3</v>
      </c>
      <c r="H4813" t="n">
        <v>0</v>
      </c>
      <c r="I4813" t="n">
        <v>0</v>
      </c>
      <c r="J4813" t="n">
        <v>0</v>
      </c>
      <c r="K4813" t="n">
        <v>0</v>
      </c>
      <c r="L4813" t="n">
        <v>0</v>
      </c>
      <c r="M4813" t="n">
        <v>0</v>
      </c>
      <c r="N4813" t="n">
        <v>0</v>
      </c>
      <c r="O4813" t="n">
        <v>0</v>
      </c>
      <c r="P4813" t="n">
        <v>0</v>
      </c>
      <c r="Q4813" t="n">
        <v>0</v>
      </c>
      <c r="R4813" s="2" t="inlineStr"/>
    </row>
    <row r="4814" ht="15" customHeight="1">
      <c r="A4814" t="inlineStr">
        <is>
          <t>A 13100-2022</t>
        </is>
      </c>
      <c r="B4814" s="1" t="n">
        <v>44643</v>
      </c>
      <c r="C4814" s="1" t="n">
        <v>45212</v>
      </c>
      <c r="D4814" t="inlineStr">
        <is>
          <t>VÄSTERNORRLANDS LÄN</t>
        </is>
      </c>
      <c r="E4814" t="inlineStr">
        <is>
          <t>SOLLEFTEÅ</t>
        </is>
      </c>
      <c r="F4814" t="inlineStr">
        <is>
          <t>SCA</t>
        </is>
      </c>
      <c r="G4814" t="n">
        <v>16.6</v>
      </c>
      <c r="H4814" t="n">
        <v>0</v>
      </c>
      <c r="I4814" t="n">
        <v>0</v>
      </c>
      <c r="J4814" t="n">
        <v>0</v>
      </c>
      <c r="K4814" t="n">
        <v>0</v>
      </c>
      <c r="L4814" t="n">
        <v>0</v>
      </c>
      <c r="M4814" t="n">
        <v>0</v>
      </c>
      <c r="N4814" t="n">
        <v>0</v>
      </c>
      <c r="O4814" t="n">
        <v>0</v>
      </c>
      <c r="P4814" t="n">
        <v>0</v>
      </c>
      <c r="Q4814" t="n">
        <v>0</v>
      </c>
      <c r="R4814" s="2" t="inlineStr"/>
    </row>
    <row r="4815" ht="15" customHeight="1">
      <c r="A4815" t="inlineStr">
        <is>
          <t>A 13164-2022</t>
        </is>
      </c>
      <c r="B4815" s="1" t="n">
        <v>44644</v>
      </c>
      <c r="C4815" s="1" t="n">
        <v>45212</v>
      </c>
      <c r="D4815" t="inlineStr">
        <is>
          <t>VÄSTERNORRLANDS LÄN</t>
        </is>
      </c>
      <c r="E4815" t="inlineStr">
        <is>
          <t>ÅNGE</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13293-2022</t>
        </is>
      </c>
      <c r="B4816" s="1" t="n">
        <v>44644</v>
      </c>
      <c r="C4816" s="1" t="n">
        <v>45212</v>
      </c>
      <c r="D4816" t="inlineStr">
        <is>
          <t>VÄSTERNORRLANDS LÄN</t>
        </is>
      </c>
      <c r="E4816" t="inlineStr">
        <is>
          <t>SUNDSVALL</t>
        </is>
      </c>
      <c r="G4816" t="n">
        <v>18.5</v>
      </c>
      <c r="H4816" t="n">
        <v>0</v>
      </c>
      <c r="I4816" t="n">
        <v>0</v>
      </c>
      <c r="J4816" t="n">
        <v>0</v>
      </c>
      <c r="K4816" t="n">
        <v>0</v>
      </c>
      <c r="L4816" t="n">
        <v>0</v>
      </c>
      <c r="M4816" t="n">
        <v>0</v>
      </c>
      <c r="N4816" t="n">
        <v>0</v>
      </c>
      <c r="O4816" t="n">
        <v>0</v>
      </c>
      <c r="P4816" t="n">
        <v>0</v>
      </c>
      <c r="Q4816" t="n">
        <v>0</v>
      </c>
      <c r="R4816" s="2" t="inlineStr"/>
    </row>
    <row r="4817" ht="15" customHeight="1">
      <c r="A4817" t="inlineStr">
        <is>
          <t>A 13294-2022</t>
        </is>
      </c>
      <c r="B4817" s="1" t="n">
        <v>44644</v>
      </c>
      <c r="C4817" s="1" t="n">
        <v>45212</v>
      </c>
      <c r="D4817" t="inlineStr">
        <is>
          <t>VÄSTERNORRLANDS LÄN</t>
        </is>
      </c>
      <c r="E4817" t="inlineStr">
        <is>
          <t>KRAMFORS</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13300-2022</t>
        </is>
      </c>
      <c r="B4818" s="1" t="n">
        <v>44644</v>
      </c>
      <c r="C4818" s="1" t="n">
        <v>45212</v>
      </c>
      <c r="D4818" t="inlineStr">
        <is>
          <t>VÄSTERNORRLANDS LÄN</t>
        </is>
      </c>
      <c r="E4818" t="inlineStr">
        <is>
          <t>SOLLEFTEÅ</t>
        </is>
      </c>
      <c r="F4818" t="inlineStr">
        <is>
          <t>SCA</t>
        </is>
      </c>
      <c r="G4818" t="n">
        <v>9.9</v>
      </c>
      <c r="H4818" t="n">
        <v>0</v>
      </c>
      <c r="I4818" t="n">
        <v>0</v>
      </c>
      <c r="J4818" t="n">
        <v>0</v>
      </c>
      <c r="K4818" t="n">
        <v>0</v>
      </c>
      <c r="L4818" t="n">
        <v>0</v>
      </c>
      <c r="M4818" t="n">
        <v>0</v>
      </c>
      <c r="N4818" t="n">
        <v>0</v>
      </c>
      <c r="O4818" t="n">
        <v>0</v>
      </c>
      <c r="P4818" t="n">
        <v>0</v>
      </c>
      <c r="Q4818" t="n">
        <v>0</v>
      </c>
      <c r="R4818" s="2" t="inlineStr"/>
    </row>
    <row r="4819" ht="15" customHeight="1">
      <c r="A4819" t="inlineStr">
        <is>
          <t>A 13260-2022</t>
        </is>
      </c>
      <c r="B4819" s="1" t="n">
        <v>44644</v>
      </c>
      <c r="C4819" s="1" t="n">
        <v>45212</v>
      </c>
      <c r="D4819" t="inlineStr">
        <is>
          <t>VÄSTERNORRLANDS LÄN</t>
        </is>
      </c>
      <c r="E4819" t="inlineStr">
        <is>
          <t>SUNDSVALL</t>
        </is>
      </c>
      <c r="G4819" t="n">
        <v>8.5</v>
      </c>
      <c r="H4819" t="n">
        <v>0</v>
      </c>
      <c r="I4819" t="n">
        <v>0</v>
      </c>
      <c r="J4819" t="n">
        <v>0</v>
      </c>
      <c r="K4819" t="n">
        <v>0</v>
      </c>
      <c r="L4819" t="n">
        <v>0</v>
      </c>
      <c r="M4819" t="n">
        <v>0</v>
      </c>
      <c r="N4819" t="n">
        <v>0</v>
      </c>
      <c r="O4819" t="n">
        <v>0</v>
      </c>
      <c r="P4819" t="n">
        <v>0</v>
      </c>
      <c r="Q4819" t="n">
        <v>0</v>
      </c>
      <c r="R4819" s="2" t="inlineStr"/>
    </row>
    <row r="4820" ht="15" customHeight="1">
      <c r="A4820" t="inlineStr">
        <is>
          <t>A 13461-2022</t>
        </is>
      </c>
      <c r="B4820" s="1" t="n">
        <v>44645</v>
      </c>
      <c r="C4820" s="1" t="n">
        <v>45212</v>
      </c>
      <c r="D4820" t="inlineStr">
        <is>
          <t>VÄSTERNORRLANDS LÄN</t>
        </is>
      </c>
      <c r="E4820" t="inlineStr">
        <is>
          <t>SUNDSVALL</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13480-2022</t>
        </is>
      </c>
      <c r="B4821" s="1" t="n">
        <v>44645</v>
      </c>
      <c r="C4821" s="1" t="n">
        <v>45212</v>
      </c>
      <c r="D4821" t="inlineStr">
        <is>
          <t>VÄSTERNORRLANDS LÄN</t>
        </is>
      </c>
      <c r="E4821" t="inlineStr">
        <is>
          <t>KRAMFORS</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13658-2022</t>
        </is>
      </c>
      <c r="B4822" s="1" t="n">
        <v>44648</v>
      </c>
      <c r="C4822" s="1" t="n">
        <v>45212</v>
      </c>
      <c r="D4822" t="inlineStr">
        <is>
          <t>VÄSTERNORRLANDS LÄN</t>
        </is>
      </c>
      <c r="E4822" t="inlineStr">
        <is>
          <t>SOLLEFTEÅ</t>
        </is>
      </c>
      <c r="G4822" t="n">
        <v>7.4</v>
      </c>
      <c r="H4822" t="n">
        <v>0</v>
      </c>
      <c r="I4822" t="n">
        <v>0</v>
      </c>
      <c r="J4822" t="n">
        <v>0</v>
      </c>
      <c r="K4822" t="n">
        <v>0</v>
      </c>
      <c r="L4822" t="n">
        <v>0</v>
      </c>
      <c r="M4822" t="n">
        <v>0</v>
      </c>
      <c r="N4822" t="n">
        <v>0</v>
      </c>
      <c r="O4822" t="n">
        <v>0</v>
      </c>
      <c r="P4822" t="n">
        <v>0</v>
      </c>
      <c r="Q4822" t="n">
        <v>0</v>
      </c>
      <c r="R4822" s="2" t="inlineStr"/>
    </row>
    <row r="4823" ht="15" customHeight="1">
      <c r="A4823" t="inlineStr">
        <is>
          <t>A 13641-2022</t>
        </is>
      </c>
      <c r="B4823" s="1" t="n">
        <v>44648</v>
      </c>
      <c r="C4823" s="1" t="n">
        <v>45212</v>
      </c>
      <c r="D4823" t="inlineStr">
        <is>
          <t>VÄSTERNORRLANDS LÄN</t>
        </is>
      </c>
      <c r="E4823" t="inlineStr">
        <is>
          <t>ÅNGE</t>
        </is>
      </c>
      <c r="G4823" t="n">
        <v>4.9</v>
      </c>
      <c r="H4823" t="n">
        <v>0</v>
      </c>
      <c r="I4823" t="n">
        <v>0</v>
      </c>
      <c r="J4823" t="n">
        <v>0</v>
      </c>
      <c r="K4823" t="n">
        <v>0</v>
      </c>
      <c r="L4823" t="n">
        <v>0</v>
      </c>
      <c r="M4823" t="n">
        <v>0</v>
      </c>
      <c r="N4823" t="n">
        <v>0</v>
      </c>
      <c r="O4823" t="n">
        <v>0</v>
      </c>
      <c r="P4823" t="n">
        <v>0</v>
      </c>
      <c r="Q4823" t="n">
        <v>0</v>
      </c>
      <c r="R4823" s="2" t="inlineStr"/>
    </row>
    <row r="4824" ht="15" customHeight="1">
      <c r="A4824" t="inlineStr">
        <is>
          <t>A 13598-2022</t>
        </is>
      </c>
      <c r="B4824" s="1" t="n">
        <v>44648</v>
      </c>
      <c r="C4824" s="1" t="n">
        <v>45212</v>
      </c>
      <c r="D4824" t="inlineStr">
        <is>
          <t>VÄSTERNORRLANDS LÄN</t>
        </is>
      </c>
      <c r="E4824" t="inlineStr">
        <is>
          <t>SOLLEFTEÅ</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13887-2022</t>
        </is>
      </c>
      <c r="B4825" s="1" t="n">
        <v>44649</v>
      </c>
      <c r="C4825" s="1" t="n">
        <v>45212</v>
      </c>
      <c r="D4825" t="inlineStr">
        <is>
          <t>VÄSTERNORRLANDS LÄN</t>
        </is>
      </c>
      <c r="E4825" t="inlineStr">
        <is>
          <t>ÖRNSKÖLDSVIK</t>
        </is>
      </c>
      <c r="G4825" t="n">
        <v>20</v>
      </c>
      <c r="H4825" t="n">
        <v>0</v>
      </c>
      <c r="I4825" t="n">
        <v>0</v>
      </c>
      <c r="J4825" t="n">
        <v>0</v>
      </c>
      <c r="K4825" t="n">
        <v>0</v>
      </c>
      <c r="L4825" t="n">
        <v>0</v>
      </c>
      <c r="M4825" t="n">
        <v>0</v>
      </c>
      <c r="N4825" t="n">
        <v>0</v>
      </c>
      <c r="O4825" t="n">
        <v>0</v>
      </c>
      <c r="P4825" t="n">
        <v>0</v>
      </c>
      <c r="Q4825" t="n">
        <v>0</v>
      </c>
      <c r="R4825" s="2" t="inlineStr"/>
    </row>
    <row r="4826" ht="15" customHeight="1">
      <c r="A4826" t="inlineStr">
        <is>
          <t>A 13875-2022</t>
        </is>
      </c>
      <c r="B4826" s="1" t="n">
        <v>44649</v>
      </c>
      <c r="C4826" s="1" t="n">
        <v>45212</v>
      </c>
      <c r="D4826" t="inlineStr">
        <is>
          <t>VÄSTERNORRLANDS LÄN</t>
        </is>
      </c>
      <c r="E4826" t="inlineStr">
        <is>
          <t>ÅNGE</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13873-2022</t>
        </is>
      </c>
      <c r="B4827" s="1" t="n">
        <v>44649</v>
      </c>
      <c r="C4827" s="1" t="n">
        <v>45212</v>
      </c>
      <c r="D4827" t="inlineStr">
        <is>
          <t>VÄSTERNORRLANDS LÄN</t>
        </is>
      </c>
      <c r="E4827" t="inlineStr">
        <is>
          <t>ÅNGE</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13787-2022</t>
        </is>
      </c>
      <c r="B4828" s="1" t="n">
        <v>44649</v>
      </c>
      <c r="C4828" s="1" t="n">
        <v>45212</v>
      </c>
      <c r="D4828" t="inlineStr">
        <is>
          <t>VÄSTERNORRLANDS LÄN</t>
        </is>
      </c>
      <c r="E4828" t="inlineStr">
        <is>
          <t>ÖRNSKÖLDSVIK</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13874-2022</t>
        </is>
      </c>
      <c r="B4829" s="1" t="n">
        <v>44649</v>
      </c>
      <c r="C4829" s="1" t="n">
        <v>45212</v>
      </c>
      <c r="D4829" t="inlineStr">
        <is>
          <t>VÄSTERNORRLANDS LÄN</t>
        </is>
      </c>
      <c r="E4829" t="inlineStr">
        <is>
          <t>ÅNGE</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14066-2022</t>
        </is>
      </c>
      <c r="B4830" s="1" t="n">
        <v>44650</v>
      </c>
      <c r="C4830" s="1" t="n">
        <v>45212</v>
      </c>
      <c r="D4830" t="inlineStr">
        <is>
          <t>VÄSTERNORRLANDS LÄN</t>
        </is>
      </c>
      <c r="E4830" t="inlineStr">
        <is>
          <t>SOLLEFTEÅ</t>
        </is>
      </c>
      <c r="F4830" t="inlineStr">
        <is>
          <t>SCA</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14065-2022</t>
        </is>
      </c>
      <c r="B4831" s="1" t="n">
        <v>44650</v>
      </c>
      <c r="C4831" s="1" t="n">
        <v>45212</v>
      </c>
      <c r="D4831" t="inlineStr">
        <is>
          <t>VÄSTERNORRLANDS LÄN</t>
        </is>
      </c>
      <c r="E4831" t="inlineStr">
        <is>
          <t>SOLLEFTEÅ</t>
        </is>
      </c>
      <c r="F4831" t="inlineStr">
        <is>
          <t>SCA</t>
        </is>
      </c>
      <c r="G4831" t="n">
        <v>2.5</v>
      </c>
      <c r="H4831" t="n">
        <v>0</v>
      </c>
      <c r="I4831" t="n">
        <v>0</v>
      </c>
      <c r="J4831" t="n">
        <v>0</v>
      </c>
      <c r="K4831" t="n">
        <v>0</v>
      </c>
      <c r="L4831" t="n">
        <v>0</v>
      </c>
      <c r="M4831" t="n">
        <v>0</v>
      </c>
      <c r="N4831" t="n">
        <v>0</v>
      </c>
      <c r="O4831" t="n">
        <v>0</v>
      </c>
      <c r="P4831" t="n">
        <v>0</v>
      </c>
      <c r="Q4831" t="n">
        <v>0</v>
      </c>
      <c r="R4831" s="2" t="inlineStr"/>
    </row>
    <row r="4832" ht="15" customHeight="1">
      <c r="A4832" t="inlineStr">
        <is>
          <t>A 14014-2022</t>
        </is>
      </c>
      <c r="B4832" s="1" t="n">
        <v>44650</v>
      </c>
      <c r="C4832" s="1" t="n">
        <v>45212</v>
      </c>
      <c r="D4832" t="inlineStr">
        <is>
          <t>VÄSTERNORRLANDS LÄN</t>
        </is>
      </c>
      <c r="E4832" t="inlineStr">
        <is>
          <t>SUNDSVALL</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14067-2022</t>
        </is>
      </c>
      <c r="B4833" s="1" t="n">
        <v>44650</v>
      </c>
      <c r="C4833" s="1" t="n">
        <v>45212</v>
      </c>
      <c r="D4833" t="inlineStr">
        <is>
          <t>VÄSTERNORRLANDS LÄN</t>
        </is>
      </c>
      <c r="E4833" t="inlineStr">
        <is>
          <t>SUNDSVALL</t>
        </is>
      </c>
      <c r="F4833" t="inlineStr">
        <is>
          <t>SCA</t>
        </is>
      </c>
      <c r="G4833" t="n">
        <v>6.6</v>
      </c>
      <c r="H4833" t="n">
        <v>0</v>
      </c>
      <c r="I4833" t="n">
        <v>0</v>
      </c>
      <c r="J4833" t="n">
        <v>0</v>
      </c>
      <c r="K4833" t="n">
        <v>0</v>
      </c>
      <c r="L4833" t="n">
        <v>0</v>
      </c>
      <c r="M4833" t="n">
        <v>0</v>
      </c>
      <c r="N4833" t="n">
        <v>0</v>
      </c>
      <c r="O4833" t="n">
        <v>0</v>
      </c>
      <c r="P4833" t="n">
        <v>0</v>
      </c>
      <c r="Q4833" t="n">
        <v>0</v>
      </c>
      <c r="R4833" s="2" t="inlineStr"/>
    </row>
    <row r="4834" ht="15" customHeight="1">
      <c r="A4834" t="inlineStr">
        <is>
          <t>A 14297-2022</t>
        </is>
      </c>
      <c r="B4834" s="1" t="n">
        <v>44651</v>
      </c>
      <c r="C4834" s="1" t="n">
        <v>45212</v>
      </c>
      <c r="D4834" t="inlineStr">
        <is>
          <t>VÄSTERNORRLANDS LÄN</t>
        </is>
      </c>
      <c r="E4834" t="inlineStr">
        <is>
          <t>SOLLEFTEÅ</t>
        </is>
      </c>
      <c r="F4834" t="inlineStr">
        <is>
          <t>SCA</t>
        </is>
      </c>
      <c r="G4834" t="n">
        <v>15.2</v>
      </c>
      <c r="H4834" t="n">
        <v>0</v>
      </c>
      <c r="I4834" t="n">
        <v>0</v>
      </c>
      <c r="J4834" t="n">
        <v>0</v>
      </c>
      <c r="K4834" t="n">
        <v>0</v>
      </c>
      <c r="L4834" t="n">
        <v>0</v>
      </c>
      <c r="M4834" t="n">
        <v>0</v>
      </c>
      <c r="N4834" t="n">
        <v>0</v>
      </c>
      <c r="O4834" t="n">
        <v>0</v>
      </c>
      <c r="P4834" t="n">
        <v>0</v>
      </c>
      <c r="Q4834" t="n">
        <v>0</v>
      </c>
      <c r="R4834" s="2" t="inlineStr"/>
    </row>
    <row r="4835" ht="15" customHeight="1">
      <c r="A4835" t="inlineStr">
        <is>
          <t>A 14084-2022</t>
        </is>
      </c>
      <c r="B4835" s="1" t="n">
        <v>44651</v>
      </c>
      <c r="C4835" s="1" t="n">
        <v>45212</v>
      </c>
      <c r="D4835" t="inlineStr">
        <is>
          <t>VÄSTERNORRLANDS LÄN</t>
        </is>
      </c>
      <c r="E4835" t="inlineStr">
        <is>
          <t>ÅNGE</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14302-2022</t>
        </is>
      </c>
      <c r="B4836" s="1" t="n">
        <v>44651</v>
      </c>
      <c r="C4836" s="1" t="n">
        <v>45212</v>
      </c>
      <c r="D4836" t="inlineStr">
        <is>
          <t>VÄSTERNORRLANDS LÄN</t>
        </is>
      </c>
      <c r="E4836" t="inlineStr">
        <is>
          <t>SOLLEFTEÅ</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14275-2022</t>
        </is>
      </c>
      <c r="B4837" s="1" t="n">
        <v>44651</v>
      </c>
      <c r="C4837" s="1" t="n">
        <v>45212</v>
      </c>
      <c r="D4837" t="inlineStr">
        <is>
          <t>VÄSTERNORRLANDS LÄN</t>
        </is>
      </c>
      <c r="E4837" t="inlineStr">
        <is>
          <t>SOLLEFTEÅ</t>
        </is>
      </c>
      <c r="G4837" t="n">
        <v>5.8</v>
      </c>
      <c r="H4837" t="n">
        <v>0</v>
      </c>
      <c r="I4837" t="n">
        <v>0</v>
      </c>
      <c r="J4837" t="n">
        <v>0</v>
      </c>
      <c r="K4837" t="n">
        <v>0</v>
      </c>
      <c r="L4837" t="n">
        <v>0</v>
      </c>
      <c r="M4837" t="n">
        <v>0</v>
      </c>
      <c r="N4837" t="n">
        <v>0</v>
      </c>
      <c r="O4837" t="n">
        <v>0</v>
      </c>
      <c r="P4837" t="n">
        <v>0</v>
      </c>
      <c r="Q4837" t="n">
        <v>0</v>
      </c>
      <c r="R4837" s="2" t="inlineStr"/>
    </row>
    <row r="4838" ht="15" customHeight="1">
      <c r="A4838" t="inlineStr">
        <is>
          <t>A 14091-2022</t>
        </is>
      </c>
      <c r="B4838" s="1" t="n">
        <v>44651</v>
      </c>
      <c r="C4838" s="1" t="n">
        <v>45212</v>
      </c>
      <c r="D4838" t="inlineStr">
        <is>
          <t>VÄSTERNORRLANDS LÄN</t>
        </is>
      </c>
      <c r="E4838" t="inlineStr">
        <is>
          <t>ÅNGE</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14097-2022</t>
        </is>
      </c>
      <c r="B4839" s="1" t="n">
        <v>44651</v>
      </c>
      <c r="C4839" s="1" t="n">
        <v>45212</v>
      </c>
      <c r="D4839" t="inlineStr">
        <is>
          <t>VÄSTERNORRLANDS LÄN</t>
        </is>
      </c>
      <c r="E4839" t="inlineStr">
        <is>
          <t>ÅNGE</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14233-2022</t>
        </is>
      </c>
      <c r="B4840" s="1" t="n">
        <v>44651</v>
      </c>
      <c r="C4840" s="1" t="n">
        <v>45212</v>
      </c>
      <c r="D4840" t="inlineStr">
        <is>
          <t>VÄSTERNORRLANDS LÄN</t>
        </is>
      </c>
      <c r="E4840" t="inlineStr">
        <is>
          <t>SUNDSVALL</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14365-2022</t>
        </is>
      </c>
      <c r="B4841" s="1" t="n">
        <v>44652</v>
      </c>
      <c r="C4841" s="1" t="n">
        <v>45212</v>
      </c>
      <c r="D4841" t="inlineStr">
        <is>
          <t>VÄSTERNORRLANDS LÄN</t>
        </is>
      </c>
      <c r="E4841" t="inlineStr">
        <is>
          <t>HÄRNÖSAND</t>
        </is>
      </c>
      <c r="G4841" t="n">
        <v>5.5</v>
      </c>
      <c r="H4841" t="n">
        <v>0</v>
      </c>
      <c r="I4841" t="n">
        <v>0</v>
      </c>
      <c r="J4841" t="n">
        <v>0</v>
      </c>
      <c r="K4841" t="n">
        <v>0</v>
      </c>
      <c r="L4841" t="n">
        <v>0</v>
      </c>
      <c r="M4841" t="n">
        <v>0</v>
      </c>
      <c r="N4841" t="n">
        <v>0</v>
      </c>
      <c r="O4841" t="n">
        <v>0</v>
      </c>
      <c r="P4841" t="n">
        <v>0</v>
      </c>
      <c r="Q4841" t="n">
        <v>0</v>
      </c>
      <c r="R4841" s="2" t="inlineStr"/>
    </row>
    <row r="4842" ht="15" customHeight="1">
      <c r="A4842" t="inlineStr">
        <is>
          <t>A 14449-2022</t>
        </is>
      </c>
      <c r="B4842" s="1" t="n">
        <v>44652</v>
      </c>
      <c r="C4842" s="1" t="n">
        <v>45212</v>
      </c>
      <c r="D4842" t="inlineStr">
        <is>
          <t>VÄSTERNORRLANDS LÄN</t>
        </is>
      </c>
      <c r="E4842" t="inlineStr">
        <is>
          <t>SOLLEFTEÅ</t>
        </is>
      </c>
      <c r="F4842" t="inlineStr">
        <is>
          <t>SCA</t>
        </is>
      </c>
      <c r="G4842" t="n">
        <v>31.8</v>
      </c>
      <c r="H4842" t="n">
        <v>0</v>
      </c>
      <c r="I4842" t="n">
        <v>0</v>
      </c>
      <c r="J4842" t="n">
        <v>0</v>
      </c>
      <c r="K4842" t="n">
        <v>0</v>
      </c>
      <c r="L4842" t="n">
        <v>0</v>
      </c>
      <c r="M4842" t="n">
        <v>0</v>
      </c>
      <c r="N4842" t="n">
        <v>0</v>
      </c>
      <c r="O4842" t="n">
        <v>0</v>
      </c>
      <c r="P4842" t="n">
        <v>0</v>
      </c>
      <c r="Q4842" t="n">
        <v>0</v>
      </c>
      <c r="R4842" s="2" t="inlineStr"/>
    </row>
    <row r="4843" ht="15" customHeight="1">
      <c r="A4843" t="inlineStr">
        <is>
          <t>A 14403-2022</t>
        </is>
      </c>
      <c r="B4843" s="1" t="n">
        <v>44652</v>
      </c>
      <c r="C4843" s="1" t="n">
        <v>45212</v>
      </c>
      <c r="D4843" t="inlineStr">
        <is>
          <t>VÄSTERNORRLANDS LÄN</t>
        </is>
      </c>
      <c r="E4843" t="inlineStr">
        <is>
          <t>ÖRNSKÖLDSVIK</t>
        </is>
      </c>
      <c r="F4843" t="inlineStr">
        <is>
          <t>Kyrkan</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14433-2022</t>
        </is>
      </c>
      <c r="B4844" s="1" t="n">
        <v>44652</v>
      </c>
      <c r="C4844" s="1" t="n">
        <v>45212</v>
      </c>
      <c r="D4844" t="inlineStr">
        <is>
          <t>VÄSTERNORRLANDS LÄN</t>
        </is>
      </c>
      <c r="E4844" t="inlineStr">
        <is>
          <t>ÅNGE</t>
        </is>
      </c>
      <c r="F4844" t="inlineStr">
        <is>
          <t>SCA</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14448-2022</t>
        </is>
      </c>
      <c r="B4845" s="1" t="n">
        <v>44652</v>
      </c>
      <c r="C4845" s="1" t="n">
        <v>45212</v>
      </c>
      <c r="D4845" t="inlineStr">
        <is>
          <t>VÄSTERNORRLANDS LÄN</t>
        </is>
      </c>
      <c r="E4845" t="inlineStr">
        <is>
          <t>SOLLEFTEÅ</t>
        </is>
      </c>
      <c r="F4845" t="inlineStr">
        <is>
          <t>SCA</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14372-2022</t>
        </is>
      </c>
      <c r="B4846" s="1" t="n">
        <v>44652</v>
      </c>
      <c r="C4846" s="1" t="n">
        <v>45212</v>
      </c>
      <c r="D4846" t="inlineStr">
        <is>
          <t>VÄSTERNORRLANDS LÄN</t>
        </is>
      </c>
      <c r="E4846" t="inlineStr">
        <is>
          <t>HÄRNÖSAND</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14466-2022</t>
        </is>
      </c>
      <c r="B4847" s="1" t="n">
        <v>44654</v>
      </c>
      <c r="C4847" s="1" t="n">
        <v>45212</v>
      </c>
      <c r="D4847" t="inlineStr">
        <is>
          <t>VÄSTERNORRLANDS LÄN</t>
        </is>
      </c>
      <c r="E4847" t="inlineStr">
        <is>
          <t>SUNDSVALL</t>
        </is>
      </c>
      <c r="G4847" t="n">
        <v>4.4</v>
      </c>
      <c r="H4847" t="n">
        <v>0</v>
      </c>
      <c r="I4847" t="n">
        <v>0</v>
      </c>
      <c r="J4847" t="n">
        <v>0</v>
      </c>
      <c r="K4847" t="n">
        <v>0</v>
      </c>
      <c r="L4847" t="n">
        <v>0</v>
      </c>
      <c r="M4847" t="n">
        <v>0</v>
      </c>
      <c r="N4847" t="n">
        <v>0</v>
      </c>
      <c r="O4847" t="n">
        <v>0</v>
      </c>
      <c r="P4847" t="n">
        <v>0</v>
      </c>
      <c r="Q4847" t="n">
        <v>0</v>
      </c>
      <c r="R4847" s="2" t="inlineStr"/>
    </row>
    <row r="4848" ht="15" customHeight="1">
      <c r="A4848" t="inlineStr">
        <is>
          <t>A 14465-2022</t>
        </is>
      </c>
      <c r="B4848" s="1" t="n">
        <v>44654</v>
      </c>
      <c r="C4848" s="1" t="n">
        <v>45212</v>
      </c>
      <c r="D4848" t="inlineStr">
        <is>
          <t>VÄSTERNORRLANDS LÄN</t>
        </is>
      </c>
      <c r="E4848" t="inlineStr">
        <is>
          <t>SUNDSVALL</t>
        </is>
      </c>
      <c r="G4848" t="n">
        <v>2.9</v>
      </c>
      <c r="H4848" t="n">
        <v>0</v>
      </c>
      <c r="I4848" t="n">
        <v>0</v>
      </c>
      <c r="J4848" t="n">
        <v>0</v>
      </c>
      <c r="K4848" t="n">
        <v>0</v>
      </c>
      <c r="L4848" t="n">
        <v>0</v>
      </c>
      <c r="M4848" t="n">
        <v>0</v>
      </c>
      <c r="N4848" t="n">
        <v>0</v>
      </c>
      <c r="O4848" t="n">
        <v>0</v>
      </c>
      <c r="P4848" t="n">
        <v>0</v>
      </c>
      <c r="Q4848" t="n">
        <v>0</v>
      </c>
      <c r="R4848" s="2" t="inlineStr"/>
    </row>
    <row r="4849" ht="15" customHeight="1">
      <c r="A4849" t="inlineStr">
        <is>
          <t>A 14597-2022</t>
        </is>
      </c>
      <c r="B4849" s="1" t="n">
        <v>44655</v>
      </c>
      <c r="C4849" s="1" t="n">
        <v>45212</v>
      </c>
      <c r="D4849" t="inlineStr">
        <is>
          <t>VÄSTERNORRLANDS LÄN</t>
        </is>
      </c>
      <c r="E4849" t="inlineStr">
        <is>
          <t>HÄRNÖSAND</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14680-2022</t>
        </is>
      </c>
      <c r="B4850" s="1" t="n">
        <v>44655</v>
      </c>
      <c r="C4850" s="1" t="n">
        <v>45212</v>
      </c>
      <c r="D4850" t="inlineStr">
        <is>
          <t>VÄSTERNORRLANDS LÄN</t>
        </is>
      </c>
      <c r="E4850" t="inlineStr">
        <is>
          <t>TIMRÅ</t>
        </is>
      </c>
      <c r="G4850" t="n">
        <v>8.9</v>
      </c>
      <c r="H4850" t="n">
        <v>0</v>
      </c>
      <c r="I4850" t="n">
        <v>0</v>
      </c>
      <c r="J4850" t="n">
        <v>0</v>
      </c>
      <c r="K4850" t="n">
        <v>0</v>
      </c>
      <c r="L4850" t="n">
        <v>0</v>
      </c>
      <c r="M4850" t="n">
        <v>0</v>
      </c>
      <c r="N4850" t="n">
        <v>0</v>
      </c>
      <c r="O4850" t="n">
        <v>0</v>
      </c>
      <c r="P4850" t="n">
        <v>0</v>
      </c>
      <c r="Q4850" t="n">
        <v>0</v>
      </c>
      <c r="R4850" s="2" t="inlineStr"/>
    </row>
    <row r="4851" ht="15" customHeight="1">
      <c r="A4851" t="inlineStr">
        <is>
          <t>A 14834-2022</t>
        </is>
      </c>
      <c r="B4851" s="1" t="n">
        <v>44656</v>
      </c>
      <c r="C4851" s="1" t="n">
        <v>45212</v>
      </c>
      <c r="D4851" t="inlineStr">
        <is>
          <t>VÄSTERNORRLANDS LÄN</t>
        </is>
      </c>
      <c r="E4851" t="inlineStr">
        <is>
          <t>ÅNGE</t>
        </is>
      </c>
      <c r="G4851" t="n">
        <v>3.3</v>
      </c>
      <c r="H4851" t="n">
        <v>0</v>
      </c>
      <c r="I4851" t="n">
        <v>0</v>
      </c>
      <c r="J4851" t="n">
        <v>0</v>
      </c>
      <c r="K4851" t="n">
        <v>0</v>
      </c>
      <c r="L4851" t="n">
        <v>0</v>
      </c>
      <c r="M4851" t="n">
        <v>0</v>
      </c>
      <c r="N4851" t="n">
        <v>0</v>
      </c>
      <c r="O4851" t="n">
        <v>0</v>
      </c>
      <c r="P4851" t="n">
        <v>0</v>
      </c>
      <c r="Q4851" t="n">
        <v>0</v>
      </c>
      <c r="R4851" s="2" t="inlineStr"/>
    </row>
    <row r="4852" ht="15" customHeight="1">
      <c r="A4852" t="inlineStr">
        <is>
          <t>A 14813-2022</t>
        </is>
      </c>
      <c r="B4852" s="1" t="n">
        <v>44656</v>
      </c>
      <c r="C4852" s="1" t="n">
        <v>45212</v>
      </c>
      <c r="D4852" t="inlineStr">
        <is>
          <t>VÄSTERNORRLANDS LÄN</t>
        </is>
      </c>
      <c r="E4852" t="inlineStr">
        <is>
          <t>ÅNGE</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14888-2022</t>
        </is>
      </c>
      <c r="B4853" s="1" t="n">
        <v>44656</v>
      </c>
      <c r="C4853" s="1" t="n">
        <v>45212</v>
      </c>
      <c r="D4853" t="inlineStr">
        <is>
          <t>VÄSTERNORRLANDS LÄN</t>
        </is>
      </c>
      <c r="E4853" t="inlineStr">
        <is>
          <t>ÅNGE</t>
        </is>
      </c>
      <c r="G4853" t="n">
        <v>6.2</v>
      </c>
      <c r="H4853" t="n">
        <v>0</v>
      </c>
      <c r="I4853" t="n">
        <v>0</v>
      </c>
      <c r="J4853" t="n">
        <v>0</v>
      </c>
      <c r="K4853" t="n">
        <v>0</v>
      </c>
      <c r="L4853" t="n">
        <v>0</v>
      </c>
      <c r="M4853" t="n">
        <v>0</v>
      </c>
      <c r="N4853" t="n">
        <v>0</v>
      </c>
      <c r="O4853" t="n">
        <v>0</v>
      </c>
      <c r="P4853" t="n">
        <v>0</v>
      </c>
      <c r="Q4853" t="n">
        <v>0</v>
      </c>
      <c r="R4853" s="2" t="inlineStr"/>
    </row>
    <row r="4854" ht="15" customHeight="1">
      <c r="A4854" t="inlineStr">
        <is>
          <t>A 14885-2022</t>
        </is>
      </c>
      <c r="B4854" s="1" t="n">
        <v>44656</v>
      </c>
      <c r="C4854" s="1" t="n">
        <v>45212</v>
      </c>
      <c r="D4854" t="inlineStr">
        <is>
          <t>VÄSTERNORRLANDS LÄN</t>
        </is>
      </c>
      <c r="E4854" t="inlineStr">
        <is>
          <t>ÅNGE</t>
        </is>
      </c>
      <c r="G4854" t="n">
        <v>4</v>
      </c>
      <c r="H4854" t="n">
        <v>0</v>
      </c>
      <c r="I4854" t="n">
        <v>0</v>
      </c>
      <c r="J4854" t="n">
        <v>0</v>
      </c>
      <c r="K4854" t="n">
        <v>0</v>
      </c>
      <c r="L4854" t="n">
        <v>0</v>
      </c>
      <c r="M4854" t="n">
        <v>0</v>
      </c>
      <c r="N4854" t="n">
        <v>0</v>
      </c>
      <c r="O4854" t="n">
        <v>0</v>
      </c>
      <c r="P4854" t="n">
        <v>0</v>
      </c>
      <c r="Q4854" t="n">
        <v>0</v>
      </c>
      <c r="R4854" s="2" t="inlineStr"/>
    </row>
    <row r="4855" ht="15" customHeight="1">
      <c r="A4855" t="inlineStr">
        <is>
          <t>A 14889-2022</t>
        </is>
      </c>
      <c r="B4855" s="1" t="n">
        <v>44656</v>
      </c>
      <c r="C4855" s="1" t="n">
        <v>45212</v>
      </c>
      <c r="D4855" t="inlineStr">
        <is>
          <t>VÄSTERNORRLANDS LÄN</t>
        </is>
      </c>
      <c r="E4855" t="inlineStr">
        <is>
          <t>ÅNGE</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14949-2022</t>
        </is>
      </c>
      <c r="B4856" s="1" t="n">
        <v>44657</v>
      </c>
      <c r="C4856" s="1" t="n">
        <v>45212</v>
      </c>
      <c r="D4856" t="inlineStr">
        <is>
          <t>VÄSTERNORRLANDS LÄN</t>
        </is>
      </c>
      <c r="E4856" t="inlineStr">
        <is>
          <t>ÅNGE</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15089-2022</t>
        </is>
      </c>
      <c r="B4857" s="1" t="n">
        <v>44657</v>
      </c>
      <c r="C4857" s="1" t="n">
        <v>45212</v>
      </c>
      <c r="D4857" t="inlineStr">
        <is>
          <t>VÄSTERNORRLANDS LÄN</t>
        </is>
      </c>
      <c r="E4857" t="inlineStr">
        <is>
          <t>SUNDSVALL</t>
        </is>
      </c>
      <c r="F4857" t="inlineStr">
        <is>
          <t>SCA</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15103-2022</t>
        </is>
      </c>
      <c r="B4858" s="1" t="n">
        <v>44658</v>
      </c>
      <c r="C4858" s="1" t="n">
        <v>45212</v>
      </c>
      <c r="D4858" t="inlineStr">
        <is>
          <t>VÄSTERNORRLANDS LÄN</t>
        </is>
      </c>
      <c r="E4858" t="inlineStr">
        <is>
          <t>ÖRNSKÖLDSVIK</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15492-2022</t>
        </is>
      </c>
      <c r="B4859" s="1" t="n">
        <v>44662</v>
      </c>
      <c r="C4859" s="1" t="n">
        <v>45212</v>
      </c>
      <c r="D4859" t="inlineStr">
        <is>
          <t>VÄSTERNORRLANDS LÄN</t>
        </is>
      </c>
      <c r="E4859" t="inlineStr">
        <is>
          <t>SUNDSVALL</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15598-2022</t>
        </is>
      </c>
      <c r="B4860" s="1" t="n">
        <v>44662</v>
      </c>
      <c r="C4860" s="1" t="n">
        <v>45212</v>
      </c>
      <c r="D4860" t="inlineStr">
        <is>
          <t>VÄSTERNORRLANDS LÄN</t>
        </is>
      </c>
      <c r="E4860" t="inlineStr">
        <is>
          <t>SUNDSVALL</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15599-2022</t>
        </is>
      </c>
      <c r="B4861" s="1" t="n">
        <v>44662</v>
      </c>
      <c r="C4861" s="1" t="n">
        <v>45212</v>
      </c>
      <c r="D4861" t="inlineStr">
        <is>
          <t>VÄSTERNORRLANDS LÄN</t>
        </is>
      </c>
      <c r="E4861" t="inlineStr">
        <is>
          <t>SUNDSVALL</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15692-2022</t>
        </is>
      </c>
      <c r="B4862" s="1" t="n">
        <v>44663</v>
      </c>
      <c r="C4862" s="1" t="n">
        <v>45212</v>
      </c>
      <c r="D4862" t="inlineStr">
        <is>
          <t>VÄSTERNORRLANDS LÄN</t>
        </is>
      </c>
      <c r="E4862" t="inlineStr">
        <is>
          <t>ÖRNSKÖLDSVIK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15746-2022</t>
        </is>
      </c>
      <c r="B4863" s="1" t="n">
        <v>44663</v>
      </c>
      <c r="C4863" s="1" t="n">
        <v>45212</v>
      </c>
      <c r="D4863" t="inlineStr">
        <is>
          <t>VÄSTERNORRLANDS LÄN</t>
        </is>
      </c>
      <c r="E4863" t="inlineStr">
        <is>
          <t>HÄRNÖSAND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15809-2022</t>
        </is>
      </c>
      <c r="B4864" s="1" t="n">
        <v>44663</v>
      </c>
      <c r="C4864" s="1" t="n">
        <v>45212</v>
      </c>
      <c r="D4864" t="inlineStr">
        <is>
          <t>VÄSTERNORRLANDS LÄN</t>
        </is>
      </c>
      <c r="E4864" t="inlineStr">
        <is>
          <t>SOLLEFTEÅ</t>
        </is>
      </c>
      <c r="F4864" t="inlineStr">
        <is>
          <t>SCA</t>
        </is>
      </c>
      <c r="G4864" t="n">
        <v>16.3</v>
      </c>
      <c r="H4864" t="n">
        <v>0</v>
      </c>
      <c r="I4864" t="n">
        <v>0</v>
      </c>
      <c r="J4864" t="n">
        <v>0</v>
      </c>
      <c r="K4864" t="n">
        <v>0</v>
      </c>
      <c r="L4864" t="n">
        <v>0</v>
      </c>
      <c r="M4864" t="n">
        <v>0</v>
      </c>
      <c r="N4864" t="n">
        <v>0</v>
      </c>
      <c r="O4864" t="n">
        <v>0</v>
      </c>
      <c r="P4864" t="n">
        <v>0</v>
      </c>
      <c r="Q4864" t="n">
        <v>0</v>
      </c>
      <c r="R4864" s="2" t="inlineStr"/>
    </row>
    <row r="4865" ht="15" customHeight="1">
      <c r="A4865" t="inlineStr">
        <is>
          <t>A 15702-2022</t>
        </is>
      </c>
      <c r="B4865" s="1" t="n">
        <v>44663</v>
      </c>
      <c r="C4865" s="1" t="n">
        <v>45212</v>
      </c>
      <c r="D4865" t="inlineStr">
        <is>
          <t>VÄSTERNORRLANDS LÄN</t>
        </is>
      </c>
      <c r="E4865" t="inlineStr">
        <is>
          <t>ÖRNSKÖLDSVIK</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15712-2022</t>
        </is>
      </c>
      <c r="B4866" s="1" t="n">
        <v>44663</v>
      </c>
      <c r="C4866" s="1" t="n">
        <v>45212</v>
      </c>
      <c r="D4866" t="inlineStr">
        <is>
          <t>VÄSTERNORRLANDS LÄN</t>
        </is>
      </c>
      <c r="E4866" t="inlineStr">
        <is>
          <t>SUNDSVALL</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15718-2022</t>
        </is>
      </c>
      <c r="B4867" s="1" t="n">
        <v>44663</v>
      </c>
      <c r="C4867" s="1" t="n">
        <v>45212</v>
      </c>
      <c r="D4867" t="inlineStr">
        <is>
          <t>VÄSTERNORRLANDS LÄN</t>
        </is>
      </c>
      <c r="E4867" t="inlineStr">
        <is>
          <t>HÄRNÖSAND</t>
        </is>
      </c>
      <c r="G4867" t="n">
        <v>5.4</v>
      </c>
      <c r="H4867" t="n">
        <v>0</v>
      </c>
      <c r="I4867" t="n">
        <v>0</v>
      </c>
      <c r="J4867" t="n">
        <v>0</v>
      </c>
      <c r="K4867" t="n">
        <v>0</v>
      </c>
      <c r="L4867" t="n">
        <v>0</v>
      </c>
      <c r="M4867" t="n">
        <v>0</v>
      </c>
      <c r="N4867" t="n">
        <v>0</v>
      </c>
      <c r="O4867" t="n">
        <v>0</v>
      </c>
      <c r="P4867" t="n">
        <v>0</v>
      </c>
      <c r="Q4867" t="n">
        <v>0</v>
      </c>
      <c r="R4867" s="2" t="inlineStr"/>
    </row>
    <row r="4868" ht="15" customHeight="1">
      <c r="A4868" t="inlineStr">
        <is>
          <t>A 15698-2022</t>
        </is>
      </c>
      <c r="B4868" s="1" t="n">
        <v>44663</v>
      </c>
      <c r="C4868" s="1" t="n">
        <v>45212</v>
      </c>
      <c r="D4868" t="inlineStr">
        <is>
          <t>VÄSTERNORRLANDS LÄN</t>
        </is>
      </c>
      <c r="E4868" t="inlineStr">
        <is>
          <t>SUNDSVALL</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15855-2022</t>
        </is>
      </c>
      <c r="B4869" s="1" t="n">
        <v>44664</v>
      </c>
      <c r="C4869" s="1" t="n">
        <v>45212</v>
      </c>
      <c r="D4869" t="inlineStr">
        <is>
          <t>VÄSTERNORRLANDS LÄN</t>
        </is>
      </c>
      <c r="E4869" t="inlineStr">
        <is>
          <t>HÄRNÖSAND</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15895-2022</t>
        </is>
      </c>
      <c r="B4870" s="1" t="n">
        <v>44664</v>
      </c>
      <c r="C4870" s="1" t="n">
        <v>45212</v>
      </c>
      <c r="D4870" t="inlineStr">
        <is>
          <t>VÄSTERNORRLANDS LÄN</t>
        </is>
      </c>
      <c r="E4870" t="inlineStr">
        <is>
          <t>HÄRNÖSAND</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15849-2022</t>
        </is>
      </c>
      <c r="B4871" s="1" t="n">
        <v>44664</v>
      </c>
      <c r="C4871" s="1" t="n">
        <v>45212</v>
      </c>
      <c r="D4871" t="inlineStr">
        <is>
          <t>VÄSTERNORRLANDS LÄN</t>
        </is>
      </c>
      <c r="E4871" t="inlineStr">
        <is>
          <t>HÄRNÖSAND</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15844-2022</t>
        </is>
      </c>
      <c r="B4872" s="1" t="n">
        <v>44664</v>
      </c>
      <c r="C4872" s="1" t="n">
        <v>45212</v>
      </c>
      <c r="D4872" t="inlineStr">
        <is>
          <t>VÄSTERNORRLANDS LÄN</t>
        </is>
      </c>
      <c r="E4872" t="inlineStr">
        <is>
          <t>HÄRNÖSAND</t>
        </is>
      </c>
      <c r="G4872" t="n">
        <v>4</v>
      </c>
      <c r="H4872" t="n">
        <v>0</v>
      </c>
      <c r="I4872" t="n">
        <v>0</v>
      </c>
      <c r="J4872" t="n">
        <v>0</v>
      </c>
      <c r="K4872" t="n">
        <v>0</v>
      </c>
      <c r="L4872" t="n">
        <v>0</v>
      </c>
      <c r="M4872" t="n">
        <v>0</v>
      </c>
      <c r="N4872" t="n">
        <v>0</v>
      </c>
      <c r="O4872" t="n">
        <v>0</v>
      </c>
      <c r="P4872" t="n">
        <v>0</v>
      </c>
      <c r="Q4872" t="n">
        <v>0</v>
      </c>
      <c r="R4872" s="2" t="inlineStr"/>
    </row>
    <row r="4873" ht="15" customHeight="1">
      <c r="A4873" t="inlineStr">
        <is>
          <t>A 15863-2022</t>
        </is>
      </c>
      <c r="B4873" s="1" t="n">
        <v>44664</v>
      </c>
      <c r="C4873" s="1" t="n">
        <v>45212</v>
      </c>
      <c r="D4873" t="inlineStr">
        <is>
          <t>VÄSTERNORRLANDS LÄN</t>
        </is>
      </c>
      <c r="E4873" t="inlineStr">
        <is>
          <t>ÅNGE</t>
        </is>
      </c>
      <c r="G4873" t="n">
        <v>3.6</v>
      </c>
      <c r="H4873" t="n">
        <v>0</v>
      </c>
      <c r="I4873" t="n">
        <v>0</v>
      </c>
      <c r="J4873" t="n">
        <v>0</v>
      </c>
      <c r="K4873" t="n">
        <v>0</v>
      </c>
      <c r="L4873" t="n">
        <v>0</v>
      </c>
      <c r="M4873" t="n">
        <v>0</v>
      </c>
      <c r="N4873" t="n">
        <v>0</v>
      </c>
      <c r="O4873" t="n">
        <v>0</v>
      </c>
      <c r="P4873" t="n">
        <v>0</v>
      </c>
      <c r="Q4873" t="n">
        <v>0</v>
      </c>
      <c r="R4873" s="2" t="inlineStr"/>
    </row>
    <row r="4874" ht="15" customHeight="1">
      <c r="A4874" t="inlineStr">
        <is>
          <t>A 16000-2022</t>
        </is>
      </c>
      <c r="B4874" s="1" t="n">
        <v>44665</v>
      </c>
      <c r="C4874" s="1" t="n">
        <v>45212</v>
      </c>
      <c r="D4874" t="inlineStr">
        <is>
          <t>VÄSTERNORRLANDS LÄN</t>
        </is>
      </c>
      <c r="E4874" t="inlineStr">
        <is>
          <t>SOLLEFTEÅ</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16053-2022</t>
        </is>
      </c>
      <c r="B4875" s="1" t="n">
        <v>44665</v>
      </c>
      <c r="C4875" s="1" t="n">
        <v>45212</v>
      </c>
      <c r="D4875" t="inlineStr">
        <is>
          <t>VÄSTERNORRLANDS LÄN</t>
        </is>
      </c>
      <c r="E4875" t="inlineStr">
        <is>
          <t>ÅNGE</t>
        </is>
      </c>
      <c r="G4875" t="n">
        <v>3.8</v>
      </c>
      <c r="H4875" t="n">
        <v>0</v>
      </c>
      <c r="I4875" t="n">
        <v>0</v>
      </c>
      <c r="J4875" t="n">
        <v>0</v>
      </c>
      <c r="K4875" t="n">
        <v>0</v>
      </c>
      <c r="L4875" t="n">
        <v>0</v>
      </c>
      <c r="M4875" t="n">
        <v>0</v>
      </c>
      <c r="N4875" t="n">
        <v>0</v>
      </c>
      <c r="O4875" t="n">
        <v>0</v>
      </c>
      <c r="P4875" t="n">
        <v>0</v>
      </c>
      <c r="Q4875" t="n">
        <v>0</v>
      </c>
      <c r="R4875" s="2" t="inlineStr"/>
    </row>
    <row r="4876" ht="15" customHeight="1">
      <c r="A4876" t="inlineStr">
        <is>
          <t>A 16060-2022</t>
        </is>
      </c>
      <c r="B4876" s="1" t="n">
        <v>44665</v>
      </c>
      <c r="C4876" s="1" t="n">
        <v>45212</v>
      </c>
      <c r="D4876" t="inlineStr">
        <is>
          <t>VÄSTERNORRLANDS LÄN</t>
        </is>
      </c>
      <c r="E4876" t="inlineStr">
        <is>
          <t>ÖRNSKÖLDSVIK</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16088-2022</t>
        </is>
      </c>
      <c r="B4877" s="1" t="n">
        <v>44665</v>
      </c>
      <c r="C4877" s="1" t="n">
        <v>45212</v>
      </c>
      <c r="D4877" t="inlineStr">
        <is>
          <t>VÄSTERNORRLANDS LÄN</t>
        </is>
      </c>
      <c r="E4877" t="inlineStr">
        <is>
          <t>SOLLEFTEÅ</t>
        </is>
      </c>
      <c r="F4877" t="inlineStr">
        <is>
          <t>Holmen skog AB</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16093-2022</t>
        </is>
      </c>
      <c r="B4878" s="1" t="n">
        <v>44665</v>
      </c>
      <c r="C4878" s="1" t="n">
        <v>45212</v>
      </c>
      <c r="D4878" t="inlineStr">
        <is>
          <t>VÄSTERNORRLANDS LÄN</t>
        </is>
      </c>
      <c r="E4878" t="inlineStr">
        <is>
          <t>SOLLEFTEÅ</t>
        </is>
      </c>
      <c r="F4878" t="inlineStr">
        <is>
          <t>Holmen skog AB</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16147-2022</t>
        </is>
      </c>
      <c r="B4879" s="1" t="n">
        <v>44665</v>
      </c>
      <c r="C4879" s="1" t="n">
        <v>45212</v>
      </c>
      <c r="D4879" t="inlineStr">
        <is>
          <t>VÄSTERNORRLANDS LÄN</t>
        </is>
      </c>
      <c r="E4879" t="inlineStr">
        <is>
          <t>SUNDSVALL</t>
        </is>
      </c>
      <c r="F4879" t="inlineStr">
        <is>
          <t>SCA</t>
        </is>
      </c>
      <c r="G4879" t="n">
        <v>8.800000000000001</v>
      </c>
      <c r="H4879" t="n">
        <v>0</v>
      </c>
      <c r="I4879" t="n">
        <v>0</v>
      </c>
      <c r="J4879" t="n">
        <v>0</v>
      </c>
      <c r="K4879" t="n">
        <v>0</v>
      </c>
      <c r="L4879" t="n">
        <v>0</v>
      </c>
      <c r="M4879" t="n">
        <v>0</v>
      </c>
      <c r="N4879" t="n">
        <v>0</v>
      </c>
      <c r="O4879" t="n">
        <v>0</v>
      </c>
      <c r="P4879" t="n">
        <v>0</v>
      </c>
      <c r="Q4879" t="n">
        <v>0</v>
      </c>
      <c r="R4879" s="2" t="inlineStr"/>
    </row>
    <row r="4880" ht="15" customHeight="1">
      <c r="A4880" t="inlineStr">
        <is>
          <t>A 16087-2022</t>
        </is>
      </c>
      <c r="B4880" s="1" t="n">
        <v>44665</v>
      </c>
      <c r="C4880" s="1" t="n">
        <v>45212</v>
      </c>
      <c r="D4880" t="inlineStr">
        <is>
          <t>VÄSTERNORRLANDS LÄN</t>
        </is>
      </c>
      <c r="E4880" t="inlineStr">
        <is>
          <t>SOLLEFTEÅ</t>
        </is>
      </c>
      <c r="F4880" t="inlineStr">
        <is>
          <t>Holmen skog AB</t>
        </is>
      </c>
      <c r="G4880" t="n">
        <v>7.5</v>
      </c>
      <c r="H4880" t="n">
        <v>0</v>
      </c>
      <c r="I4880" t="n">
        <v>0</v>
      </c>
      <c r="J4880" t="n">
        <v>0</v>
      </c>
      <c r="K4880" t="n">
        <v>0</v>
      </c>
      <c r="L4880" t="n">
        <v>0</v>
      </c>
      <c r="M4880" t="n">
        <v>0</v>
      </c>
      <c r="N4880" t="n">
        <v>0</v>
      </c>
      <c r="O4880" t="n">
        <v>0</v>
      </c>
      <c r="P4880" t="n">
        <v>0</v>
      </c>
      <c r="Q4880" t="n">
        <v>0</v>
      </c>
      <c r="R4880" s="2" t="inlineStr"/>
    </row>
    <row r="4881" ht="15" customHeight="1">
      <c r="A4881" t="inlineStr">
        <is>
          <t>A 16038-2022</t>
        </is>
      </c>
      <c r="B4881" s="1" t="n">
        <v>44665</v>
      </c>
      <c r="C4881" s="1" t="n">
        <v>45212</v>
      </c>
      <c r="D4881" t="inlineStr">
        <is>
          <t>VÄSTERNORRLANDS LÄN</t>
        </is>
      </c>
      <c r="E4881" t="inlineStr">
        <is>
          <t>ÅNGE</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16083-2022</t>
        </is>
      </c>
      <c r="B4882" s="1" t="n">
        <v>44665</v>
      </c>
      <c r="C4882" s="1" t="n">
        <v>45212</v>
      </c>
      <c r="D4882" t="inlineStr">
        <is>
          <t>VÄSTERNORRLANDS LÄN</t>
        </is>
      </c>
      <c r="E4882" t="inlineStr">
        <is>
          <t>SOLLEFTEÅ</t>
        </is>
      </c>
      <c r="F4882" t="inlineStr">
        <is>
          <t>Holmen skog AB</t>
        </is>
      </c>
      <c r="G4882" t="n">
        <v>6.8</v>
      </c>
      <c r="H4882" t="n">
        <v>0</v>
      </c>
      <c r="I4882" t="n">
        <v>0</v>
      </c>
      <c r="J4882" t="n">
        <v>0</v>
      </c>
      <c r="K4882" t="n">
        <v>0</v>
      </c>
      <c r="L4882" t="n">
        <v>0</v>
      </c>
      <c r="M4882" t="n">
        <v>0</v>
      </c>
      <c r="N4882" t="n">
        <v>0</v>
      </c>
      <c r="O4882" t="n">
        <v>0</v>
      </c>
      <c r="P4882" t="n">
        <v>0</v>
      </c>
      <c r="Q4882" t="n">
        <v>0</v>
      </c>
      <c r="R4882" s="2" t="inlineStr"/>
    </row>
    <row r="4883" ht="15" customHeight="1">
      <c r="A4883" t="inlineStr">
        <is>
          <t>A 16211-2022</t>
        </is>
      </c>
      <c r="B4883" s="1" t="n">
        <v>44670</v>
      </c>
      <c r="C4883" s="1" t="n">
        <v>45212</v>
      </c>
      <c r="D4883" t="inlineStr">
        <is>
          <t>VÄSTERNORRLANDS LÄN</t>
        </is>
      </c>
      <c r="E4883" t="inlineStr">
        <is>
          <t>ÖRNSKÖLDSVIK</t>
        </is>
      </c>
      <c r="F4883" t="inlineStr">
        <is>
          <t>Holmen skog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16249-2022</t>
        </is>
      </c>
      <c r="B4884" s="1" t="n">
        <v>44670</v>
      </c>
      <c r="C4884" s="1" t="n">
        <v>45212</v>
      </c>
      <c r="D4884" t="inlineStr">
        <is>
          <t>VÄSTERNORRLANDS LÄN</t>
        </is>
      </c>
      <c r="E4884" t="inlineStr">
        <is>
          <t>ÖRNSKÖLDSVIK</t>
        </is>
      </c>
      <c r="F4884" t="inlineStr">
        <is>
          <t>Holmen skog AB</t>
        </is>
      </c>
      <c r="G4884" t="n">
        <v>5</v>
      </c>
      <c r="H4884" t="n">
        <v>0</v>
      </c>
      <c r="I4884" t="n">
        <v>0</v>
      </c>
      <c r="J4884" t="n">
        <v>0</v>
      </c>
      <c r="K4884" t="n">
        <v>0</v>
      </c>
      <c r="L4884" t="n">
        <v>0</v>
      </c>
      <c r="M4884" t="n">
        <v>0</v>
      </c>
      <c r="N4884" t="n">
        <v>0</v>
      </c>
      <c r="O4884" t="n">
        <v>0</v>
      </c>
      <c r="P4884" t="n">
        <v>0</v>
      </c>
      <c r="Q4884" t="n">
        <v>0</v>
      </c>
      <c r="R4884" s="2" t="inlineStr"/>
    </row>
    <row r="4885" ht="15" customHeight="1">
      <c r="A4885" t="inlineStr">
        <is>
          <t>A 16336-2022</t>
        </is>
      </c>
      <c r="B4885" s="1" t="n">
        <v>44670</v>
      </c>
      <c r="C4885" s="1" t="n">
        <v>45212</v>
      </c>
      <c r="D4885" t="inlineStr">
        <is>
          <t>VÄSTERNORRLANDS LÄN</t>
        </is>
      </c>
      <c r="E4885" t="inlineStr">
        <is>
          <t>ÖRNSKÖLDSVIK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16209-2022</t>
        </is>
      </c>
      <c r="B4886" s="1" t="n">
        <v>44670</v>
      </c>
      <c r="C4886" s="1" t="n">
        <v>45212</v>
      </c>
      <c r="D4886" t="inlineStr">
        <is>
          <t>VÄSTERNORRLANDS LÄN</t>
        </is>
      </c>
      <c r="E4886" t="inlineStr">
        <is>
          <t>ÖRNSKÖLDSVIK</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16428-2022</t>
        </is>
      </c>
      <c r="B4887" s="1" t="n">
        <v>44671</v>
      </c>
      <c r="C4887" s="1" t="n">
        <v>45212</v>
      </c>
      <c r="D4887" t="inlineStr">
        <is>
          <t>VÄSTERNORRLANDS LÄN</t>
        </is>
      </c>
      <c r="E4887" t="inlineStr">
        <is>
          <t>HÄRNÖSAND</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16521-2022</t>
        </is>
      </c>
      <c r="B4888" s="1" t="n">
        <v>44671</v>
      </c>
      <c r="C4888" s="1" t="n">
        <v>45212</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16477-2022</t>
        </is>
      </c>
      <c r="B4889" s="1" t="n">
        <v>44671</v>
      </c>
      <c r="C4889" s="1" t="n">
        <v>45212</v>
      </c>
      <c r="D4889" t="inlineStr">
        <is>
          <t>VÄSTERNORRLANDS LÄN</t>
        </is>
      </c>
      <c r="E4889" t="inlineStr">
        <is>
          <t>ÖRNSKÖLDSVIK</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16419-2022</t>
        </is>
      </c>
      <c r="B4890" s="1" t="n">
        <v>44671</v>
      </c>
      <c r="C4890" s="1" t="n">
        <v>45212</v>
      </c>
      <c r="D4890" t="inlineStr">
        <is>
          <t>VÄSTERNORRLANDS LÄN</t>
        </is>
      </c>
      <c r="E4890" t="inlineStr">
        <is>
          <t>SOLLEFTEÅ</t>
        </is>
      </c>
      <c r="F4890" t="inlineStr">
        <is>
          <t>Kommuner</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16616-2022</t>
        </is>
      </c>
      <c r="B4891" s="1" t="n">
        <v>44672</v>
      </c>
      <c r="C4891" s="1" t="n">
        <v>45212</v>
      </c>
      <c r="D4891" t="inlineStr">
        <is>
          <t>VÄSTERNORRLANDS LÄN</t>
        </is>
      </c>
      <c r="E4891" t="inlineStr">
        <is>
          <t>HÄRNÖSAND</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16558-2022</t>
        </is>
      </c>
      <c r="B4892" s="1" t="n">
        <v>44672</v>
      </c>
      <c r="C4892" s="1" t="n">
        <v>45212</v>
      </c>
      <c r="D4892" t="inlineStr">
        <is>
          <t>VÄSTERNORRLANDS LÄN</t>
        </is>
      </c>
      <c r="E4892" t="inlineStr">
        <is>
          <t>ÖRNSKÖLDSVIK</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16611-2022</t>
        </is>
      </c>
      <c r="B4893" s="1" t="n">
        <v>44672</v>
      </c>
      <c r="C4893" s="1" t="n">
        <v>45212</v>
      </c>
      <c r="D4893" t="inlineStr">
        <is>
          <t>VÄSTERNORRLANDS LÄN</t>
        </is>
      </c>
      <c r="E4893" t="inlineStr">
        <is>
          <t>SOLLEFTEÅ</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16675-2022</t>
        </is>
      </c>
      <c r="B4894" s="1" t="n">
        <v>44672</v>
      </c>
      <c r="C4894" s="1" t="n">
        <v>45212</v>
      </c>
      <c r="D4894" t="inlineStr">
        <is>
          <t>VÄSTERNORRLANDS LÄN</t>
        </is>
      </c>
      <c r="E4894" t="inlineStr">
        <is>
          <t>SOLLEFTEÅ</t>
        </is>
      </c>
      <c r="F4894" t="inlineStr">
        <is>
          <t>SCA</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16725-2022</t>
        </is>
      </c>
      <c r="B4895" s="1" t="n">
        <v>44673</v>
      </c>
      <c r="C4895" s="1" t="n">
        <v>45212</v>
      </c>
      <c r="D4895" t="inlineStr">
        <is>
          <t>VÄSTERNORRLANDS LÄN</t>
        </is>
      </c>
      <c r="E4895" t="inlineStr">
        <is>
          <t>ÖRNSKÖLDSVIK</t>
        </is>
      </c>
      <c r="F4895" t="inlineStr">
        <is>
          <t>Holmen skog AB</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16974-2022</t>
        </is>
      </c>
      <c r="B4896" s="1" t="n">
        <v>44676</v>
      </c>
      <c r="C4896" s="1" t="n">
        <v>45212</v>
      </c>
      <c r="D4896" t="inlineStr">
        <is>
          <t>VÄSTERNORRLANDS LÄN</t>
        </is>
      </c>
      <c r="E4896" t="inlineStr">
        <is>
          <t>HÄRNÖSAND</t>
        </is>
      </c>
      <c r="G4896" t="n">
        <v>3.4</v>
      </c>
      <c r="H4896" t="n">
        <v>0</v>
      </c>
      <c r="I4896" t="n">
        <v>0</v>
      </c>
      <c r="J4896" t="n">
        <v>0</v>
      </c>
      <c r="K4896" t="n">
        <v>0</v>
      </c>
      <c r="L4896" t="n">
        <v>0</v>
      </c>
      <c r="M4896" t="n">
        <v>0</v>
      </c>
      <c r="N4896" t="n">
        <v>0</v>
      </c>
      <c r="O4896" t="n">
        <v>0</v>
      </c>
      <c r="P4896" t="n">
        <v>0</v>
      </c>
      <c r="Q4896" t="n">
        <v>0</v>
      </c>
      <c r="R4896" s="2" t="inlineStr"/>
    </row>
    <row r="4897" ht="15" customHeight="1">
      <c r="A4897" t="inlineStr">
        <is>
          <t>A 17045-2022</t>
        </is>
      </c>
      <c r="B4897" s="1" t="n">
        <v>44676</v>
      </c>
      <c r="C4897" s="1" t="n">
        <v>45212</v>
      </c>
      <c r="D4897" t="inlineStr">
        <is>
          <t>VÄSTERNORRLANDS LÄN</t>
        </is>
      </c>
      <c r="E4897" t="inlineStr">
        <is>
          <t>SOLLEFTEÅ</t>
        </is>
      </c>
      <c r="F4897" t="inlineStr">
        <is>
          <t>SCA</t>
        </is>
      </c>
      <c r="G4897" t="n">
        <v>3.6</v>
      </c>
      <c r="H4897" t="n">
        <v>0</v>
      </c>
      <c r="I4897" t="n">
        <v>0</v>
      </c>
      <c r="J4897" t="n">
        <v>0</v>
      </c>
      <c r="K4897" t="n">
        <v>0</v>
      </c>
      <c r="L4897" t="n">
        <v>0</v>
      </c>
      <c r="M4897" t="n">
        <v>0</v>
      </c>
      <c r="N4897" t="n">
        <v>0</v>
      </c>
      <c r="O4897" t="n">
        <v>0</v>
      </c>
      <c r="P4897" t="n">
        <v>0</v>
      </c>
      <c r="Q4897" t="n">
        <v>0</v>
      </c>
      <c r="R4897" s="2" t="inlineStr"/>
    </row>
    <row r="4898" ht="15" customHeight="1">
      <c r="A4898" t="inlineStr">
        <is>
          <t>A 16979-2022</t>
        </is>
      </c>
      <c r="B4898" s="1" t="n">
        <v>44676</v>
      </c>
      <c r="C4898" s="1" t="n">
        <v>45212</v>
      </c>
      <c r="D4898" t="inlineStr">
        <is>
          <t>VÄSTERNORRLANDS LÄN</t>
        </is>
      </c>
      <c r="E4898" t="inlineStr">
        <is>
          <t>HÄRNÖSAND</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17044-2022</t>
        </is>
      </c>
      <c r="B4899" s="1" t="n">
        <v>44676</v>
      </c>
      <c r="C4899" s="1" t="n">
        <v>45212</v>
      </c>
      <c r="D4899" t="inlineStr">
        <is>
          <t>VÄSTERNORRLANDS LÄN</t>
        </is>
      </c>
      <c r="E4899" t="inlineStr">
        <is>
          <t>ÅNGE</t>
        </is>
      </c>
      <c r="F4899" t="inlineStr">
        <is>
          <t>Övriga Aktiebolag</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17059-2022</t>
        </is>
      </c>
      <c r="B4900" s="1" t="n">
        <v>44676</v>
      </c>
      <c r="C4900" s="1" t="n">
        <v>45212</v>
      </c>
      <c r="D4900" t="inlineStr">
        <is>
          <t>VÄSTERNORRLANDS LÄN</t>
        </is>
      </c>
      <c r="E4900" t="inlineStr">
        <is>
          <t>SUNDSVALL</t>
        </is>
      </c>
      <c r="F4900" t="inlineStr">
        <is>
          <t>SCA</t>
        </is>
      </c>
      <c r="G4900" t="n">
        <v>1.9</v>
      </c>
      <c r="H4900" t="n">
        <v>0</v>
      </c>
      <c r="I4900" t="n">
        <v>0</v>
      </c>
      <c r="J4900" t="n">
        <v>0</v>
      </c>
      <c r="K4900" t="n">
        <v>0</v>
      </c>
      <c r="L4900" t="n">
        <v>0</v>
      </c>
      <c r="M4900" t="n">
        <v>0</v>
      </c>
      <c r="N4900" t="n">
        <v>0</v>
      </c>
      <c r="O4900" t="n">
        <v>0</v>
      </c>
      <c r="P4900" t="n">
        <v>0</v>
      </c>
      <c r="Q4900" t="n">
        <v>0</v>
      </c>
      <c r="R4900" s="2" t="inlineStr"/>
    </row>
    <row r="4901" ht="15" customHeight="1">
      <c r="A4901" t="inlineStr">
        <is>
          <t>A 17040-2022</t>
        </is>
      </c>
      <c r="B4901" s="1" t="n">
        <v>44676</v>
      </c>
      <c r="C4901" s="1" t="n">
        <v>45212</v>
      </c>
      <c r="D4901" t="inlineStr">
        <is>
          <t>VÄSTERNORRLANDS LÄN</t>
        </is>
      </c>
      <c r="E4901" t="inlineStr">
        <is>
          <t>TIMRÅ</t>
        </is>
      </c>
      <c r="G4901" t="n">
        <v>3.5</v>
      </c>
      <c r="H4901" t="n">
        <v>0</v>
      </c>
      <c r="I4901" t="n">
        <v>0</v>
      </c>
      <c r="J4901" t="n">
        <v>0</v>
      </c>
      <c r="K4901" t="n">
        <v>0</v>
      </c>
      <c r="L4901" t="n">
        <v>0</v>
      </c>
      <c r="M4901" t="n">
        <v>0</v>
      </c>
      <c r="N4901" t="n">
        <v>0</v>
      </c>
      <c r="O4901" t="n">
        <v>0</v>
      </c>
      <c r="P4901" t="n">
        <v>0</v>
      </c>
      <c r="Q4901" t="n">
        <v>0</v>
      </c>
      <c r="R4901" s="2" t="inlineStr"/>
    </row>
    <row r="4902" ht="15" customHeight="1">
      <c r="A4902" t="inlineStr">
        <is>
          <t>A 17049-2022</t>
        </is>
      </c>
      <c r="B4902" s="1" t="n">
        <v>44676</v>
      </c>
      <c r="C4902" s="1" t="n">
        <v>45212</v>
      </c>
      <c r="D4902" t="inlineStr">
        <is>
          <t>VÄSTERNORRLANDS LÄN</t>
        </is>
      </c>
      <c r="E4902" t="inlineStr">
        <is>
          <t>SOLLEFTEÅ</t>
        </is>
      </c>
      <c r="F4902" t="inlineStr">
        <is>
          <t>SCA</t>
        </is>
      </c>
      <c r="G4902" t="n">
        <v>2.6</v>
      </c>
      <c r="H4902" t="n">
        <v>0</v>
      </c>
      <c r="I4902" t="n">
        <v>0</v>
      </c>
      <c r="J4902" t="n">
        <v>0</v>
      </c>
      <c r="K4902" t="n">
        <v>0</v>
      </c>
      <c r="L4902" t="n">
        <v>0</v>
      </c>
      <c r="M4902" t="n">
        <v>0</v>
      </c>
      <c r="N4902" t="n">
        <v>0</v>
      </c>
      <c r="O4902" t="n">
        <v>0</v>
      </c>
      <c r="P4902" t="n">
        <v>0</v>
      </c>
      <c r="Q4902" t="n">
        <v>0</v>
      </c>
      <c r="R4902" s="2" t="inlineStr"/>
      <c r="U4902">
        <f>HYPERLINK("https://klasma.github.io/Logging_2283/knärot/A 17049-2022 knärot.png", "A 17049-2022")</f>
        <v/>
      </c>
      <c r="V4902">
        <f>HYPERLINK("https://klasma.github.io/Logging_2283/klagomål/A 17049-2022 klagomål.docx", "A 17049-2022")</f>
        <v/>
      </c>
      <c r="W4902">
        <f>HYPERLINK("https://klasma.github.io/Logging_2283/klagomålsmail/A 17049-2022 klagomålsmail.docx", "A 17049-2022")</f>
        <v/>
      </c>
      <c r="X4902">
        <f>HYPERLINK("https://klasma.github.io/Logging_2283/tillsyn/A 17049-2022 tillsyn.docx", "A 17049-2022")</f>
        <v/>
      </c>
      <c r="Y4902">
        <f>HYPERLINK("https://klasma.github.io/Logging_2283/tillsynsmail/A 17049-2022 tillsynsmail.docx", "A 17049-2022")</f>
        <v/>
      </c>
    </row>
    <row r="4903" ht="15" customHeight="1">
      <c r="A4903" t="inlineStr">
        <is>
          <t>A 17167-2022</t>
        </is>
      </c>
      <c r="B4903" s="1" t="n">
        <v>44677</v>
      </c>
      <c r="C4903" s="1" t="n">
        <v>45212</v>
      </c>
      <c r="D4903" t="inlineStr">
        <is>
          <t>VÄSTERNORRLANDS LÄN</t>
        </is>
      </c>
      <c r="E4903" t="inlineStr">
        <is>
          <t>ÖRNSKÖLDSVIK</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17211-2022</t>
        </is>
      </c>
      <c r="B4904" s="1" t="n">
        <v>44677</v>
      </c>
      <c r="C4904" s="1" t="n">
        <v>45212</v>
      </c>
      <c r="D4904" t="inlineStr">
        <is>
          <t>VÄSTERNORRLANDS LÄN</t>
        </is>
      </c>
      <c r="E4904" t="inlineStr">
        <is>
          <t>SUNDSVALL</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17219-2022</t>
        </is>
      </c>
      <c r="B4905" s="1" t="n">
        <v>44677</v>
      </c>
      <c r="C4905" s="1" t="n">
        <v>45212</v>
      </c>
      <c r="D4905" t="inlineStr">
        <is>
          <t>VÄSTERNORRLANDS LÄN</t>
        </is>
      </c>
      <c r="E4905" t="inlineStr">
        <is>
          <t>ÖRNSKÖLDSVIK</t>
        </is>
      </c>
      <c r="F4905" t="inlineStr">
        <is>
          <t>SCA</t>
        </is>
      </c>
      <c r="G4905" t="n">
        <v>8.6</v>
      </c>
      <c r="H4905" t="n">
        <v>0</v>
      </c>
      <c r="I4905" t="n">
        <v>0</v>
      </c>
      <c r="J4905" t="n">
        <v>0</v>
      </c>
      <c r="K4905" t="n">
        <v>0</v>
      </c>
      <c r="L4905" t="n">
        <v>0</v>
      </c>
      <c r="M4905" t="n">
        <v>0</v>
      </c>
      <c r="N4905" t="n">
        <v>0</v>
      </c>
      <c r="O4905" t="n">
        <v>0</v>
      </c>
      <c r="P4905" t="n">
        <v>0</v>
      </c>
      <c r="Q4905" t="n">
        <v>0</v>
      </c>
      <c r="R4905" s="2" t="inlineStr"/>
    </row>
    <row r="4906" ht="15" customHeight="1">
      <c r="A4906" t="inlineStr">
        <is>
          <t>A 17357-2022</t>
        </is>
      </c>
      <c r="B4906" s="1" t="n">
        <v>44678</v>
      </c>
      <c r="C4906" s="1" t="n">
        <v>45212</v>
      </c>
      <c r="D4906" t="inlineStr">
        <is>
          <t>VÄSTERNORRLANDS LÄN</t>
        </is>
      </c>
      <c r="E4906" t="inlineStr">
        <is>
          <t>ÖRNSKÖLDSVIK</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17242-2022</t>
        </is>
      </c>
      <c r="B4907" s="1" t="n">
        <v>44679</v>
      </c>
      <c r="C4907" s="1" t="n">
        <v>45212</v>
      </c>
      <c r="D4907" t="inlineStr">
        <is>
          <t>VÄSTERNORRLANDS LÄN</t>
        </is>
      </c>
      <c r="E4907" t="inlineStr">
        <is>
          <t>ÅNGE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17585-2022</t>
        </is>
      </c>
      <c r="B4908" s="1" t="n">
        <v>44679</v>
      </c>
      <c r="C4908" s="1" t="n">
        <v>45212</v>
      </c>
      <c r="D4908" t="inlineStr">
        <is>
          <t>VÄSTERNORRLANDS LÄN</t>
        </is>
      </c>
      <c r="E4908" t="inlineStr">
        <is>
          <t>SUNDSVALL</t>
        </is>
      </c>
      <c r="F4908" t="inlineStr">
        <is>
          <t>SCA</t>
        </is>
      </c>
      <c r="G4908" t="n">
        <v>4.1</v>
      </c>
      <c r="H4908" t="n">
        <v>0</v>
      </c>
      <c r="I4908" t="n">
        <v>0</v>
      </c>
      <c r="J4908" t="n">
        <v>0</v>
      </c>
      <c r="K4908" t="n">
        <v>0</v>
      </c>
      <c r="L4908" t="n">
        <v>0</v>
      </c>
      <c r="M4908" t="n">
        <v>0</v>
      </c>
      <c r="N4908" t="n">
        <v>0</v>
      </c>
      <c r="O4908" t="n">
        <v>0</v>
      </c>
      <c r="P4908" t="n">
        <v>0</v>
      </c>
      <c r="Q4908" t="n">
        <v>0</v>
      </c>
      <c r="R4908" s="2" t="inlineStr"/>
    </row>
    <row r="4909" ht="15" customHeight="1">
      <c r="A4909" t="inlineStr">
        <is>
          <t>A 17603-2022</t>
        </is>
      </c>
      <c r="B4909" s="1" t="n">
        <v>44679</v>
      </c>
      <c r="C4909" s="1" t="n">
        <v>45212</v>
      </c>
      <c r="D4909" t="inlineStr">
        <is>
          <t>VÄSTERNORRLANDS LÄN</t>
        </is>
      </c>
      <c r="E4909" t="inlineStr">
        <is>
          <t>HÄRNÖSAND</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17579-2022</t>
        </is>
      </c>
      <c r="B4910" s="1" t="n">
        <v>44679</v>
      </c>
      <c r="C4910" s="1" t="n">
        <v>45212</v>
      </c>
      <c r="D4910" t="inlineStr">
        <is>
          <t>VÄSTERNORRLANDS LÄN</t>
        </is>
      </c>
      <c r="E4910" t="inlineStr">
        <is>
          <t>SUNDSVALL</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17580-2022</t>
        </is>
      </c>
      <c r="B4911" s="1" t="n">
        <v>44679</v>
      </c>
      <c r="C4911" s="1" t="n">
        <v>45212</v>
      </c>
      <c r="D4911" t="inlineStr">
        <is>
          <t>VÄSTERNORRLANDS LÄN</t>
        </is>
      </c>
      <c r="E4911" t="inlineStr">
        <is>
          <t>ÅNGE</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17589-2022</t>
        </is>
      </c>
      <c r="B4912" s="1" t="n">
        <v>44679</v>
      </c>
      <c r="C4912" s="1" t="n">
        <v>45212</v>
      </c>
      <c r="D4912" t="inlineStr">
        <is>
          <t>VÄSTERNORRLANDS LÄN</t>
        </is>
      </c>
      <c r="E4912" t="inlineStr">
        <is>
          <t>ÖRNSKÖLDSVIK</t>
        </is>
      </c>
      <c r="F4912" t="inlineStr">
        <is>
          <t>SCA</t>
        </is>
      </c>
      <c r="G4912" t="n">
        <v>6.1</v>
      </c>
      <c r="H4912" t="n">
        <v>0</v>
      </c>
      <c r="I4912" t="n">
        <v>0</v>
      </c>
      <c r="J4912" t="n">
        <v>0</v>
      </c>
      <c r="K4912" t="n">
        <v>0</v>
      </c>
      <c r="L4912" t="n">
        <v>0</v>
      </c>
      <c r="M4912" t="n">
        <v>0</v>
      </c>
      <c r="N4912" t="n">
        <v>0</v>
      </c>
      <c r="O4912" t="n">
        <v>0</v>
      </c>
      <c r="P4912" t="n">
        <v>0</v>
      </c>
      <c r="Q4912" t="n">
        <v>0</v>
      </c>
      <c r="R4912" s="2" t="inlineStr"/>
    </row>
    <row r="4913" ht="15" customHeight="1">
      <c r="A4913" t="inlineStr">
        <is>
          <t>A 17739-2022</t>
        </is>
      </c>
      <c r="B4913" s="1" t="n">
        <v>44680</v>
      </c>
      <c r="C4913" s="1" t="n">
        <v>45212</v>
      </c>
      <c r="D4913" t="inlineStr">
        <is>
          <t>VÄSTERNORRLANDS LÄN</t>
        </is>
      </c>
      <c r="E4913" t="inlineStr">
        <is>
          <t>ÖRNSKÖLDSVIK</t>
        </is>
      </c>
      <c r="F4913" t="inlineStr">
        <is>
          <t>SCA</t>
        </is>
      </c>
      <c r="G4913" t="n">
        <v>6.2</v>
      </c>
      <c r="H4913" t="n">
        <v>0</v>
      </c>
      <c r="I4913" t="n">
        <v>0</v>
      </c>
      <c r="J4913" t="n">
        <v>0</v>
      </c>
      <c r="K4913" t="n">
        <v>0</v>
      </c>
      <c r="L4913" t="n">
        <v>0</v>
      </c>
      <c r="M4913" t="n">
        <v>0</v>
      </c>
      <c r="N4913" t="n">
        <v>0</v>
      </c>
      <c r="O4913" t="n">
        <v>0</v>
      </c>
      <c r="P4913" t="n">
        <v>0</v>
      </c>
      <c r="Q4913" t="n">
        <v>0</v>
      </c>
      <c r="R4913" s="2" t="inlineStr"/>
    </row>
    <row r="4914" ht="15" customHeight="1">
      <c r="A4914" t="inlineStr">
        <is>
          <t>A 17781-2022</t>
        </is>
      </c>
      <c r="B4914" s="1" t="n">
        <v>44682</v>
      </c>
      <c r="C4914" s="1" t="n">
        <v>45212</v>
      </c>
      <c r="D4914" t="inlineStr">
        <is>
          <t>VÄSTERNORRLANDS LÄN</t>
        </is>
      </c>
      <c r="E4914" t="inlineStr">
        <is>
          <t>ÖRNSKÖLDSVIK</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17778-2022</t>
        </is>
      </c>
      <c r="B4915" s="1" t="n">
        <v>44682</v>
      </c>
      <c r="C4915" s="1" t="n">
        <v>45212</v>
      </c>
      <c r="D4915" t="inlineStr">
        <is>
          <t>VÄSTERNORRLANDS LÄN</t>
        </is>
      </c>
      <c r="E4915" t="inlineStr">
        <is>
          <t>ÖRNSKÖLDSVIK</t>
        </is>
      </c>
      <c r="G4915" t="n">
        <v>15.6</v>
      </c>
      <c r="H4915" t="n">
        <v>0</v>
      </c>
      <c r="I4915" t="n">
        <v>0</v>
      </c>
      <c r="J4915" t="n">
        <v>0</v>
      </c>
      <c r="K4915" t="n">
        <v>0</v>
      </c>
      <c r="L4915" t="n">
        <v>0</v>
      </c>
      <c r="M4915" t="n">
        <v>0</v>
      </c>
      <c r="N4915" t="n">
        <v>0</v>
      </c>
      <c r="O4915" t="n">
        <v>0</v>
      </c>
      <c r="P4915" t="n">
        <v>0</v>
      </c>
      <c r="Q4915" t="n">
        <v>0</v>
      </c>
      <c r="R4915" s="2" t="inlineStr"/>
    </row>
    <row r="4916" ht="15" customHeight="1">
      <c r="A4916" t="inlineStr">
        <is>
          <t>A 17963-2022</t>
        </is>
      </c>
      <c r="B4916" s="1" t="n">
        <v>44683</v>
      </c>
      <c r="C4916" s="1" t="n">
        <v>45212</v>
      </c>
      <c r="D4916" t="inlineStr">
        <is>
          <t>VÄSTERNORRLANDS LÄN</t>
        </is>
      </c>
      <c r="E4916" t="inlineStr">
        <is>
          <t>ÅNGE</t>
        </is>
      </c>
      <c r="G4916" t="n">
        <v>0.2</v>
      </c>
      <c r="H4916" t="n">
        <v>0</v>
      </c>
      <c r="I4916" t="n">
        <v>0</v>
      </c>
      <c r="J4916" t="n">
        <v>0</v>
      </c>
      <c r="K4916" t="n">
        <v>0</v>
      </c>
      <c r="L4916" t="n">
        <v>0</v>
      </c>
      <c r="M4916" t="n">
        <v>0</v>
      </c>
      <c r="N4916" t="n">
        <v>0</v>
      </c>
      <c r="O4916" t="n">
        <v>0</v>
      </c>
      <c r="P4916" t="n">
        <v>0</v>
      </c>
      <c r="Q4916" t="n">
        <v>0</v>
      </c>
      <c r="R4916" s="2" t="inlineStr"/>
    </row>
    <row r="4917" ht="15" customHeight="1">
      <c r="A4917" t="inlineStr">
        <is>
          <t>A 17993-2022</t>
        </is>
      </c>
      <c r="B4917" s="1" t="n">
        <v>44683</v>
      </c>
      <c r="C4917" s="1" t="n">
        <v>45212</v>
      </c>
      <c r="D4917" t="inlineStr">
        <is>
          <t>VÄSTERNORRLANDS LÄN</t>
        </is>
      </c>
      <c r="E4917" t="inlineStr">
        <is>
          <t>SUNDSVALL</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18021-2022</t>
        </is>
      </c>
      <c r="B4918" s="1" t="n">
        <v>44683</v>
      </c>
      <c r="C4918" s="1" t="n">
        <v>45212</v>
      </c>
      <c r="D4918" t="inlineStr">
        <is>
          <t>VÄSTERNORRLANDS LÄN</t>
        </is>
      </c>
      <c r="E4918" t="inlineStr">
        <is>
          <t>ÖRNSKÖLDSVIK</t>
        </is>
      </c>
      <c r="F4918" t="inlineStr">
        <is>
          <t>SCA</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17874-2022</t>
        </is>
      </c>
      <c r="B4919" s="1" t="n">
        <v>44683</v>
      </c>
      <c r="C4919" s="1" t="n">
        <v>45212</v>
      </c>
      <c r="D4919" t="inlineStr">
        <is>
          <t>VÄSTERNORRLANDS LÄN</t>
        </is>
      </c>
      <c r="E4919" t="inlineStr">
        <is>
          <t>ÖRNSKÖLDSVIK</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17940-2022</t>
        </is>
      </c>
      <c r="B4920" s="1" t="n">
        <v>44683</v>
      </c>
      <c r="C4920" s="1" t="n">
        <v>45212</v>
      </c>
      <c r="D4920" t="inlineStr">
        <is>
          <t>VÄSTERNORRLANDS LÄN</t>
        </is>
      </c>
      <c r="E4920" t="inlineStr">
        <is>
          <t>ÖRNSKÖLDSVIK</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17999-2022</t>
        </is>
      </c>
      <c r="B4921" s="1" t="n">
        <v>44683</v>
      </c>
      <c r="C4921" s="1" t="n">
        <v>45212</v>
      </c>
      <c r="D4921" t="inlineStr">
        <is>
          <t>VÄSTERNORRLANDS LÄN</t>
        </is>
      </c>
      <c r="E4921" t="inlineStr">
        <is>
          <t>SOLLEFTEÅ</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18017-2022</t>
        </is>
      </c>
      <c r="B4922" s="1" t="n">
        <v>44683</v>
      </c>
      <c r="C4922" s="1" t="n">
        <v>45212</v>
      </c>
      <c r="D4922" t="inlineStr">
        <is>
          <t>VÄSTERNORRLANDS LÄN</t>
        </is>
      </c>
      <c r="E4922" t="inlineStr">
        <is>
          <t>SOLLEFTEÅ</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18011-2022</t>
        </is>
      </c>
      <c r="B4923" s="1" t="n">
        <v>44683</v>
      </c>
      <c r="C4923" s="1" t="n">
        <v>45212</v>
      </c>
      <c r="D4923" t="inlineStr">
        <is>
          <t>VÄSTERNORRLANDS LÄN</t>
        </is>
      </c>
      <c r="E4923" t="inlineStr">
        <is>
          <t>SOLLEFTEÅ</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18023-2022</t>
        </is>
      </c>
      <c r="B4924" s="1" t="n">
        <v>44683</v>
      </c>
      <c r="C4924" s="1" t="n">
        <v>45212</v>
      </c>
      <c r="D4924" t="inlineStr">
        <is>
          <t>VÄSTERNORRLANDS LÄN</t>
        </is>
      </c>
      <c r="E4924" t="inlineStr">
        <is>
          <t>ÖRNSKÖLDSVIK</t>
        </is>
      </c>
      <c r="F4924" t="inlineStr">
        <is>
          <t>SCA</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18197-2022</t>
        </is>
      </c>
      <c r="B4925" s="1" t="n">
        <v>44684</v>
      </c>
      <c r="C4925" s="1" t="n">
        <v>45212</v>
      </c>
      <c r="D4925" t="inlineStr">
        <is>
          <t>VÄSTERNORRLANDS LÄN</t>
        </is>
      </c>
      <c r="E4925" t="inlineStr">
        <is>
          <t>SOLLEFTEÅ</t>
        </is>
      </c>
      <c r="F4925" t="inlineStr">
        <is>
          <t>SCA</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18202-2022</t>
        </is>
      </c>
      <c r="B4926" s="1" t="n">
        <v>44684</v>
      </c>
      <c r="C4926" s="1" t="n">
        <v>45212</v>
      </c>
      <c r="D4926" t="inlineStr">
        <is>
          <t>VÄSTERNORRLANDS LÄN</t>
        </is>
      </c>
      <c r="E4926" t="inlineStr">
        <is>
          <t>SOLLEFTEÅ</t>
        </is>
      </c>
      <c r="F4926" t="inlineStr">
        <is>
          <t>SCA</t>
        </is>
      </c>
      <c r="G4926" t="n">
        <v>3</v>
      </c>
      <c r="H4926" t="n">
        <v>0</v>
      </c>
      <c r="I4926" t="n">
        <v>0</v>
      </c>
      <c r="J4926" t="n">
        <v>0</v>
      </c>
      <c r="K4926" t="n">
        <v>0</v>
      </c>
      <c r="L4926" t="n">
        <v>0</v>
      </c>
      <c r="M4926" t="n">
        <v>0</v>
      </c>
      <c r="N4926" t="n">
        <v>0</v>
      </c>
      <c r="O4926" t="n">
        <v>0</v>
      </c>
      <c r="P4926" t="n">
        <v>0</v>
      </c>
      <c r="Q4926" t="n">
        <v>0</v>
      </c>
      <c r="R4926" s="2" t="inlineStr"/>
    </row>
    <row r="4927" ht="15" customHeight="1">
      <c r="A4927" t="inlineStr">
        <is>
          <t>A 18074-2022</t>
        </is>
      </c>
      <c r="B4927" s="1" t="n">
        <v>44684</v>
      </c>
      <c r="C4927" s="1" t="n">
        <v>45212</v>
      </c>
      <c r="D4927" t="inlineStr">
        <is>
          <t>VÄSTERNORRLANDS LÄN</t>
        </is>
      </c>
      <c r="E4927" t="inlineStr">
        <is>
          <t>ÖRNSKÖLDSVIK</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18187-2022</t>
        </is>
      </c>
      <c r="B4928" s="1" t="n">
        <v>44684</v>
      </c>
      <c r="C4928" s="1" t="n">
        <v>45212</v>
      </c>
      <c r="D4928" t="inlineStr">
        <is>
          <t>VÄSTERNORRLANDS LÄN</t>
        </is>
      </c>
      <c r="E4928" t="inlineStr">
        <is>
          <t>SOLLEFTEÅ</t>
        </is>
      </c>
      <c r="F4928" t="inlineStr">
        <is>
          <t>SCA</t>
        </is>
      </c>
      <c r="G4928" t="n">
        <v>2.9</v>
      </c>
      <c r="H4928" t="n">
        <v>0</v>
      </c>
      <c r="I4928" t="n">
        <v>0</v>
      </c>
      <c r="J4928" t="n">
        <v>0</v>
      </c>
      <c r="K4928" t="n">
        <v>0</v>
      </c>
      <c r="L4928" t="n">
        <v>0</v>
      </c>
      <c r="M4928" t="n">
        <v>0</v>
      </c>
      <c r="N4928" t="n">
        <v>0</v>
      </c>
      <c r="O4928" t="n">
        <v>0</v>
      </c>
      <c r="P4928" t="n">
        <v>0</v>
      </c>
      <c r="Q4928" t="n">
        <v>0</v>
      </c>
      <c r="R4928" s="2" t="inlineStr"/>
    </row>
    <row r="4929" ht="15" customHeight="1">
      <c r="A4929" t="inlineStr">
        <is>
          <t>A 18075-2022</t>
        </is>
      </c>
      <c r="B4929" s="1" t="n">
        <v>44684</v>
      </c>
      <c r="C4929" s="1" t="n">
        <v>45212</v>
      </c>
      <c r="D4929" t="inlineStr">
        <is>
          <t>VÄSTERNORRLANDS LÄN</t>
        </is>
      </c>
      <c r="E4929" t="inlineStr">
        <is>
          <t>ÖRNSKÖLDSVIK</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18194-2022</t>
        </is>
      </c>
      <c r="B4930" s="1" t="n">
        <v>44684</v>
      </c>
      <c r="C4930" s="1" t="n">
        <v>45212</v>
      </c>
      <c r="D4930" t="inlineStr">
        <is>
          <t>VÄSTERNORRLANDS LÄN</t>
        </is>
      </c>
      <c r="E4930" t="inlineStr">
        <is>
          <t>HÄRNÖSAND</t>
        </is>
      </c>
      <c r="F4930" t="inlineStr">
        <is>
          <t>SCA</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18207-2022</t>
        </is>
      </c>
      <c r="B4931" s="1" t="n">
        <v>44684</v>
      </c>
      <c r="C4931" s="1" t="n">
        <v>45212</v>
      </c>
      <c r="D4931" t="inlineStr">
        <is>
          <t>VÄSTERNORRLANDS LÄN</t>
        </is>
      </c>
      <c r="E4931" t="inlineStr">
        <is>
          <t>SUNDSVALL</t>
        </is>
      </c>
      <c r="F4931" t="inlineStr">
        <is>
          <t>SCA</t>
        </is>
      </c>
      <c r="G4931" t="n">
        <v>2.3</v>
      </c>
      <c r="H4931" t="n">
        <v>0</v>
      </c>
      <c r="I4931" t="n">
        <v>0</v>
      </c>
      <c r="J4931" t="n">
        <v>0</v>
      </c>
      <c r="K4931" t="n">
        <v>0</v>
      </c>
      <c r="L4931" t="n">
        <v>0</v>
      </c>
      <c r="M4931" t="n">
        <v>0</v>
      </c>
      <c r="N4931" t="n">
        <v>0</v>
      </c>
      <c r="O4931" t="n">
        <v>0</v>
      </c>
      <c r="P4931" t="n">
        <v>0</v>
      </c>
      <c r="Q4931" t="n">
        <v>0</v>
      </c>
      <c r="R4931" s="2" t="inlineStr"/>
    </row>
    <row r="4932" ht="15" customHeight="1">
      <c r="A4932" t="inlineStr">
        <is>
          <t>A 18266-2022</t>
        </is>
      </c>
      <c r="B4932" s="1" t="n">
        <v>44685</v>
      </c>
      <c r="C4932" s="1" t="n">
        <v>45212</v>
      </c>
      <c r="D4932" t="inlineStr">
        <is>
          <t>VÄSTERNORRLANDS LÄN</t>
        </is>
      </c>
      <c r="E4932" t="inlineStr">
        <is>
          <t>HÄRNÖSAND</t>
        </is>
      </c>
      <c r="G4932" t="n">
        <v>1</v>
      </c>
      <c r="H4932" t="n">
        <v>0</v>
      </c>
      <c r="I4932" t="n">
        <v>0</v>
      </c>
      <c r="J4932" t="n">
        <v>0</v>
      </c>
      <c r="K4932" t="n">
        <v>0</v>
      </c>
      <c r="L4932" t="n">
        <v>0</v>
      </c>
      <c r="M4932" t="n">
        <v>0</v>
      </c>
      <c r="N4932" t="n">
        <v>0</v>
      </c>
      <c r="O4932" t="n">
        <v>0</v>
      </c>
      <c r="P4932" t="n">
        <v>0</v>
      </c>
      <c r="Q4932" t="n">
        <v>0</v>
      </c>
      <c r="R4932" s="2" t="inlineStr"/>
    </row>
    <row r="4933" ht="15" customHeight="1">
      <c r="A4933" t="inlineStr">
        <is>
          <t>A 18304-2022</t>
        </is>
      </c>
      <c r="B4933" s="1" t="n">
        <v>44685</v>
      </c>
      <c r="C4933" s="1" t="n">
        <v>45212</v>
      </c>
      <c r="D4933" t="inlineStr">
        <is>
          <t>VÄSTERNORRLANDS LÄN</t>
        </is>
      </c>
      <c r="E4933" t="inlineStr">
        <is>
          <t>SOLLEFTEÅ</t>
        </is>
      </c>
      <c r="G4933" t="n">
        <v>3.4</v>
      </c>
      <c r="H4933" t="n">
        <v>0</v>
      </c>
      <c r="I4933" t="n">
        <v>0</v>
      </c>
      <c r="J4933" t="n">
        <v>0</v>
      </c>
      <c r="K4933" t="n">
        <v>0</v>
      </c>
      <c r="L4933" t="n">
        <v>0</v>
      </c>
      <c r="M4933" t="n">
        <v>0</v>
      </c>
      <c r="N4933" t="n">
        <v>0</v>
      </c>
      <c r="O4933" t="n">
        <v>0</v>
      </c>
      <c r="P4933" t="n">
        <v>0</v>
      </c>
      <c r="Q4933" t="n">
        <v>0</v>
      </c>
      <c r="R4933" s="2" t="inlineStr"/>
    </row>
    <row r="4934" ht="15" customHeight="1">
      <c r="A4934" t="inlineStr">
        <is>
          <t>A 18372-2022</t>
        </is>
      </c>
      <c r="B4934" s="1" t="n">
        <v>44685</v>
      </c>
      <c r="C4934" s="1" t="n">
        <v>45212</v>
      </c>
      <c r="D4934" t="inlineStr">
        <is>
          <t>VÄSTERNORRLANDS LÄN</t>
        </is>
      </c>
      <c r="E4934" t="inlineStr">
        <is>
          <t>SOLLEFTEÅ</t>
        </is>
      </c>
      <c r="F4934" t="inlineStr">
        <is>
          <t>SCA</t>
        </is>
      </c>
      <c r="G4934" t="n">
        <v>11.9</v>
      </c>
      <c r="H4934" t="n">
        <v>0</v>
      </c>
      <c r="I4934" t="n">
        <v>0</v>
      </c>
      <c r="J4934" t="n">
        <v>0</v>
      </c>
      <c r="K4934" t="n">
        <v>0</v>
      </c>
      <c r="L4934" t="n">
        <v>0</v>
      </c>
      <c r="M4934" t="n">
        <v>0</v>
      </c>
      <c r="N4934" t="n">
        <v>0</v>
      </c>
      <c r="O4934" t="n">
        <v>0</v>
      </c>
      <c r="P4934" t="n">
        <v>0</v>
      </c>
      <c r="Q4934" t="n">
        <v>0</v>
      </c>
      <c r="R4934" s="2" t="inlineStr"/>
    </row>
    <row r="4935" ht="15" customHeight="1">
      <c r="A4935" t="inlineStr">
        <is>
          <t>A 18455-2022</t>
        </is>
      </c>
      <c r="B4935" s="1" t="n">
        <v>44686</v>
      </c>
      <c r="C4935" s="1" t="n">
        <v>45212</v>
      </c>
      <c r="D4935" t="inlineStr">
        <is>
          <t>VÄSTERNORRLANDS LÄN</t>
        </is>
      </c>
      <c r="E4935" t="inlineStr">
        <is>
          <t>SUNDSVALL</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18544-2022</t>
        </is>
      </c>
      <c r="B4936" s="1" t="n">
        <v>44686</v>
      </c>
      <c r="C4936" s="1" t="n">
        <v>45212</v>
      </c>
      <c r="D4936" t="inlineStr">
        <is>
          <t>VÄSTERNORRLANDS LÄN</t>
        </is>
      </c>
      <c r="E4936" t="inlineStr">
        <is>
          <t>ÅNGE</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18542-2022</t>
        </is>
      </c>
      <c r="B4937" s="1" t="n">
        <v>44686</v>
      </c>
      <c r="C4937" s="1" t="n">
        <v>45212</v>
      </c>
      <c r="D4937" t="inlineStr">
        <is>
          <t>VÄSTERNORRLANDS LÄN</t>
        </is>
      </c>
      <c r="E4937" t="inlineStr">
        <is>
          <t>ÅNGE</t>
        </is>
      </c>
      <c r="G4937" t="n">
        <v>0.2</v>
      </c>
      <c r="H4937" t="n">
        <v>0</v>
      </c>
      <c r="I4937" t="n">
        <v>0</v>
      </c>
      <c r="J4937" t="n">
        <v>0</v>
      </c>
      <c r="K4937" t="n">
        <v>0</v>
      </c>
      <c r="L4937" t="n">
        <v>0</v>
      </c>
      <c r="M4937" t="n">
        <v>0</v>
      </c>
      <c r="N4937" t="n">
        <v>0</v>
      </c>
      <c r="O4937" t="n">
        <v>0</v>
      </c>
      <c r="P4937" t="n">
        <v>0</v>
      </c>
      <c r="Q4937" t="n">
        <v>0</v>
      </c>
      <c r="R4937" s="2" t="inlineStr"/>
    </row>
    <row r="4938" ht="15" customHeight="1">
      <c r="A4938" t="inlineStr">
        <is>
          <t>A 18452-2022</t>
        </is>
      </c>
      <c r="B4938" s="1" t="n">
        <v>44686</v>
      </c>
      <c r="C4938" s="1" t="n">
        <v>45212</v>
      </c>
      <c r="D4938" t="inlineStr">
        <is>
          <t>VÄSTERNORRLANDS LÄN</t>
        </is>
      </c>
      <c r="E4938" t="inlineStr">
        <is>
          <t>SUNDSVALL</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18562-2022</t>
        </is>
      </c>
      <c r="B4939" s="1" t="n">
        <v>44686</v>
      </c>
      <c r="C4939" s="1" t="n">
        <v>45212</v>
      </c>
      <c r="D4939" t="inlineStr">
        <is>
          <t>VÄSTERNORRLANDS LÄN</t>
        </is>
      </c>
      <c r="E4939" t="inlineStr">
        <is>
          <t>ÅNGE</t>
        </is>
      </c>
      <c r="F4939" t="inlineStr">
        <is>
          <t>SCA</t>
        </is>
      </c>
      <c r="G4939" t="n">
        <v>4.5</v>
      </c>
      <c r="H4939" t="n">
        <v>0</v>
      </c>
      <c r="I4939" t="n">
        <v>0</v>
      </c>
      <c r="J4939" t="n">
        <v>0</v>
      </c>
      <c r="K4939" t="n">
        <v>0</v>
      </c>
      <c r="L4939" t="n">
        <v>0</v>
      </c>
      <c r="M4939" t="n">
        <v>0</v>
      </c>
      <c r="N4939" t="n">
        <v>0</v>
      </c>
      <c r="O4939" t="n">
        <v>0</v>
      </c>
      <c r="P4939" t="n">
        <v>0</v>
      </c>
      <c r="Q4939" t="n">
        <v>0</v>
      </c>
      <c r="R4939" s="2" t="inlineStr"/>
    </row>
    <row r="4940" ht="15" customHeight="1">
      <c r="A4940" t="inlineStr">
        <is>
          <t>A 18422-2022</t>
        </is>
      </c>
      <c r="B4940" s="1" t="n">
        <v>44687</v>
      </c>
      <c r="C4940" s="1" t="n">
        <v>45212</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18659-2022</t>
        </is>
      </c>
      <c r="B4941" s="1" t="n">
        <v>44687</v>
      </c>
      <c r="C4941" s="1" t="n">
        <v>45212</v>
      </c>
      <c r="D4941" t="inlineStr">
        <is>
          <t>VÄSTERNORRLANDS LÄN</t>
        </is>
      </c>
      <c r="E4941" t="inlineStr">
        <is>
          <t>ÖRNSKÖLDSVIK</t>
        </is>
      </c>
      <c r="G4941" t="n">
        <v>2.9</v>
      </c>
      <c r="H4941" t="n">
        <v>0</v>
      </c>
      <c r="I4941" t="n">
        <v>0</v>
      </c>
      <c r="J4941" t="n">
        <v>0</v>
      </c>
      <c r="K4941" t="n">
        <v>0</v>
      </c>
      <c r="L4941" t="n">
        <v>0</v>
      </c>
      <c r="M4941" t="n">
        <v>0</v>
      </c>
      <c r="N4941" t="n">
        <v>0</v>
      </c>
      <c r="O4941" t="n">
        <v>0</v>
      </c>
      <c r="P4941" t="n">
        <v>0</v>
      </c>
      <c r="Q4941" t="n">
        <v>0</v>
      </c>
      <c r="R4941" s="2" t="inlineStr"/>
    </row>
    <row r="4942" ht="15" customHeight="1">
      <c r="A4942" t="inlineStr">
        <is>
          <t>A 18722-2022</t>
        </is>
      </c>
      <c r="B4942" s="1" t="n">
        <v>44687</v>
      </c>
      <c r="C4942" s="1" t="n">
        <v>45212</v>
      </c>
      <c r="D4942" t="inlineStr">
        <is>
          <t>VÄSTERNORRLANDS LÄN</t>
        </is>
      </c>
      <c r="E4942" t="inlineStr">
        <is>
          <t>ÖRNSKÖLDSVIK</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18612-2022</t>
        </is>
      </c>
      <c r="B4943" s="1" t="n">
        <v>44687</v>
      </c>
      <c r="C4943" s="1" t="n">
        <v>45212</v>
      </c>
      <c r="D4943" t="inlineStr">
        <is>
          <t>VÄSTERNORRLANDS LÄN</t>
        </is>
      </c>
      <c r="E4943" t="inlineStr">
        <is>
          <t>KRAMFORS</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18764-2022</t>
        </is>
      </c>
      <c r="B4944" s="1" t="n">
        <v>44688</v>
      </c>
      <c r="C4944" s="1" t="n">
        <v>45212</v>
      </c>
      <c r="D4944" t="inlineStr">
        <is>
          <t>VÄSTERNORRLANDS LÄN</t>
        </is>
      </c>
      <c r="E4944" t="inlineStr">
        <is>
          <t>KRAMFORS</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18770-2022</t>
        </is>
      </c>
      <c r="B4945" s="1" t="n">
        <v>44689</v>
      </c>
      <c r="C4945" s="1" t="n">
        <v>45212</v>
      </c>
      <c r="D4945" t="inlineStr">
        <is>
          <t>VÄSTERNORRLANDS LÄN</t>
        </is>
      </c>
      <c r="E4945" t="inlineStr">
        <is>
          <t>ÖRNSKÖLDSVIK</t>
        </is>
      </c>
      <c r="G4945" t="n">
        <v>5.7</v>
      </c>
      <c r="H4945" t="n">
        <v>0</v>
      </c>
      <c r="I4945" t="n">
        <v>0</v>
      </c>
      <c r="J4945" t="n">
        <v>0</v>
      </c>
      <c r="K4945" t="n">
        <v>0</v>
      </c>
      <c r="L4945" t="n">
        <v>0</v>
      </c>
      <c r="M4945" t="n">
        <v>0</v>
      </c>
      <c r="N4945" t="n">
        <v>0</v>
      </c>
      <c r="O4945" t="n">
        <v>0</v>
      </c>
      <c r="P4945" t="n">
        <v>0</v>
      </c>
      <c r="Q4945" t="n">
        <v>0</v>
      </c>
      <c r="R4945" s="2" t="inlineStr"/>
    </row>
    <row r="4946" ht="15" customHeight="1">
      <c r="A4946" t="inlineStr">
        <is>
          <t>A 18852-2022</t>
        </is>
      </c>
      <c r="B4946" s="1" t="n">
        <v>44690</v>
      </c>
      <c r="C4946" s="1" t="n">
        <v>45212</v>
      </c>
      <c r="D4946" t="inlineStr">
        <is>
          <t>VÄSTERNORRLANDS LÄN</t>
        </is>
      </c>
      <c r="E4946" t="inlineStr">
        <is>
          <t>SOLLEFTEÅ</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18796-2022</t>
        </is>
      </c>
      <c r="B4947" s="1" t="n">
        <v>44690</v>
      </c>
      <c r="C4947" s="1" t="n">
        <v>45212</v>
      </c>
      <c r="D4947" t="inlineStr">
        <is>
          <t>VÄSTERNORRLANDS LÄN</t>
        </is>
      </c>
      <c r="E4947" t="inlineStr">
        <is>
          <t>KRAMFORS</t>
        </is>
      </c>
      <c r="G4947" t="n">
        <v>2.9</v>
      </c>
      <c r="H4947" t="n">
        <v>0</v>
      </c>
      <c r="I4947" t="n">
        <v>0</v>
      </c>
      <c r="J4947" t="n">
        <v>0</v>
      </c>
      <c r="K4947" t="n">
        <v>0</v>
      </c>
      <c r="L4947" t="n">
        <v>0</v>
      </c>
      <c r="M4947" t="n">
        <v>0</v>
      </c>
      <c r="N4947" t="n">
        <v>0</v>
      </c>
      <c r="O4947" t="n">
        <v>0</v>
      </c>
      <c r="P4947" t="n">
        <v>0</v>
      </c>
      <c r="Q4947" t="n">
        <v>0</v>
      </c>
      <c r="R4947" s="2" t="inlineStr"/>
    </row>
    <row r="4948" ht="15" customHeight="1">
      <c r="A4948" t="inlineStr">
        <is>
          <t>A 18838-2022</t>
        </is>
      </c>
      <c r="B4948" s="1" t="n">
        <v>44690</v>
      </c>
      <c r="C4948" s="1" t="n">
        <v>45212</v>
      </c>
      <c r="D4948" t="inlineStr">
        <is>
          <t>VÄSTERNORRLANDS LÄN</t>
        </is>
      </c>
      <c r="E4948" t="inlineStr">
        <is>
          <t>SUNDSVALL</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18867-2022</t>
        </is>
      </c>
      <c r="B4949" s="1" t="n">
        <v>44690</v>
      </c>
      <c r="C4949" s="1" t="n">
        <v>45212</v>
      </c>
      <c r="D4949" t="inlineStr">
        <is>
          <t>VÄSTERNORRLANDS LÄN</t>
        </is>
      </c>
      <c r="E4949" t="inlineStr">
        <is>
          <t>ÖRNSKÖLDSVIK</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18989-2022</t>
        </is>
      </c>
      <c r="B4950" s="1" t="n">
        <v>44690</v>
      </c>
      <c r="C4950" s="1" t="n">
        <v>45212</v>
      </c>
      <c r="D4950" t="inlineStr">
        <is>
          <t>VÄSTERNORRLANDS LÄN</t>
        </is>
      </c>
      <c r="E4950" t="inlineStr">
        <is>
          <t>ÅNGE</t>
        </is>
      </c>
      <c r="F4950" t="inlineStr">
        <is>
          <t>SCA</t>
        </is>
      </c>
      <c r="G4950" t="n">
        <v>37.8</v>
      </c>
      <c r="H4950" t="n">
        <v>0</v>
      </c>
      <c r="I4950" t="n">
        <v>0</v>
      </c>
      <c r="J4950" t="n">
        <v>0</v>
      </c>
      <c r="K4950" t="n">
        <v>0</v>
      </c>
      <c r="L4950" t="n">
        <v>0</v>
      </c>
      <c r="M4950" t="n">
        <v>0</v>
      </c>
      <c r="N4950" t="n">
        <v>0</v>
      </c>
      <c r="O4950" t="n">
        <v>0</v>
      </c>
      <c r="P4950" t="n">
        <v>0</v>
      </c>
      <c r="Q4950" t="n">
        <v>0</v>
      </c>
      <c r="R4950" s="2" t="inlineStr"/>
      <c r="U4950">
        <f>HYPERLINK("https://klasma.github.io/Logging_2260/knärot/A 18989-2022 knärot.png", "A 18989-2022")</f>
        <v/>
      </c>
      <c r="V4950">
        <f>HYPERLINK("https://klasma.github.io/Logging_2260/klagomål/A 18989-2022 klagomål.docx", "A 18989-2022")</f>
        <v/>
      </c>
      <c r="W4950">
        <f>HYPERLINK("https://klasma.github.io/Logging_2260/klagomålsmail/A 18989-2022 klagomålsmail.docx", "A 18989-2022")</f>
        <v/>
      </c>
      <c r="X4950">
        <f>HYPERLINK("https://klasma.github.io/Logging_2260/tillsyn/A 18989-2022 tillsyn.docx", "A 18989-2022")</f>
        <v/>
      </c>
      <c r="Y4950">
        <f>HYPERLINK("https://klasma.github.io/Logging_2260/tillsynsmail/A 18989-2022 tillsynsmail.docx", "A 18989-2022")</f>
        <v/>
      </c>
    </row>
    <row r="4951" ht="15" customHeight="1">
      <c r="A4951" t="inlineStr">
        <is>
          <t>A 19178-2022</t>
        </is>
      </c>
      <c r="B4951" s="1" t="n">
        <v>44691</v>
      </c>
      <c r="C4951" s="1" t="n">
        <v>45212</v>
      </c>
      <c r="D4951" t="inlineStr">
        <is>
          <t>VÄSTERNORRLANDS LÄN</t>
        </is>
      </c>
      <c r="E4951" t="inlineStr">
        <is>
          <t>SUNDSVALL</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19207-2022</t>
        </is>
      </c>
      <c r="B4952" s="1" t="n">
        <v>44691</v>
      </c>
      <c r="C4952" s="1" t="n">
        <v>45212</v>
      </c>
      <c r="D4952" t="inlineStr">
        <is>
          <t>VÄSTERNORRLANDS LÄN</t>
        </is>
      </c>
      <c r="E4952" t="inlineStr">
        <is>
          <t>HÄRNÖSAND</t>
        </is>
      </c>
      <c r="F4952" t="inlineStr">
        <is>
          <t>SCA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19035-2022</t>
        </is>
      </c>
      <c r="B4953" s="1" t="n">
        <v>44691</v>
      </c>
      <c r="C4953" s="1" t="n">
        <v>45212</v>
      </c>
      <c r="D4953" t="inlineStr">
        <is>
          <t>VÄSTERNORRLANDS LÄN</t>
        </is>
      </c>
      <c r="E4953" t="inlineStr">
        <is>
          <t>ÅNGE</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19166-2022</t>
        </is>
      </c>
      <c r="B4954" s="1" t="n">
        <v>44691</v>
      </c>
      <c r="C4954" s="1" t="n">
        <v>45212</v>
      </c>
      <c r="D4954" t="inlineStr">
        <is>
          <t>VÄSTERNORRLANDS LÄN</t>
        </is>
      </c>
      <c r="E4954" t="inlineStr">
        <is>
          <t>ÅNGE</t>
        </is>
      </c>
      <c r="F4954" t="inlineStr">
        <is>
          <t>Holmen skog AB</t>
        </is>
      </c>
      <c r="G4954" t="n">
        <v>5.4</v>
      </c>
      <c r="H4954" t="n">
        <v>0</v>
      </c>
      <c r="I4954" t="n">
        <v>0</v>
      </c>
      <c r="J4954" t="n">
        <v>0</v>
      </c>
      <c r="K4954" t="n">
        <v>0</v>
      </c>
      <c r="L4954" t="n">
        <v>0</v>
      </c>
      <c r="M4954" t="n">
        <v>0</v>
      </c>
      <c r="N4954" t="n">
        <v>0</v>
      </c>
      <c r="O4954" t="n">
        <v>0</v>
      </c>
      <c r="P4954" t="n">
        <v>0</v>
      </c>
      <c r="Q4954" t="n">
        <v>0</v>
      </c>
      <c r="R4954" s="2" t="inlineStr"/>
    </row>
    <row r="4955" ht="15" customHeight="1">
      <c r="A4955" t="inlineStr">
        <is>
          <t>A 19176-2022</t>
        </is>
      </c>
      <c r="B4955" s="1" t="n">
        <v>44691</v>
      </c>
      <c r="C4955" s="1" t="n">
        <v>45212</v>
      </c>
      <c r="D4955" t="inlineStr">
        <is>
          <t>VÄSTERNORRLANDS LÄN</t>
        </is>
      </c>
      <c r="E4955" t="inlineStr">
        <is>
          <t>SUNDSVALL</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19208-2022</t>
        </is>
      </c>
      <c r="B4956" s="1" t="n">
        <v>44691</v>
      </c>
      <c r="C4956" s="1" t="n">
        <v>45212</v>
      </c>
      <c r="D4956" t="inlineStr">
        <is>
          <t>VÄSTERNORRLANDS LÄN</t>
        </is>
      </c>
      <c r="E4956" t="inlineStr">
        <is>
          <t>SOLLEFTEÅ</t>
        </is>
      </c>
      <c r="F4956" t="inlineStr">
        <is>
          <t>SCA</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19236-2022</t>
        </is>
      </c>
      <c r="B4957" s="1" t="n">
        <v>44692</v>
      </c>
      <c r="C4957" s="1" t="n">
        <v>45212</v>
      </c>
      <c r="D4957" t="inlineStr">
        <is>
          <t>VÄSTERNORRLANDS LÄN</t>
        </is>
      </c>
      <c r="E4957" t="inlineStr">
        <is>
          <t>ÅNGE</t>
        </is>
      </c>
      <c r="F4957" t="inlineStr">
        <is>
          <t>Sveaskog</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19295-2022</t>
        </is>
      </c>
      <c r="B4958" s="1" t="n">
        <v>44692</v>
      </c>
      <c r="C4958" s="1" t="n">
        <v>45212</v>
      </c>
      <c r="D4958" t="inlineStr">
        <is>
          <t>VÄSTERNORRLANDS LÄN</t>
        </is>
      </c>
      <c r="E4958" t="inlineStr">
        <is>
          <t>SOLLEFTEÅ</t>
        </is>
      </c>
      <c r="G4958" t="n">
        <v>3.3</v>
      </c>
      <c r="H4958" t="n">
        <v>0</v>
      </c>
      <c r="I4958" t="n">
        <v>0</v>
      </c>
      <c r="J4958" t="n">
        <v>0</v>
      </c>
      <c r="K4958" t="n">
        <v>0</v>
      </c>
      <c r="L4958" t="n">
        <v>0</v>
      </c>
      <c r="M4958" t="n">
        <v>0</v>
      </c>
      <c r="N4958" t="n">
        <v>0</v>
      </c>
      <c r="O4958" t="n">
        <v>0</v>
      </c>
      <c r="P4958" t="n">
        <v>0</v>
      </c>
      <c r="Q4958" t="n">
        <v>0</v>
      </c>
      <c r="R4958" s="2" t="inlineStr"/>
    </row>
    <row r="4959" ht="15" customHeight="1">
      <c r="A4959" t="inlineStr">
        <is>
          <t>A 19414-2022</t>
        </is>
      </c>
      <c r="B4959" s="1" t="n">
        <v>44693</v>
      </c>
      <c r="C4959" s="1" t="n">
        <v>45212</v>
      </c>
      <c r="D4959" t="inlineStr">
        <is>
          <t>VÄSTERNORRLANDS LÄN</t>
        </is>
      </c>
      <c r="E4959" t="inlineStr">
        <is>
          <t>SOLLEFTEÅ</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19508-2022</t>
        </is>
      </c>
      <c r="B4960" s="1" t="n">
        <v>44693</v>
      </c>
      <c r="C4960" s="1" t="n">
        <v>45212</v>
      </c>
      <c r="D4960" t="inlineStr">
        <is>
          <t>VÄSTERNORRLANDS LÄN</t>
        </is>
      </c>
      <c r="E4960" t="inlineStr">
        <is>
          <t>SOLLEFTEÅ</t>
        </is>
      </c>
      <c r="G4960" t="n">
        <v>2.3</v>
      </c>
      <c r="H4960" t="n">
        <v>0</v>
      </c>
      <c r="I4960" t="n">
        <v>0</v>
      </c>
      <c r="J4960" t="n">
        <v>0</v>
      </c>
      <c r="K4960" t="n">
        <v>0</v>
      </c>
      <c r="L4960" t="n">
        <v>0</v>
      </c>
      <c r="M4960" t="n">
        <v>0</v>
      </c>
      <c r="N4960" t="n">
        <v>0</v>
      </c>
      <c r="O4960" t="n">
        <v>0</v>
      </c>
      <c r="P4960" t="n">
        <v>0</v>
      </c>
      <c r="Q4960" t="n">
        <v>0</v>
      </c>
      <c r="R4960" s="2" t="inlineStr"/>
    </row>
    <row r="4961" ht="15" customHeight="1">
      <c r="A4961" t="inlineStr">
        <is>
          <t>A 19585-2022</t>
        </is>
      </c>
      <c r="B4961" s="1" t="n">
        <v>44693</v>
      </c>
      <c r="C4961" s="1" t="n">
        <v>45212</v>
      </c>
      <c r="D4961" t="inlineStr">
        <is>
          <t>VÄSTERNORRLANDS LÄN</t>
        </is>
      </c>
      <c r="E4961" t="inlineStr">
        <is>
          <t>SOLLEFTEÅ</t>
        </is>
      </c>
      <c r="F4961" t="inlineStr">
        <is>
          <t>SCA</t>
        </is>
      </c>
      <c r="G4961" t="n">
        <v>5.8</v>
      </c>
      <c r="H4961" t="n">
        <v>0</v>
      </c>
      <c r="I4961" t="n">
        <v>0</v>
      </c>
      <c r="J4961" t="n">
        <v>0</v>
      </c>
      <c r="K4961" t="n">
        <v>0</v>
      </c>
      <c r="L4961" t="n">
        <v>0</v>
      </c>
      <c r="M4961" t="n">
        <v>0</v>
      </c>
      <c r="N4961" t="n">
        <v>0</v>
      </c>
      <c r="O4961" t="n">
        <v>0</v>
      </c>
      <c r="P4961" t="n">
        <v>0</v>
      </c>
      <c r="Q4961" t="n">
        <v>0</v>
      </c>
      <c r="R4961" s="2" t="inlineStr"/>
    </row>
    <row r="4962" ht="15" customHeight="1">
      <c r="A4962" t="inlineStr">
        <is>
          <t>A 19604-2022</t>
        </is>
      </c>
      <c r="B4962" s="1" t="n">
        <v>44693</v>
      </c>
      <c r="C4962" s="1" t="n">
        <v>45212</v>
      </c>
      <c r="D4962" t="inlineStr">
        <is>
          <t>VÄSTERNORRLANDS LÄN</t>
        </is>
      </c>
      <c r="E4962" t="inlineStr">
        <is>
          <t>HÄRNÖSAND</t>
        </is>
      </c>
      <c r="F4962" t="inlineStr">
        <is>
          <t>SCA</t>
        </is>
      </c>
      <c r="G4962" t="n">
        <v>2.5</v>
      </c>
      <c r="H4962" t="n">
        <v>0</v>
      </c>
      <c r="I4962" t="n">
        <v>0</v>
      </c>
      <c r="J4962" t="n">
        <v>0</v>
      </c>
      <c r="K4962" t="n">
        <v>0</v>
      </c>
      <c r="L4962" t="n">
        <v>0</v>
      </c>
      <c r="M4962" t="n">
        <v>0</v>
      </c>
      <c r="N4962" t="n">
        <v>0</v>
      </c>
      <c r="O4962" t="n">
        <v>0</v>
      </c>
      <c r="P4962" t="n">
        <v>0</v>
      </c>
      <c r="Q4962" t="n">
        <v>0</v>
      </c>
      <c r="R4962" s="2" t="inlineStr"/>
    </row>
    <row r="4963" ht="15" customHeight="1">
      <c r="A4963" t="inlineStr">
        <is>
          <t>A 19583-2022</t>
        </is>
      </c>
      <c r="B4963" s="1" t="n">
        <v>44693</v>
      </c>
      <c r="C4963" s="1" t="n">
        <v>45212</v>
      </c>
      <c r="D4963" t="inlineStr">
        <is>
          <t>VÄSTERNORRLANDS LÄN</t>
        </is>
      </c>
      <c r="E4963" t="inlineStr">
        <is>
          <t>SOLLEFTEÅ</t>
        </is>
      </c>
      <c r="F4963" t="inlineStr">
        <is>
          <t>SCA</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19416-2022</t>
        </is>
      </c>
      <c r="B4964" s="1" t="n">
        <v>44693</v>
      </c>
      <c r="C4964" s="1" t="n">
        <v>45212</v>
      </c>
      <c r="D4964" t="inlineStr">
        <is>
          <t>VÄSTERNORRLANDS LÄN</t>
        </is>
      </c>
      <c r="E4964" t="inlineStr">
        <is>
          <t>SOLLEFTEÅ</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19468-2022</t>
        </is>
      </c>
      <c r="B4965" s="1" t="n">
        <v>44693</v>
      </c>
      <c r="C4965" s="1" t="n">
        <v>45212</v>
      </c>
      <c r="D4965" t="inlineStr">
        <is>
          <t>VÄSTERNORRLANDS LÄN</t>
        </is>
      </c>
      <c r="E4965" t="inlineStr">
        <is>
          <t>SUNDSVALL</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19595-2022</t>
        </is>
      </c>
      <c r="B4966" s="1" t="n">
        <v>44693</v>
      </c>
      <c r="C4966" s="1" t="n">
        <v>45212</v>
      </c>
      <c r="D4966" t="inlineStr">
        <is>
          <t>VÄSTERNORRLANDS LÄN</t>
        </is>
      </c>
      <c r="E4966" t="inlineStr">
        <is>
          <t>SOLLEFTEÅ</t>
        </is>
      </c>
      <c r="F4966" t="inlineStr">
        <is>
          <t>SCA</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19682-2022</t>
        </is>
      </c>
      <c r="B4967" s="1" t="n">
        <v>44694</v>
      </c>
      <c r="C4967" s="1" t="n">
        <v>45212</v>
      </c>
      <c r="D4967" t="inlineStr">
        <is>
          <t>VÄSTERNORRLANDS LÄN</t>
        </is>
      </c>
      <c r="E4967" t="inlineStr">
        <is>
          <t>ÖRNSKÖLDSVIK</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19680-2022</t>
        </is>
      </c>
      <c r="B4968" s="1" t="n">
        <v>44694</v>
      </c>
      <c r="C4968" s="1" t="n">
        <v>45212</v>
      </c>
      <c r="D4968" t="inlineStr">
        <is>
          <t>VÄSTERNORRLANDS LÄN</t>
        </is>
      </c>
      <c r="E4968" t="inlineStr">
        <is>
          <t>ÖRNSKÖLDSVIK</t>
        </is>
      </c>
      <c r="G4968" t="n">
        <v>3.8</v>
      </c>
      <c r="H4968" t="n">
        <v>0</v>
      </c>
      <c r="I4968" t="n">
        <v>0</v>
      </c>
      <c r="J4968" t="n">
        <v>0</v>
      </c>
      <c r="K4968" t="n">
        <v>0</v>
      </c>
      <c r="L4968" t="n">
        <v>0</v>
      </c>
      <c r="M4968" t="n">
        <v>0</v>
      </c>
      <c r="N4968" t="n">
        <v>0</v>
      </c>
      <c r="O4968" t="n">
        <v>0</v>
      </c>
      <c r="P4968" t="n">
        <v>0</v>
      </c>
      <c r="Q4968" t="n">
        <v>0</v>
      </c>
      <c r="R4968" s="2" t="inlineStr"/>
    </row>
    <row r="4969" ht="15" customHeight="1">
      <c r="A4969" t="inlineStr">
        <is>
          <t>A 20062-2022</t>
        </is>
      </c>
      <c r="B4969" s="1" t="n">
        <v>44697</v>
      </c>
      <c r="C4969" s="1" t="n">
        <v>45212</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19905-2022</t>
        </is>
      </c>
      <c r="B4970" s="1" t="n">
        <v>44697</v>
      </c>
      <c r="C4970" s="1" t="n">
        <v>45212</v>
      </c>
      <c r="D4970" t="inlineStr">
        <is>
          <t>VÄSTERNORRLANDS LÄN</t>
        </is>
      </c>
      <c r="E4970" t="inlineStr">
        <is>
          <t>SOLLEFTEÅ</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20086-2022</t>
        </is>
      </c>
      <c r="B4971" s="1" t="n">
        <v>44697</v>
      </c>
      <c r="C4971" s="1" t="n">
        <v>45212</v>
      </c>
      <c r="D4971" t="inlineStr">
        <is>
          <t>VÄSTERNORRLANDS LÄN</t>
        </is>
      </c>
      <c r="E4971" t="inlineStr">
        <is>
          <t>SUNDSVALL</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20005-2022</t>
        </is>
      </c>
      <c r="B4972" s="1" t="n">
        <v>44697</v>
      </c>
      <c r="C4972" s="1" t="n">
        <v>45212</v>
      </c>
      <c r="D4972" t="inlineStr">
        <is>
          <t>VÄSTERNORRLANDS LÄN</t>
        </is>
      </c>
      <c r="E4972" t="inlineStr">
        <is>
          <t>HÄRNÖSAND</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19061-2022</t>
        </is>
      </c>
      <c r="B4973" s="1" t="n">
        <v>44697</v>
      </c>
      <c r="C4973" s="1" t="n">
        <v>45212</v>
      </c>
      <c r="D4973" t="inlineStr">
        <is>
          <t>VÄSTERNORRLANDS LÄN</t>
        </is>
      </c>
      <c r="E4973" t="inlineStr">
        <is>
          <t>ÖRNSKÖLDSVIK</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20096-2022</t>
        </is>
      </c>
      <c r="B4974" s="1" t="n">
        <v>44698</v>
      </c>
      <c r="C4974" s="1" t="n">
        <v>45212</v>
      </c>
      <c r="D4974" t="inlineStr">
        <is>
          <t>VÄSTERNORRLANDS LÄN</t>
        </is>
      </c>
      <c r="E4974" t="inlineStr">
        <is>
          <t>ÖRNSKÖLDSVIK</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20138-2022</t>
        </is>
      </c>
      <c r="B4975" s="1" t="n">
        <v>44698</v>
      </c>
      <c r="C4975" s="1" t="n">
        <v>45212</v>
      </c>
      <c r="D4975" t="inlineStr">
        <is>
          <t>VÄSTERNORRLANDS LÄN</t>
        </is>
      </c>
      <c r="E4975" t="inlineStr">
        <is>
          <t>ÖRNSKÖLDSVIK</t>
        </is>
      </c>
      <c r="G4975" t="n">
        <v>3.8</v>
      </c>
      <c r="H4975" t="n">
        <v>0</v>
      </c>
      <c r="I4975" t="n">
        <v>0</v>
      </c>
      <c r="J4975" t="n">
        <v>0</v>
      </c>
      <c r="K4975" t="n">
        <v>0</v>
      </c>
      <c r="L4975" t="n">
        <v>0</v>
      </c>
      <c r="M4975" t="n">
        <v>0</v>
      </c>
      <c r="N4975" t="n">
        <v>0</v>
      </c>
      <c r="O4975" t="n">
        <v>0</v>
      </c>
      <c r="P4975" t="n">
        <v>0</v>
      </c>
      <c r="Q4975" t="n">
        <v>0</v>
      </c>
      <c r="R4975" s="2" t="inlineStr"/>
    </row>
    <row r="4976" ht="15" customHeight="1">
      <c r="A4976" t="inlineStr">
        <is>
          <t>A 20127-2022</t>
        </is>
      </c>
      <c r="B4976" s="1" t="n">
        <v>44698</v>
      </c>
      <c r="C4976" s="1" t="n">
        <v>45212</v>
      </c>
      <c r="D4976" t="inlineStr">
        <is>
          <t>VÄSTERNORRLANDS LÄN</t>
        </is>
      </c>
      <c r="E4976" t="inlineStr">
        <is>
          <t>ÖRNSKÖLDSVIK</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20231-2022</t>
        </is>
      </c>
      <c r="B4977" s="1" t="n">
        <v>44698</v>
      </c>
      <c r="C4977" s="1" t="n">
        <v>45212</v>
      </c>
      <c r="D4977" t="inlineStr">
        <is>
          <t>VÄSTERNORRLANDS LÄN</t>
        </is>
      </c>
      <c r="E4977" t="inlineStr">
        <is>
          <t>ÅNGE</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20296-2022</t>
        </is>
      </c>
      <c r="B4978" s="1" t="n">
        <v>44698</v>
      </c>
      <c r="C4978" s="1" t="n">
        <v>45212</v>
      </c>
      <c r="D4978" t="inlineStr">
        <is>
          <t>VÄSTERNORRLANDS LÄN</t>
        </is>
      </c>
      <c r="E4978" t="inlineStr">
        <is>
          <t>SOLLEFTEÅ</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20474-2022</t>
        </is>
      </c>
      <c r="B4979" s="1" t="n">
        <v>44699</v>
      </c>
      <c r="C4979" s="1" t="n">
        <v>45212</v>
      </c>
      <c r="D4979" t="inlineStr">
        <is>
          <t>VÄSTERNORRLANDS LÄN</t>
        </is>
      </c>
      <c r="E4979" t="inlineStr">
        <is>
          <t>ÖRNSKÖLDSVIK</t>
        </is>
      </c>
      <c r="F4979" t="inlineStr">
        <is>
          <t>Holmen skog AB</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20551-2022</t>
        </is>
      </c>
      <c r="B4980" s="1" t="n">
        <v>44699</v>
      </c>
      <c r="C4980" s="1" t="n">
        <v>45212</v>
      </c>
      <c r="D4980" t="inlineStr">
        <is>
          <t>VÄSTERNORRLANDS LÄN</t>
        </is>
      </c>
      <c r="E4980" t="inlineStr">
        <is>
          <t>SOLLEFTEÅ</t>
        </is>
      </c>
      <c r="G4980" t="n">
        <v>3</v>
      </c>
      <c r="H4980" t="n">
        <v>0</v>
      </c>
      <c r="I4980" t="n">
        <v>0</v>
      </c>
      <c r="J4980" t="n">
        <v>0</v>
      </c>
      <c r="K4980" t="n">
        <v>0</v>
      </c>
      <c r="L4980" t="n">
        <v>0</v>
      </c>
      <c r="M4980" t="n">
        <v>0</v>
      </c>
      <c r="N4980" t="n">
        <v>0</v>
      </c>
      <c r="O4980" t="n">
        <v>0</v>
      </c>
      <c r="P4980" t="n">
        <v>0</v>
      </c>
      <c r="Q4980" t="n">
        <v>0</v>
      </c>
      <c r="R4980" s="2" t="inlineStr"/>
    </row>
    <row r="4981" ht="15" customHeight="1">
      <c r="A4981" t="inlineStr">
        <is>
          <t>A 20393-2022</t>
        </is>
      </c>
      <c r="B4981" s="1" t="n">
        <v>44699</v>
      </c>
      <c r="C4981" s="1" t="n">
        <v>45212</v>
      </c>
      <c r="D4981" t="inlineStr">
        <is>
          <t>VÄSTERNORRLANDS LÄN</t>
        </is>
      </c>
      <c r="E4981" t="inlineStr">
        <is>
          <t>ÅNGE</t>
        </is>
      </c>
      <c r="G4981" t="n">
        <v>6.9</v>
      </c>
      <c r="H4981" t="n">
        <v>0</v>
      </c>
      <c r="I4981" t="n">
        <v>0</v>
      </c>
      <c r="J4981" t="n">
        <v>0</v>
      </c>
      <c r="K4981" t="n">
        <v>0</v>
      </c>
      <c r="L4981" t="n">
        <v>0</v>
      </c>
      <c r="M4981" t="n">
        <v>0</v>
      </c>
      <c r="N4981" t="n">
        <v>0</v>
      </c>
      <c r="O4981" t="n">
        <v>0</v>
      </c>
      <c r="P4981" t="n">
        <v>0</v>
      </c>
      <c r="Q4981" t="n">
        <v>0</v>
      </c>
      <c r="R4981" s="2" t="inlineStr"/>
    </row>
    <row r="4982" ht="15" customHeight="1">
      <c r="A4982" t="inlineStr">
        <is>
          <t>A 20476-2022</t>
        </is>
      </c>
      <c r="B4982" s="1" t="n">
        <v>44699</v>
      </c>
      <c r="C4982" s="1" t="n">
        <v>45212</v>
      </c>
      <c r="D4982" t="inlineStr">
        <is>
          <t>VÄSTERNORRLANDS LÄN</t>
        </is>
      </c>
      <c r="E4982" t="inlineStr">
        <is>
          <t>ÖRNSKÖLDSVIK</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20470-2022</t>
        </is>
      </c>
      <c r="B4983" s="1" t="n">
        <v>44699</v>
      </c>
      <c r="C4983" s="1" t="n">
        <v>45212</v>
      </c>
      <c r="D4983" t="inlineStr">
        <is>
          <t>VÄSTERNORRLANDS LÄN</t>
        </is>
      </c>
      <c r="E4983" t="inlineStr">
        <is>
          <t>ÖRNSKÖLDSVIK</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20522-2022</t>
        </is>
      </c>
      <c r="B4984" s="1" t="n">
        <v>44699</v>
      </c>
      <c r="C4984" s="1" t="n">
        <v>45212</v>
      </c>
      <c r="D4984" t="inlineStr">
        <is>
          <t>VÄSTERNORRLANDS LÄN</t>
        </is>
      </c>
      <c r="E4984" t="inlineStr">
        <is>
          <t>SUNDSVALL</t>
        </is>
      </c>
      <c r="F4984" t="inlineStr">
        <is>
          <t>SCA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20475-2022</t>
        </is>
      </c>
      <c r="B4985" s="1" t="n">
        <v>44699</v>
      </c>
      <c r="C4985" s="1" t="n">
        <v>45212</v>
      </c>
      <c r="D4985" t="inlineStr">
        <is>
          <t>VÄSTERNORRLANDS LÄN</t>
        </is>
      </c>
      <c r="E4985" t="inlineStr">
        <is>
          <t>ÖRNSKÖLDSVIK</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20540-2022</t>
        </is>
      </c>
      <c r="B4986" s="1" t="n">
        <v>44700</v>
      </c>
      <c r="C4986" s="1" t="n">
        <v>45212</v>
      </c>
      <c r="D4986" t="inlineStr">
        <is>
          <t>VÄSTERNORRLANDS LÄN</t>
        </is>
      </c>
      <c r="E4986" t="inlineStr">
        <is>
          <t>ÖRNSKÖLDSVIK</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20600-2022</t>
        </is>
      </c>
      <c r="B4987" s="1" t="n">
        <v>44700</v>
      </c>
      <c r="C4987" s="1" t="n">
        <v>45212</v>
      </c>
      <c r="D4987" t="inlineStr">
        <is>
          <t>VÄSTERNORRLANDS LÄN</t>
        </is>
      </c>
      <c r="E4987" t="inlineStr">
        <is>
          <t>ÖRNSKÖLDSVIK</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20714-2022</t>
        </is>
      </c>
      <c r="B4988" s="1" t="n">
        <v>44700</v>
      </c>
      <c r="C4988" s="1" t="n">
        <v>45212</v>
      </c>
      <c r="D4988" t="inlineStr">
        <is>
          <t>VÄSTERNORRLANDS LÄN</t>
        </is>
      </c>
      <c r="E4988" t="inlineStr">
        <is>
          <t>SUNDSVALL</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20724-2022</t>
        </is>
      </c>
      <c r="B4989" s="1" t="n">
        <v>44700</v>
      </c>
      <c r="C4989" s="1" t="n">
        <v>45212</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20733-2022</t>
        </is>
      </c>
      <c r="B4990" s="1" t="n">
        <v>44700</v>
      </c>
      <c r="C4990" s="1" t="n">
        <v>45212</v>
      </c>
      <c r="D4990" t="inlineStr">
        <is>
          <t>VÄSTERNORRLANDS LÄN</t>
        </is>
      </c>
      <c r="E4990" t="inlineStr">
        <is>
          <t>SUNDSVALL</t>
        </is>
      </c>
      <c r="F4990" t="inlineStr">
        <is>
          <t>SCA</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20542-2022</t>
        </is>
      </c>
      <c r="B4991" s="1" t="n">
        <v>44700</v>
      </c>
      <c r="C4991" s="1" t="n">
        <v>45212</v>
      </c>
      <c r="D4991" t="inlineStr">
        <is>
          <t>VÄSTERNORRLANDS LÄN</t>
        </is>
      </c>
      <c r="E4991" t="inlineStr">
        <is>
          <t>ÖRNSKÖLDSVIK</t>
        </is>
      </c>
      <c r="G4991" t="n">
        <v>5.5</v>
      </c>
      <c r="H4991" t="n">
        <v>0</v>
      </c>
      <c r="I4991" t="n">
        <v>0</v>
      </c>
      <c r="J4991" t="n">
        <v>0</v>
      </c>
      <c r="K4991" t="n">
        <v>0</v>
      </c>
      <c r="L4991" t="n">
        <v>0</v>
      </c>
      <c r="M4991" t="n">
        <v>0</v>
      </c>
      <c r="N4991" t="n">
        <v>0</v>
      </c>
      <c r="O4991" t="n">
        <v>0</v>
      </c>
      <c r="P4991" t="n">
        <v>0</v>
      </c>
      <c r="Q4991" t="n">
        <v>0</v>
      </c>
      <c r="R4991" s="2" t="inlineStr"/>
    </row>
    <row r="4992" ht="15" customHeight="1">
      <c r="A4992" t="inlineStr">
        <is>
          <t>A 20700-2022</t>
        </is>
      </c>
      <c r="B4992" s="1" t="n">
        <v>44700</v>
      </c>
      <c r="C4992" s="1" t="n">
        <v>45212</v>
      </c>
      <c r="D4992" t="inlineStr">
        <is>
          <t>VÄSTERNORRLANDS LÄN</t>
        </is>
      </c>
      <c r="E4992" t="inlineStr">
        <is>
          <t>KRAMFORS</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20738-2022</t>
        </is>
      </c>
      <c r="B4993" s="1" t="n">
        <v>44700</v>
      </c>
      <c r="C4993" s="1" t="n">
        <v>45212</v>
      </c>
      <c r="D4993" t="inlineStr">
        <is>
          <t>VÄSTERNORRLANDS LÄN</t>
        </is>
      </c>
      <c r="E4993" t="inlineStr">
        <is>
          <t>SOLLEFTEÅ</t>
        </is>
      </c>
      <c r="G4993" t="n">
        <v>8.1</v>
      </c>
      <c r="H4993" t="n">
        <v>0</v>
      </c>
      <c r="I4993" t="n">
        <v>0</v>
      </c>
      <c r="J4993" t="n">
        <v>0</v>
      </c>
      <c r="K4993" t="n">
        <v>0</v>
      </c>
      <c r="L4993" t="n">
        <v>0</v>
      </c>
      <c r="M4993" t="n">
        <v>0</v>
      </c>
      <c r="N4993" t="n">
        <v>0</v>
      </c>
      <c r="O4993" t="n">
        <v>0</v>
      </c>
      <c r="P4993" t="n">
        <v>0</v>
      </c>
      <c r="Q4993" t="n">
        <v>0</v>
      </c>
      <c r="R4993" s="2" t="inlineStr"/>
    </row>
    <row r="4994" ht="15" customHeight="1">
      <c r="A4994" t="inlineStr">
        <is>
          <t>A 20549-2022</t>
        </is>
      </c>
      <c r="B4994" s="1" t="n">
        <v>44700</v>
      </c>
      <c r="C4994" s="1" t="n">
        <v>45212</v>
      </c>
      <c r="D4994" t="inlineStr">
        <is>
          <t>VÄSTERNORRLANDS LÄN</t>
        </is>
      </c>
      <c r="E4994" t="inlineStr">
        <is>
          <t>ÖRNSKÖLDSVIK</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20704-2022</t>
        </is>
      </c>
      <c r="B4995" s="1" t="n">
        <v>44700</v>
      </c>
      <c r="C4995" s="1" t="n">
        <v>45212</v>
      </c>
      <c r="D4995" t="inlineStr">
        <is>
          <t>VÄSTERNORRLANDS LÄN</t>
        </is>
      </c>
      <c r="E4995" t="inlineStr">
        <is>
          <t>SOLLEFTEÅ</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20676-2022</t>
        </is>
      </c>
      <c r="B4996" s="1" t="n">
        <v>44700</v>
      </c>
      <c r="C4996" s="1" t="n">
        <v>45212</v>
      </c>
      <c r="D4996" t="inlineStr">
        <is>
          <t>VÄSTERNORRLANDS LÄN</t>
        </is>
      </c>
      <c r="E4996" t="inlineStr">
        <is>
          <t>ÖRNSKÖLDSVIK</t>
        </is>
      </c>
      <c r="F4996" t="inlineStr">
        <is>
          <t>Holmen skog AB</t>
        </is>
      </c>
      <c r="G4996" t="n">
        <v>13.7</v>
      </c>
      <c r="H4996" t="n">
        <v>0</v>
      </c>
      <c r="I4996" t="n">
        <v>0</v>
      </c>
      <c r="J4996" t="n">
        <v>0</v>
      </c>
      <c r="K4996" t="n">
        <v>0</v>
      </c>
      <c r="L4996" t="n">
        <v>0</v>
      </c>
      <c r="M4996" t="n">
        <v>0</v>
      </c>
      <c r="N4996" t="n">
        <v>0</v>
      </c>
      <c r="O4996" t="n">
        <v>0</v>
      </c>
      <c r="P4996" t="n">
        <v>0</v>
      </c>
      <c r="Q4996" t="n">
        <v>0</v>
      </c>
      <c r="R4996" s="2" t="inlineStr"/>
    </row>
    <row r="4997" ht="15" customHeight="1">
      <c r="A4997" t="inlineStr">
        <is>
          <t>A 20731-2022</t>
        </is>
      </c>
      <c r="B4997" s="1" t="n">
        <v>44700</v>
      </c>
      <c r="C4997" s="1" t="n">
        <v>45212</v>
      </c>
      <c r="D4997" t="inlineStr">
        <is>
          <t>VÄSTERNORRLANDS LÄN</t>
        </is>
      </c>
      <c r="E4997" t="inlineStr">
        <is>
          <t>SUNDSVALL</t>
        </is>
      </c>
      <c r="F4997" t="inlineStr">
        <is>
          <t>SCA</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20948-2022</t>
        </is>
      </c>
      <c r="B4998" s="1" t="n">
        <v>44701</v>
      </c>
      <c r="C4998" s="1" t="n">
        <v>45212</v>
      </c>
      <c r="D4998" t="inlineStr">
        <is>
          <t>VÄSTERNORRLANDS LÄN</t>
        </is>
      </c>
      <c r="E4998" t="inlineStr">
        <is>
          <t>SOLLEFTEÅ</t>
        </is>
      </c>
      <c r="F4998" t="inlineStr">
        <is>
          <t>SCA</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20942-2022</t>
        </is>
      </c>
      <c r="B4999" s="1" t="n">
        <v>44701</v>
      </c>
      <c r="C4999" s="1" t="n">
        <v>45212</v>
      </c>
      <c r="D4999" t="inlineStr">
        <is>
          <t>VÄSTERNORRLANDS LÄN</t>
        </is>
      </c>
      <c r="E4999" t="inlineStr">
        <is>
          <t>SOLLEFTEÅ</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20950-2022</t>
        </is>
      </c>
      <c r="B5000" s="1" t="n">
        <v>44701</v>
      </c>
      <c r="C5000" s="1" t="n">
        <v>45212</v>
      </c>
      <c r="D5000" t="inlineStr">
        <is>
          <t>VÄSTERNORRLANDS LÄN</t>
        </is>
      </c>
      <c r="E5000" t="inlineStr">
        <is>
          <t>SOLLEFTEÅ</t>
        </is>
      </c>
      <c r="F5000" t="inlineStr">
        <is>
          <t>SCA</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20943-2022</t>
        </is>
      </c>
      <c r="B5001" s="1" t="n">
        <v>44701</v>
      </c>
      <c r="C5001" s="1" t="n">
        <v>45212</v>
      </c>
      <c r="D5001" t="inlineStr">
        <is>
          <t>VÄSTERNORRLANDS LÄN</t>
        </is>
      </c>
      <c r="E5001" t="inlineStr">
        <is>
          <t>ÅNGE</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20951-2022</t>
        </is>
      </c>
      <c r="B5002" s="1" t="n">
        <v>44701</v>
      </c>
      <c r="C5002" s="1" t="n">
        <v>45212</v>
      </c>
      <c r="D5002" t="inlineStr">
        <is>
          <t>VÄSTERNORRLANDS LÄN</t>
        </is>
      </c>
      <c r="E5002" t="inlineStr">
        <is>
          <t>SOLLEFTEÅ</t>
        </is>
      </c>
      <c r="F5002" t="inlineStr">
        <is>
          <t>SCA</t>
        </is>
      </c>
      <c r="G5002" t="n">
        <v>11.2</v>
      </c>
      <c r="H5002" t="n">
        <v>0</v>
      </c>
      <c r="I5002" t="n">
        <v>0</v>
      </c>
      <c r="J5002" t="n">
        <v>0</v>
      </c>
      <c r="K5002" t="n">
        <v>0</v>
      </c>
      <c r="L5002" t="n">
        <v>0</v>
      </c>
      <c r="M5002" t="n">
        <v>0</v>
      </c>
      <c r="N5002" t="n">
        <v>0</v>
      </c>
      <c r="O5002" t="n">
        <v>0</v>
      </c>
      <c r="P5002" t="n">
        <v>0</v>
      </c>
      <c r="Q5002" t="n">
        <v>0</v>
      </c>
      <c r="R5002" s="2" t="inlineStr"/>
    </row>
    <row r="5003" ht="15" customHeight="1">
      <c r="A5003" t="inlineStr">
        <is>
          <t>A 20996-2022</t>
        </is>
      </c>
      <c r="B5003" s="1" t="n">
        <v>44703</v>
      </c>
      <c r="C5003" s="1" t="n">
        <v>45212</v>
      </c>
      <c r="D5003" t="inlineStr">
        <is>
          <t>VÄSTERNORRLANDS LÄN</t>
        </is>
      </c>
      <c r="E5003" t="inlineStr">
        <is>
          <t>SOLLEFTEÅ</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20994-2022</t>
        </is>
      </c>
      <c r="B5004" s="1" t="n">
        <v>44703</v>
      </c>
      <c r="C5004" s="1" t="n">
        <v>45212</v>
      </c>
      <c r="D5004" t="inlineStr">
        <is>
          <t>VÄSTERNORRLANDS LÄN</t>
        </is>
      </c>
      <c r="E5004" t="inlineStr">
        <is>
          <t>SOLLEFTEÅ</t>
        </is>
      </c>
      <c r="F5004" t="inlineStr">
        <is>
          <t>SCA</t>
        </is>
      </c>
      <c r="G5004" t="n">
        <v>4.1</v>
      </c>
      <c r="H5004" t="n">
        <v>0</v>
      </c>
      <c r="I5004" t="n">
        <v>0</v>
      </c>
      <c r="J5004" t="n">
        <v>0</v>
      </c>
      <c r="K5004" t="n">
        <v>0</v>
      </c>
      <c r="L5004" t="n">
        <v>0</v>
      </c>
      <c r="M5004" t="n">
        <v>0</v>
      </c>
      <c r="N5004" t="n">
        <v>0</v>
      </c>
      <c r="O5004" t="n">
        <v>0</v>
      </c>
      <c r="P5004" t="n">
        <v>0</v>
      </c>
      <c r="Q5004" t="n">
        <v>0</v>
      </c>
      <c r="R5004" s="2" t="inlineStr"/>
    </row>
    <row r="5005" ht="15" customHeight="1">
      <c r="A5005" t="inlineStr">
        <is>
          <t>A 21183-2022</t>
        </is>
      </c>
      <c r="B5005" s="1" t="n">
        <v>44704</v>
      </c>
      <c r="C5005" s="1" t="n">
        <v>45212</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21050-2022</t>
        </is>
      </c>
      <c r="B5006" s="1" t="n">
        <v>44704</v>
      </c>
      <c r="C5006" s="1" t="n">
        <v>45212</v>
      </c>
      <c r="D5006" t="inlineStr">
        <is>
          <t>VÄSTERNORRLANDS LÄN</t>
        </is>
      </c>
      <c r="E5006" t="inlineStr">
        <is>
          <t>SOLLEFTEÅ</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21182-2022</t>
        </is>
      </c>
      <c r="B5007" s="1" t="n">
        <v>44704</v>
      </c>
      <c r="C5007" s="1" t="n">
        <v>45212</v>
      </c>
      <c r="D5007" t="inlineStr">
        <is>
          <t>VÄSTERNORRLANDS LÄN</t>
        </is>
      </c>
      <c r="E5007" t="inlineStr">
        <is>
          <t>SUNDSVALL</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21389-2022</t>
        </is>
      </c>
      <c r="B5008" s="1" t="n">
        <v>44705</v>
      </c>
      <c r="C5008" s="1" t="n">
        <v>45212</v>
      </c>
      <c r="D5008" t="inlineStr">
        <is>
          <t>VÄSTERNORRLANDS LÄN</t>
        </is>
      </c>
      <c r="E5008" t="inlineStr">
        <is>
          <t>SUNDSVALL</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21412-2022</t>
        </is>
      </c>
      <c r="B5009" s="1" t="n">
        <v>44705</v>
      </c>
      <c r="C5009" s="1" t="n">
        <v>45212</v>
      </c>
      <c r="D5009" t="inlineStr">
        <is>
          <t>VÄSTERNORRLANDS LÄN</t>
        </is>
      </c>
      <c r="E5009" t="inlineStr">
        <is>
          <t>ÅNGE</t>
        </is>
      </c>
      <c r="F5009" t="inlineStr">
        <is>
          <t>SCA</t>
        </is>
      </c>
      <c r="G5009" t="n">
        <v>4.9</v>
      </c>
      <c r="H5009" t="n">
        <v>0</v>
      </c>
      <c r="I5009" t="n">
        <v>0</v>
      </c>
      <c r="J5009" t="n">
        <v>0</v>
      </c>
      <c r="K5009" t="n">
        <v>0</v>
      </c>
      <c r="L5009" t="n">
        <v>0</v>
      </c>
      <c r="M5009" t="n">
        <v>0</v>
      </c>
      <c r="N5009" t="n">
        <v>0</v>
      </c>
      <c r="O5009" t="n">
        <v>0</v>
      </c>
      <c r="P5009" t="n">
        <v>0</v>
      </c>
      <c r="Q5009" t="n">
        <v>0</v>
      </c>
      <c r="R5009" s="2" t="inlineStr"/>
    </row>
    <row r="5010" ht="15" customHeight="1">
      <c r="A5010" t="inlineStr">
        <is>
          <t>A 21396-2022</t>
        </is>
      </c>
      <c r="B5010" s="1" t="n">
        <v>44705</v>
      </c>
      <c r="C5010" s="1" t="n">
        <v>45212</v>
      </c>
      <c r="D5010" t="inlineStr">
        <is>
          <t>VÄSTERNORRLANDS LÄN</t>
        </is>
      </c>
      <c r="E5010" t="inlineStr">
        <is>
          <t>SUNDSVALL</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21258-2022</t>
        </is>
      </c>
      <c r="B5011" s="1" t="n">
        <v>44706</v>
      </c>
      <c r="C5011" s="1" t="n">
        <v>45212</v>
      </c>
      <c r="D5011" t="inlineStr">
        <is>
          <t>VÄSTERNORRLANDS LÄN</t>
        </is>
      </c>
      <c r="E5011" t="inlineStr">
        <is>
          <t>ÖRNSKÖLDSVIK</t>
        </is>
      </c>
      <c r="G5011" t="n">
        <v>9.6</v>
      </c>
      <c r="H5011" t="n">
        <v>0</v>
      </c>
      <c r="I5011" t="n">
        <v>0</v>
      </c>
      <c r="J5011" t="n">
        <v>0</v>
      </c>
      <c r="K5011" t="n">
        <v>0</v>
      </c>
      <c r="L5011" t="n">
        <v>0</v>
      </c>
      <c r="M5011" t="n">
        <v>0</v>
      </c>
      <c r="N5011" t="n">
        <v>0</v>
      </c>
      <c r="O5011" t="n">
        <v>0</v>
      </c>
      <c r="P5011" t="n">
        <v>0</v>
      </c>
      <c r="Q5011" t="n">
        <v>0</v>
      </c>
      <c r="R5011" s="2" t="inlineStr"/>
    </row>
    <row r="5012" ht="15" customHeight="1">
      <c r="A5012" t="inlineStr">
        <is>
          <t>A 21558-2022</t>
        </is>
      </c>
      <c r="B5012" s="1" t="n">
        <v>44706</v>
      </c>
      <c r="C5012" s="1" t="n">
        <v>45212</v>
      </c>
      <c r="D5012" t="inlineStr">
        <is>
          <t>VÄSTERNORRLANDS LÄN</t>
        </is>
      </c>
      <c r="E5012" t="inlineStr">
        <is>
          <t>ÖRNSKÖLDSVIK</t>
        </is>
      </c>
      <c r="G5012" t="n">
        <v>5.5</v>
      </c>
      <c r="H5012" t="n">
        <v>0</v>
      </c>
      <c r="I5012" t="n">
        <v>0</v>
      </c>
      <c r="J5012" t="n">
        <v>0</v>
      </c>
      <c r="K5012" t="n">
        <v>0</v>
      </c>
      <c r="L5012" t="n">
        <v>0</v>
      </c>
      <c r="M5012" t="n">
        <v>0</v>
      </c>
      <c r="N5012" t="n">
        <v>0</v>
      </c>
      <c r="O5012" t="n">
        <v>0</v>
      </c>
      <c r="P5012" t="n">
        <v>0</v>
      </c>
      <c r="Q5012" t="n">
        <v>0</v>
      </c>
      <c r="R5012" s="2" t="inlineStr"/>
    </row>
    <row r="5013" ht="15" customHeight="1">
      <c r="A5013" t="inlineStr">
        <is>
          <t>A 21582-2022</t>
        </is>
      </c>
      <c r="B5013" s="1" t="n">
        <v>44706</v>
      </c>
      <c r="C5013" s="1" t="n">
        <v>45212</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21595-2022</t>
        </is>
      </c>
      <c r="B5014" s="1" t="n">
        <v>44706</v>
      </c>
      <c r="C5014" s="1" t="n">
        <v>45212</v>
      </c>
      <c r="D5014" t="inlineStr">
        <is>
          <t>VÄSTERNORRLANDS LÄN</t>
        </is>
      </c>
      <c r="E5014" t="inlineStr">
        <is>
          <t>ÖRNSKÖLDSVIK</t>
        </is>
      </c>
      <c r="F5014" t="inlineStr">
        <is>
          <t>Holmen skog AB</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21471-2022</t>
        </is>
      </c>
      <c r="B5015" s="1" t="n">
        <v>44706</v>
      </c>
      <c r="C5015" s="1" t="n">
        <v>45212</v>
      </c>
      <c r="D5015" t="inlineStr">
        <is>
          <t>VÄSTERNORRLANDS LÄN</t>
        </is>
      </c>
      <c r="E5015" t="inlineStr">
        <is>
          <t>HÄRNÖSAND</t>
        </is>
      </c>
      <c r="G5015" t="n">
        <v>0.2</v>
      </c>
      <c r="H5015" t="n">
        <v>0</v>
      </c>
      <c r="I5015" t="n">
        <v>0</v>
      </c>
      <c r="J5015" t="n">
        <v>0</v>
      </c>
      <c r="K5015" t="n">
        <v>0</v>
      </c>
      <c r="L5015" t="n">
        <v>0</v>
      </c>
      <c r="M5015" t="n">
        <v>0</v>
      </c>
      <c r="N5015" t="n">
        <v>0</v>
      </c>
      <c r="O5015" t="n">
        <v>0</v>
      </c>
      <c r="P5015" t="n">
        <v>0</v>
      </c>
      <c r="Q5015" t="n">
        <v>0</v>
      </c>
      <c r="R5015" s="2" t="inlineStr"/>
    </row>
    <row r="5016" ht="15" customHeight="1">
      <c r="A5016" t="inlineStr">
        <is>
          <t>A 21601-2022</t>
        </is>
      </c>
      <c r="B5016" s="1" t="n">
        <v>44706</v>
      </c>
      <c r="C5016" s="1" t="n">
        <v>45212</v>
      </c>
      <c r="D5016" t="inlineStr">
        <is>
          <t>VÄSTERNORRLANDS LÄN</t>
        </is>
      </c>
      <c r="E5016" t="inlineStr">
        <is>
          <t>ÖRNSKÖLDSVIK</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21661-2022</t>
        </is>
      </c>
      <c r="B5017" s="1" t="n">
        <v>44706</v>
      </c>
      <c r="C5017" s="1" t="n">
        <v>45212</v>
      </c>
      <c r="D5017" t="inlineStr">
        <is>
          <t>VÄSTERNORRLANDS LÄN</t>
        </is>
      </c>
      <c r="E5017" t="inlineStr">
        <is>
          <t>SUNDSVALL</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21517-2022</t>
        </is>
      </c>
      <c r="B5018" s="1" t="n">
        <v>44706</v>
      </c>
      <c r="C5018" s="1" t="n">
        <v>45212</v>
      </c>
      <c r="D5018" t="inlineStr">
        <is>
          <t>VÄSTERNORRLANDS LÄN</t>
        </is>
      </c>
      <c r="E5018" t="inlineStr">
        <is>
          <t>ÖRNSKÖLDSVIK</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21590-2022</t>
        </is>
      </c>
      <c r="B5019" s="1" t="n">
        <v>44706</v>
      </c>
      <c r="C5019" s="1" t="n">
        <v>45212</v>
      </c>
      <c r="D5019" t="inlineStr">
        <is>
          <t>VÄSTERNORRLANDS LÄN</t>
        </is>
      </c>
      <c r="E5019" t="inlineStr">
        <is>
          <t>ÖRNSKÖLDSVIK</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21642-2022</t>
        </is>
      </c>
      <c r="B5020" s="1" t="n">
        <v>44706</v>
      </c>
      <c r="C5020" s="1" t="n">
        <v>45212</v>
      </c>
      <c r="D5020" t="inlineStr">
        <is>
          <t>VÄSTERNORRLANDS LÄN</t>
        </is>
      </c>
      <c r="E5020" t="inlineStr">
        <is>
          <t>SOLLEFTEÅ</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21707-2022</t>
        </is>
      </c>
      <c r="B5021" s="1" t="n">
        <v>44707</v>
      </c>
      <c r="C5021" s="1" t="n">
        <v>45212</v>
      </c>
      <c r="D5021" t="inlineStr">
        <is>
          <t>VÄSTERNORRLANDS LÄN</t>
        </is>
      </c>
      <c r="E5021" t="inlineStr">
        <is>
          <t>ÖRNSKÖLDSVIK</t>
        </is>
      </c>
      <c r="F5021" t="inlineStr">
        <is>
          <t>SCA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21704-2022</t>
        </is>
      </c>
      <c r="B5022" s="1" t="n">
        <v>44707</v>
      </c>
      <c r="C5022" s="1" t="n">
        <v>45212</v>
      </c>
      <c r="D5022" t="inlineStr">
        <is>
          <t>VÄSTERNORRLANDS LÄN</t>
        </is>
      </c>
      <c r="E5022" t="inlineStr">
        <is>
          <t>ÖRNSKÖLDSVIK</t>
        </is>
      </c>
      <c r="F5022" t="inlineStr">
        <is>
          <t>SCA</t>
        </is>
      </c>
      <c r="G5022" t="n">
        <v>1.6</v>
      </c>
      <c r="H5022" t="n">
        <v>0</v>
      </c>
      <c r="I5022" t="n">
        <v>0</v>
      </c>
      <c r="J5022" t="n">
        <v>0</v>
      </c>
      <c r="K5022" t="n">
        <v>0</v>
      </c>
      <c r="L5022" t="n">
        <v>0</v>
      </c>
      <c r="M5022" t="n">
        <v>0</v>
      </c>
      <c r="N5022" t="n">
        <v>0</v>
      </c>
      <c r="O5022" t="n">
        <v>0</v>
      </c>
      <c r="P5022" t="n">
        <v>0</v>
      </c>
      <c r="Q5022" t="n">
        <v>0</v>
      </c>
      <c r="R5022" s="2" t="inlineStr"/>
    </row>
    <row r="5023" ht="15" customHeight="1">
      <c r="A5023" t="inlineStr">
        <is>
          <t>A 21711-2022</t>
        </is>
      </c>
      <c r="B5023" s="1" t="n">
        <v>44707</v>
      </c>
      <c r="C5023" s="1" t="n">
        <v>45212</v>
      </c>
      <c r="D5023" t="inlineStr">
        <is>
          <t>VÄSTERNORRLANDS LÄN</t>
        </is>
      </c>
      <c r="E5023" t="inlineStr">
        <is>
          <t>SOLLEFTEÅ</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21706-2022</t>
        </is>
      </c>
      <c r="B5024" s="1" t="n">
        <v>44707</v>
      </c>
      <c r="C5024" s="1" t="n">
        <v>45212</v>
      </c>
      <c r="D5024" t="inlineStr">
        <is>
          <t>VÄSTERNORRLANDS LÄN</t>
        </is>
      </c>
      <c r="E5024" t="inlineStr">
        <is>
          <t>ÖRNSKÖLDSVIK</t>
        </is>
      </c>
      <c r="F5024" t="inlineStr">
        <is>
          <t>SCA</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21703-2022</t>
        </is>
      </c>
      <c r="B5025" s="1" t="n">
        <v>44707</v>
      </c>
      <c r="C5025" s="1" t="n">
        <v>45212</v>
      </c>
      <c r="D5025" t="inlineStr">
        <is>
          <t>VÄSTERNORRLANDS LÄN</t>
        </is>
      </c>
      <c r="E5025" t="inlineStr">
        <is>
          <t>ÖRNSKÖLDSVIK</t>
        </is>
      </c>
      <c r="F5025" t="inlineStr">
        <is>
          <t>SCA</t>
        </is>
      </c>
      <c r="G5025" t="n">
        <v>6</v>
      </c>
      <c r="H5025" t="n">
        <v>0</v>
      </c>
      <c r="I5025" t="n">
        <v>0</v>
      </c>
      <c r="J5025" t="n">
        <v>0</v>
      </c>
      <c r="K5025" t="n">
        <v>0</v>
      </c>
      <c r="L5025" t="n">
        <v>0</v>
      </c>
      <c r="M5025" t="n">
        <v>0</v>
      </c>
      <c r="N5025" t="n">
        <v>0</v>
      </c>
      <c r="O5025" t="n">
        <v>0</v>
      </c>
      <c r="P5025" t="n">
        <v>0</v>
      </c>
      <c r="Q5025" t="n">
        <v>0</v>
      </c>
      <c r="R5025" s="2" t="inlineStr"/>
    </row>
    <row r="5026" ht="15" customHeight="1">
      <c r="A5026" t="inlineStr">
        <is>
          <t>A 21725-2022</t>
        </is>
      </c>
      <c r="B5026" s="1" t="n">
        <v>44708</v>
      </c>
      <c r="C5026" s="1" t="n">
        <v>45212</v>
      </c>
      <c r="D5026" t="inlineStr">
        <is>
          <t>VÄSTERNORRLANDS LÄN</t>
        </is>
      </c>
      <c r="E5026" t="inlineStr">
        <is>
          <t>ÖRNSKÖLDSVIK</t>
        </is>
      </c>
      <c r="F5026" t="inlineStr">
        <is>
          <t>Holmen skog AB</t>
        </is>
      </c>
      <c r="G5026" t="n">
        <v>1.7</v>
      </c>
      <c r="H5026" t="n">
        <v>0</v>
      </c>
      <c r="I5026" t="n">
        <v>0</v>
      </c>
      <c r="J5026" t="n">
        <v>0</v>
      </c>
      <c r="K5026" t="n">
        <v>0</v>
      </c>
      <c r="L5026" t="n">
        <v>0</v>
      </c>
      <c r="M5026" t="n">
        <v>0</v>
      </c>
      <c r="N5026" t="n">
        <v>0</v>
      </c>
      <c r="O5026" t="n">
        <v>0</v>
      </c>
      <c r="P5026" t="n">
        <v>0</v>
      </c>
      <c r="Q5026" t="n">
        <v>0</v>
      </c>
      <c r="R5026" s="2" t="inlineStr"/>
    </row>
    <row r="5027" ht="15" customHeight="1">
      <c r="A5027" t="inlineStr">
        <is>
          <t>A 21773-2022</t>
        </is>
      </c>
      <c r="B5027" s="1" t="n">
        <v>44708</v>
      </c>
      <c r="C5027" s="1" t="n">
        <v>45212</v>
      </c>
      <c r="D5027" t="inlineStr">
        <is>
          <t>VÄSTERNORRLANDS LÄN</t>
        </is>
      </c>
      <c r="E5027" t="inlineStr">
        <is>
          <t>ÖRNSKÖLDSVIK</t>
        </is>
      </c>
      <c r="F5027" t="inlineStr">
        <is>
          <t>Holmen skog AB</t>
        </is>
      </c>
      <c r="G5027" t="n">
        <v>16.6</v>
      </c>
      <c r="H5027" t="n">
        <v>0</v>
      </c>
      <c r="I5027" t="n">
        <v>0</v>
      </c>
      <c r="J5027" t="n">
        <v>0</v>
      </c>
      <c r="K5027" t="n">
        <v>0</v>
      </c>
      <c r="L5027" t="n">
        <v>0</v>
      </c>
      <c r="M5027" t="n">
        <v>0</v>
      </c>
      <c r="N5027" t="n">
        <v>0</v>
      </c>
      <c r="O5027" t="n">
        <v>0</v>
      </c>
      <c r="P5027" t="n">
        <v>0</v>
      </c>
      <c r="Q5027" t="n">
        <v>0</v>
      </c>
      <c r="R5027" s="2" t="inlineStr"/>
    </row>
    <row r="5028" ht="15" customHeight="1">
      <c r="A5028" t="inlineStr">
        <is>
          <t>A 21807-2022</t>
        </is>
      </c>
      <c r="B5028" s="1" t="n">
        <v>44708</v>
      </c>
      <c r="C5028" s="1" t="n">
        <v>45212</v>
      </c>
      <c r="D5028" t="inlineStr">
        <is>
          <t>VÄSTERNORRLANDS LÄN</t>
        </is>
      </c>
      <c r="E5028" t="inlineStr">
        <is>
          <t>SOLLEFTEÅ</t>
        </is>
      </c>
      <c r="F5028" t="inlineStr">
        <is>
          <t>SCA</t>
        </is>
      </c>
      <c r="G5028" t="n">
        <v>5.8</v>
      </c>
      <c r="H5028" t="n">
        <v>0</v>
      </c>
      <c r="I5028" t="n">
        <v>0</v>
      </c>
      <c r="J5028" t="n">
        <v>0</v>
      </c>
      <c r="K5028" t="n">
        <v>0</v>
      </c>
      <c r="L5028" t="n">
        <v>0</v>
      </c>
      <c r="M5028" t="n">
        <v>0</v>
      </c>
      <c r="N5028" t="n">
        <v>0</v>
      </c>
      <c r="O5028" t="n">
        <v>0</v>
      </c>
      <c r="P5028" t="n">
        <v>0</v>
      </c>
      <c r="Q5028" t="n">
        <v>0</v>
      </c>
      <c r="R5028" s="2" t="inlineStr"/>
    </row>
    <row r="5029" ht="15" customHeight="1">
      <c r="A5029" t="inlineStr">
        <is>
          <t>A 21896-2022</t>
        </is>
      </c>
      <c r="B5029" s="1" t="n">
        <v>44711</v>
      </c>
      <c r="C5029" s="1" t="n">
        <v>45212</v>
      </c>
      <c r="D5029" t="inlineStr">
        <is>
          <t>VÄSTERNORRLANDS LÄN</t>
        </is>
      </c>
      <c r="E5029" t="inlineStr">
        <is>
          <t>ÖRNSKÖLDSVIK</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21870-2022</t>
        </is>
      </c>
      <c r="B5030" s="1" t="n">
        <v>44711</v>
      </c>
      <c r="C5030" s="1" t="n">
        <v>45212</v>
      </c>
      <c r="D5030" t="inlineStr">
        <is>
          <t>VÄSTERNORRLANDS LÄN</t>
        </is>
      </c>
      <c r="E5030" t="inlineStr">
        <is>
          <t>ÖRNSKÖLDSVIK</t>
        </is>
      </c>
      <c r="G5030" t="n">
        <v>9.699999999999999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22330-2022</t>
        </is>
      </c>
      <c r="B5031" s="1" t="n">
        <v>44712</v>
      </c>
      <c r="C5031" s="1" t="n">
        <v>45212</v>
      </c>
      <c r="D5031" t="inlineStr">
        <is>
          <t>VÄSTERNORRLANDS LÄN</t>
        </is>
      </c>
      <c r="E5031" t="inlineStr">
        <is>
          <t>SOLLEFTEÅ</t>
        </is>
      </c>
      <c r="F5031" t="inlineStr">
        <is>
          <t>SCA</t>
        </is>
      </c>
      <c r="G5031" t="n">
        <v>21.9</v>
      </c>
      <c r="H5031" t="n">
        <v>0</v>
      </c>
      <c r="I5031" t="n">
        <v>0</v>
      </c>
      <c r="J5031" t="n">
        <v>0</v>
      </c>
      <c r="K5031" t="n">
        <v>0</v>
      </c>
      <c r="L5031" t="n">
        <v>0</v>
      </c>
      <c r="M5031" t="n">
        <v>0</v>
      </c>
      <c r="N5031" t="n">
        <v>0</v>
      </c>
      <c r="O5031" t="n">
        <v>0</v>
      </c>
      <c r="P5031" t="n">
        <v>0</v>
      </c>
      <c r="Q5031" t="n">
        <v>0</v>
      </c>
      <c r="R5031" s="2" t="inlineStr"/>
    </row>
    <row r="5032" ht="15" customHeight="1">
      <c r="A5032" t="inlineStr">
        <is>
          <t>A 22215-2022</t>
        </is>
      </c>
      <c r="B5032" s="1" t="n">
        <v>44712</v>
      </c>
      <c r="C5032" s="1" t="n">
        <v>45212</v>
      </c>
      <c r="D5032" t="inlineStr">
        <is>
          <t>VÄSTERNORRLANDS LÄN</t>
        </is>
      </c>
      <c r="E5032" t="inlineStr">
        <is>
          <t>KRAMFORS</t>
        </is>
      </c>
      <c r="G5032" t="n">
        <v>3.2</v>
      </c>
      <c r="H5032" t="n">
        <v>0</v>
      </c>
      <c r="I5032" t="n">
        <v>0</v>
      </c>
      <c r="J5032" t="n">
        <v>0</v>
      </c>
      <c r="K5032" t="n">
        <v>0</v>
      </c>
      <c r="L5032" t="n">
        <v>0</v>
      </c>
      <c r="M5032" t="n">
        <v>0</v>
      </c>
      <c r="N5032" t="n">
        <v>0</v>
      </c>
      <c r="O5032" t="n">
        <v>0</v>
      </c>
      <c r="P5032" t="n">
        <v>0</v>
      </c>
      <c r="Q5032" t="n">
        <v>0</v>
      </c>
      <c r="R5032" s="2" t="inlineStr"/>
    </row>
    <row r="5033" ht="15" customHeight="1">
      <c r="A5033" t="inlineStr">
        <is>
          <t>A 22285-2022</t>
        </is>
      </c>
      <c r="B5033" s="1" t="n">
        <v>44712</v>
      </c>
      <c r="C5033" s="1" t="n">
        <v>45212</v>
      </c>
      <c r="D5033" t="inlineStr">
        <is>
          <t>VÄSTERNORRLANDS LÄN</t>
        </is>
      </c>
      <c r="E5033" t="inlineStr">
        <is>
          <t>ÖRNSKÖLDSVIK</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22139-2022</t>
        </is>
      </c>
      <c r="B5034" s="1" t="n">
        <v>44712</v>
      </c>
      <c r="C5034" s="1" t="n">
        <v>45212</v>
      </c>
      <c r="D5034" t="inlineStr">
        <is>
          <t>VÄSTERNORRLANDS LÄN</t>
        </is>
      </c>
      <c r="E5034" t="inlineStr">
        <is>
          <t>ÖRNSKÖLDSVIK</t>
        </is>
      </c>
      <c r="F5034" t="inlineStr">
        <is>
          <t>Holmen skog AB</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22218-2022</t>
        </is>
      </c>
      <c r="B5035" s="1" t="n">
        <v>44712</v>
      </c>
      <c r="C5035" s="1" t="n">
        <v>45212</v>
      </c>
      <c r="D5035" t="inlineStr">
        <is>
          <t>VÄSTERNORRLANDS LÄN</t>
        </is>
      </c>
      <c r="E5035" t="inlineStr">
        <is>
          <t>KRAMFORS</t>
        </is>
      </c>
      <c r="G5035" t="n">
        <v>4.7</v>
      </c>
      <c r="H5035" t="n">
        <v>0</v>
      </c>
      <c r="I5035" t="n">
        <v>0</v>
      </c>
      <c r="J5035" t="n">
        <v>0</v>
      </c>
      <c r="K5035" t="n">
        <v>0</v>
      </c>
      <c r="L5035" t="n">
        <v>0</v>
      </c>
      <c r="M5035" t="n">
        <v>0</v>
      </c>
      <c r="N5035" t="n">
        <v>0</v>
      </c>
      <c r="O5035" t="n">
        <v>0</v>
      </c>
      <c r="P5035" t="n">
        <v>0</v>
      </c>
      <c r="Q5035" t="n">
        <v>0</v>
      </c>
      <c r="R5035" s="2" t="inlineStr"/>
    </row>
    <row r="5036" ht="15" customHeight="1">
      <c r="A5036" t="inlineStr">
        <is>
          <t>A 22194-2022</t>
        </is>
      </c>
      <c r="B5036" s="1" t="n">
        <v>44712</v>
      </c>
      <c r="C5036" s="1" t="n">
        <v>45212</v>
      </c>
      <c r="D5036" t="inlineStr">
        <is>
          <t>VÄSTERNORRLANDS LÄN</t>
        </is>
      </c>
      <c r="E5036" t="inlineStr">
        <is>
          <t>TIMRÅ</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22378-2022</t>
        </is>
      </c>
      <c r="B5037" s="1" t="n">
        <v>44713</v>
      </c>
      <c r="C5037" s="1" t="n">
        <v>45212</v>
      </c>
      <c r="D5037" t="inlineStr">
        <is>
          <t>VÄSTERNORRLANDS LÄN</t>
        </is>
      </c>
      <c r="E5037" t="inlineStr">
        <is>
          <t>ÖRNSKÖLDSVIK</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22398-2022</t>
        </is>
      </c>
      <c r="B5038" s="1" t="n">
        <v>44713</v>
      </c>
      <c r="C5038" s="1" t="n">
        <v>45212</v>
      </c>
      <c r="D5038" t="inlineStr">
        <is>
          <t>VÄSTERNORRLANDS LÄN</t>
        </is>
      </c>
      <c r="E5038" t="inlineStr">
        <is>
          <t>ÖRNSKÖLDSVIK</t>
        </is>
      </c>
      <c r="F5038" t="inlineStr">
        <is>
          <t>Holmen skog AB</t>
        </is>
      </c>
      <c r="G5038" t="n">
        <v>6.2</v>
      </c>
      <c r="H5038" t="n">
        <v>0</v>
      </c>
      <c r="I5038" t="n">
        <v>0</v>
      </c>
      <c r="J5038" t="n">
        <v>0</v>
      </c>
      <c r="K5038" t="n">
        <v>0</v>
      </c>
      <c r="L5038" t="n">
        <v>0</v>
      </c>
      <c r="M5038" t="n">
        <v>0</v>
      </c>
      <c r="N5038" t="n">
        <v>0</v>
      </c>
      <c r="O5038" t="n">
        <v>0</v>
      </c>
      <c r="P5038" t="n">
        <v>0</v>
      </c>
      <c r="Q5038" t="n">
        <v>0</v>
      </c>
      <c r="R5038" s="2" t="inlineStr"/>
    </row>
    <row r="5039" ht="15" customHeight="1">
      <c r="A5039" t="inlineStr">
        <is>
          <t>A 22569-2022</t>
        </is>
      </c>
      <c r="B5039" s="1" t="n">
        <v>44713</v>
      </c>
      <c r="C5039" s="1" t="n">
        <v>45212</v>
      </c>
      <c r="D5039" t="inlineStr">
        <is>
          <t>VÄSTERNORRLANDS LÄN</t>
        </is>
      </c>
      <c r="E5039" t="inlineStr">
        <is>
          <t>ÖRNSKÖLDSVIK</t>
        </is>
      </c>
      <c r="F5039" t="inlineStr">
        <is>
          <t>SCA</t>
        </is>
      </c>
      <c r="G5039" t="n">
        <v>4.3</v>
      </c>
      <c r="H5039" t="n">
        <v>0</v>
      </c>
      <c r="I5039" t="n">
        <v>0</v>
      </c>
      <c r="J5039" t="n">
        <v>0</v>
      </c>
      <c r="K5039" t="n">
        <v>0</v>
      </c>
      <c r="L5039" t="n">
        <v>0</v>
      </c>
      <c r="M5039" t="n">
        <v>0</v>
      </c>
      <c r="N5039" t="n">
        <v>0</v>
      </c>
      <c r="O5039" t="n">
        <v>0</v>
      </c>
      <c r="P5039" t="n">
        <v>0</v>
      </c>
      <c r="Q5039" t="n">
        <v>0</v>
      </c>
      <c r="R5039" s="2" t="inlineStr"/>
    </row>
    <row r="5040" ht="15" customHeight="1">
      <c r="A5040" t="inlineStr">
        <is>
          <t>A 22525-2022</t>
        </is>
      </c>
      <c r="B5040" s="1" t="n">
        <v>44713</v>
      </c>
      <c r="C5040" s="1" t="n">
        <v>45212</v>
      </c>
      <c r="D5040" t="inlineStr">
        <is>
          <t>VÄSTERNORRLANDS LÄN</t>
        </is>
      </c>
      <c r="E5040" t="inlineStr">
        <is>
          <t>ÖRNSKÖLDSVIK</t>
        </is>
      </c>
      <c r="F5040" t="inlineStr">
        <is>
          <t>Holmen skog AB</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22382-2022</t>
        </is>
      </c>
      <c r="B5041" s="1" t="n">
        <v>44713</v>
      </c>
      <c r="C5041" s="1" t="n">
        <v>45212</v>
      </c>
      <c r="D5041" t="inlineStr">
        <is>
          <t>VÄSTERNORRLANDS LÄN</t>
        </is>
      </c>
      <c r="E5041" t="inlineStr">
        <is>
          <t>KRAMFORS</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22434-2022</t>
        </is>
      </c>
      <c r="B5042" s="1" t="n">
        <v>44713</v>
      </c>
      <c r="C5042" s="1" t="n">
        <v>45212</v>
      </c>
      <c r="D5042" t="inlineStr">
        <is>
          <t>VÄSTERNORRLANDS LÄN</t>
        </is>
      </c>
      <c r="E5042" t="inlineStr">
        <is>
          <t>ÖRNSKÖLDSVIK</t>
        </is>
      </c>
      <c r="G5042" t="n">
        <v>0.3</v>
      </c>
      <c r="H5042" t="n">
        <v>0</v>
      </c>
      <c r="I5042" t="n">
        <v>0</v>
      </c>
      <c r="J5042" t="n">
        <v>0</v>
      </c>
      <c r="K5042" t="n">
        <v>0</v>
      </c>
      <c r="L5042" t="n">
        <v>0</v>
      </c>
      <c r="M5042" t="n">
        <v>0</v>
      </c>
      <c r="N5042" t="n">
        <v>0</v>
      </c>
      <c r="O5042" t="n">
        <v>0</v>
      </c>
      <c r="P5042" t="n">
        <v>0</v>
      </c>
      <c r="Q5042" t="n">
        <v>0</v>
      </c>
      <c r="R5042" s="2" t="inlineStr"/>
    </row>
    <row r="5043" ht="15" customHeight="1">
      <c r="A5043" t="inlineStr">
        <is>
          <t>A 22664-2022</t>
        </is>
      </c>
      <c r="B5043" s="1" t="n">
        <v>44714</v>
      </c>
      <c r="C5043" s="1" t="n">
        <v>45212</v>
      </c>
      <c r="D5043" t="inlineStr">
        <is>
          <t>VÄSTERNORRLANDS LÄN</t>
        </is>
      </c>
      <c r="E5043" t="inlineStr">
        <is>
          <t>SOLLEFTEÅ</t>
        </is>
      </c>
      <c r="G5043" t="n">
        <v>9.9</v>
      </c>
      <c r="H5043" t="n">
        <v>0</v>
      </c>
      <c r="I5043" t="n">
        <v>0</v>
      </c>
      <c r="J5043" t="n">
        <v>0</v>
      </c>
      <c r="K5043" t="n">
        <v>0</v>
      </c>
      <c r="L5043" t="n">
        <v>0</v>
      </c>
      <c r="M5043" t="n">
        <v>0</v>
      </c>
      <c r="N5043" t="n">
        <v>0</v>
      </c>
      <c r="O5043" t="n">
        <v>0</v>
      </c>
      <c r="P5043" t="n">
        <v>0</v>
      </c>
      <c r="Q5043" t="n">
        <v>0</v>
      </c>
      <c r="R5043" s="2" t="inlineStr"/>
    </row>
    <row r="5044" ht="15" customHeight="1">
      <c r="A5044" t="inlineStr">
        <is>
          <t>A 22749-2022</t>
        </is>
      </c>
      <c r="B5044" s="1" t="n">
        <v>44714</v>
      </c>
      <c r="C5044" s="1" t="n">
        <v>45212</v>
      </c>
      <c r="D5044" t="inlineStr">
        <is>
          <t>VÄSTERNORRLANDS LÄN</t>
        </is>
      </c>
      <c r="E5044" t="inlineStr">
        <is>
          <t>ÖRNSKÖLDSVIK</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22840-2022</t>
        </is>
      </c>
      <c r="B5045" s="1" t="n">
        <v>44715</v>
      </c>
      <c r="C5045" s="1" t="n">
        <v>45212</v>
      </c>
      <c r="D5045" t="inlineStr">
        <is>
          <t>VÄSTERNORRLANDS LÄN</t>
        </is>
      </c>
      <c r="E5045" t="inlineStr">
        <is>
          <t>ÖRNSKÖLDSVIK</t>
        </is>
      </c>
      <c r="F5045" t="inlineStr">
        <is>
          <t>Holmen skog AB</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22949-2022</t>
        </is>
      </c>
      <c r="B5046" s="1" t="n">
        <v>44715</v>
      </c>
      <c r="C5046" s="1" t="n">
        <v>45212</v>
      </c>
      <c r="D5046" t="inlineStr">
        <is>
          <t>VÄSTERNORRLANDS LÄN</t>
        </is>
      </c>
      <c r="E5046" t="inlineStr">
        <is>
          <t>KRAMFORS</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22890-2022</t>
        </is>
      </c>
      <c r="B5047" s="1" t="n">
        <v>44715</v>
      </c>
      <c r="C5047" s="1" t="n">
        <v>45212</v>
      </c>
      <c r="D5047" t="inlineStr">
        <is>
          <t>VÄSTERNORRLANDS LÄN</t>
        </is>
      </c>
      <c r="E5047" t="inlineStr">
        <is>
          <t>SUNDSVALL</t>
        </is>
      </c>
      <c r="G5047" t="n">
        <v>5.8</v>
      </c>
      <c r="H5047" t="n">
        <v>0</v>
      </c>
      <c r="I5047" t="n">
        <v>0</v>
      </c>
      <c r="J5047" t="n">
        <v>0</v>
      </c>
      <c r="K5047" t="n">
        <v>0</v>
      </c>
      <c r="L5047" t="n">
        <v>0</v>
      </c>
      <c r="M5047" t="n">
        <v>0</v>
      </c>
      <c r="N5047" t="n">
        <v>0</v>
      </c>
      <c r="O5047" t="n">
        <v>0</v>
      </c>
      <c r="P5047" t="n">
        <v>0</v>
      </c>
      <c r="Q5047" t="n">
        <v>0</v>
      </c>
      <c r="R5047" s="2" t="inlineStr"/>
    </row>
    <row r="5048" ht="15" customHeight="1">
      <c r="A5048" t="inlineStr">
        <is>
          <t>A 22931-2022</t>
        </is>
      </c>
      <c r="B5048" s="1" t="n">
        <v>44715</v>
      </c>
      <c r="C5048" s="1" t="n">
        <v>45212</v>
      </c>
      <c r="D5048" t="inlineStr">
        <is>
          <t>VÄSTERNORRLANDS LÄN</t>
        </is>
      </c>
      <c r="E5048" t="inlineStr">
        <is>
          <t>ÖRNSKÖLDSVIK</t>
        </is>
      </c>
      <c r="F5048" t="inlineStr">
        <is>
          <t>Holmen skog AB</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22962-2022</t>
        </is>
      </c>
      <c r="B5049" s="1" t="n">
        <v>44715</v>
      </c>
      <c r="C5049" s="1" t="n">
        <v>45212</v>
      </c>
      <c r="D5049" t="inlineStr">
        <is>
          <t>VÄSTERNORRLANDS LÄN</t>
        </is>
      </c>
      <c r="E5049" t="inlineStr">
        <is>
          <t>SOLLEFTEÅ</t>
        </is>
      </c>
      <c r="F5049" t="inlineStr">
        <is>
          <t>SCA</t>
        </is>
      </c>
      <c r="G5049" t="n">
        <v>12.1</v>
      </c>
      <c r="H5049" t="n">
        <v>0</v>
      </c>
      <c r="I5049" t="n">
        <v>0</v>
      </c>
      <c r="J5049" t="n">
        <v>0</v>
      </c>
      <c r="K5049" t="n">
        <v>0</v>
      </c>
      <c r="L5049" t="n">
        <v>0</v>
      </c>
      <c r="M5049" t="n">
        <v>0</v>
      </c>
      <c r="N5049" t="n">
        <v>0</v>
      </c>
      <c r="O5049" t="n">
        <v>0</v>
      </c>
      <c r="P5049" t="n">
        <v>0</v>
      </c>
      <c r="Q5049" t="n">
        <v>0</v>
      </c>
      <c r="R5049" s="2" t="inlineStr"/>
    </row>
    <row r="5050" ht="15" customHeight="1">
      <c r="A5050" t="inlineStr">
        <is>
          <t>A 22992-2022</t>
        </is>
      </c>
      <c r="B5050" s="1" t="n">
        <v>44718</v>
      </c>
      <c r="C5050" s="1" t="n">
        <v>45212</v>
      </c>
      <c r="D5050" t="inlineStr">
        <is>
          <t>VÄSTERNORRLANDS LÄN</t>
        </is>
      </c>
      <c r="E5050" t="inlineStr">
        <is>
          <t>ÖRNSKÖLDSVIK</t>
        </is>
      </c>
      <c r="F5050" t="inlineStr">
        <is>
          <t>Holmen skog AB</t>
        </is>
      </c>
      <c r="G5050" t="n">
        <v>13.8</v>
      </c>
      <c r="H5050" t="n">
        <v>0</v>
      </c>
      <c r="I5050" t="n">
        <v>0</v>
      </c>
      <c r="J5050" t="n">
        <v>0</v>
      </c>
      <c r="K5050" t="n">
        <v>0</v>
      </c>
      <c r="L5050" t="n">
        <v>0</v>
      </c>
      <c r="M5050" t="n">
        <v>0</v>
      </c>
      <c r="N5050" t="n">
        <v>0</v>
      </c>
      <c r="O5050" t="n">
        <v>0</v>
      </c>
      <c r="P5050" t="n">
        <v>0</v>
      </c>
      <c r="Q5050" t="n">
        <v>0</v>
      </c>
      <c r="R5050" s="2" t="inlineStr"/>
    </row>
    <row r="5051" ht="15" customHeight="1">
      <c r="A5051" t="inlineStr">
        <is>
          <t>A 23220-2022</t>
        </is>
      </c>
      <c r="B5051" s="1" t="n">
        <v>44719</v>
      </c>
      <c r="C5051" s="1" t="n">
        <v>45212</v>
      </c>
      <c r="D5051" t="inlineStr">
        <is>
          <t>VÄSTERNORRLANDS LÄN</t>
        </is>
      </c>
      <c r="E5051" t="inlineStr">
        <is>
          <t>SOLLEFTEÅ</t>
        </is>
      </c>
      <c r="F5051" t="inlineStr">
        <is>
          <t>SCA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23088-2022</t>
        </is>
      </c>
      <c r="B5052" s="1" t="n">
        <v>44719</v>
      </c>
      <c r="C5052" s="1" t="n">
        <v>45212</v>
      </c>
      <c r="D5052" t="inlineStr">
        <is>
          <t>VÄSTERNORRLANDS LÄN</t>
        </is>
      </c>
      <c r="E5052" t="inlineStr">
        <is>
          <t>ÖRNSKÖLDSVIK</t>
        </is>
      </c>
      <c r="F5052" t="inlineStr">
        <is>
          <t>Holmen skog AB</t>
        </is>
      </c>
      <c r="G5052" t="n">
        <v>23.3</v>
      </c>
      <c r="H5052" t="n">
        <v>0</v>
      </c>
      <c r="I5052" t="n">
        <v>0</v>
      </c>
      <c r="J5052" t="n">
        <v>0</v>
      </c>
      <c r="K5052" t="n">
        <v>0</v>
      </c>
      <c r="L5052" t="n">
        <v>0</v>
      </c>
      <c r="M5052" t="n">
        <v>0</v>
      </c>
      <c r="N5052" t="n">
        <v>0</v>
      </c>
      <c r="O5052" t="n">
        <v>0</v>
      </c>
      <c r="P5052" t="n">
        <v>0</v>
      </c>
      <c r="Q5052" t="n">
        <v>0</v>
      </c>
      <c r="R5052" s="2" t="inlineStr"/>
    </row>
    <row r="5053" ht="15" customHeight="1">
      <c r="A5053" t="inlineStr">
        <is>
          <t>A 23199-2022</t>
        </is>
      </c>
      <c r="B5053" s="1" t="n">
        <v>44719</v>
      </c>
      <c r="C5053" s="1" t="n">
        <v>45212</v>
      </c>
      <c r="D5053" t="inlineStr">
        <is>
          <t>VÄSTERNORRLANDS LÄN</t>
        </is>
      </c>
      <c r="E5053" t="inlineStr">
        <is>
          <t>KRAMFORS</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23124-2022</t>
        </is>
      </c>
      <c r="B5054" s="1" t="n">
        <v>44719</v>
      </c>
      <c r="C5054" s="1" t="n">
        <v>45212</v>
      </c>
      <c r="D5054" t="inlineStr">
        <is>
          <t>VÄSTERNORRLANDS LÄN</t>
        </is>
      </c>
      <c r="E5054" t="inlineStr">
        <is>
          <t>ÖRNSKÖLDSVIK</t>
        </is>
      </c>
      <c r="F5054" t="inlineStr">
        <is>
          <t>Holmen skog AB</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23130-2022</t>
        </is>
      </c>
      <c r="B5055" s="1" t="n">
        <v>44719</v>
      </c>
      <c r="C5055" s="1" t="n">
        <v>45212</v>
      </c>
      <c r="D5055" t="inlineStr">
        <is>
          <t>VÄSTERNORRLANDS LÄN</t>
        </is>
      </c>
      <c r="E5055" t="inlineStr">
        <is>
          <t>ÖRNSKÖLDSVIK</t>
        </is>
      </c>
      <c r="F5055" t="inlineStr">
        <is>
          <t>Holmen skog AB</t>
        </is>
      </c>
      <c r="G5055" t="n">
        <v>7.3</v>
      </c>
      <c r="H5055" t="n">
        <v>0</v>
      </c>
      <c r="I5055" t="n">
        <v>0</v>
      </c>
      <c r="J5055" t="n">
        <v>0</v>
      </c>
      <c r="K5055" t="n">
        <v>0</v>
      </c>
      <c r="L5055" t="n">
        <v>0</v>
      </c>
      <c r="M5055" t="n">
        <v>0</v>
      </c>
      <c r="N5055" t="n">
        <v>0</v>
      </c>
      <c r="O5055" t="n">
        <v>0</v>
      </c>
      <c r="P5055" t="n">
        <v>0</v>
      </c>
      <c r="Q5055" t="n">
        <v>0</v>
      </c>
      <c r="R5055" s="2" t="inlineStr"/>
    </row>
    <row r="5056" ht="15" customHeight="1">
      <c r="A5056" t="inlineStr">
        <is>
          <t>A 23423-2022</t>
        </is>
      </c>
      <c r="B5056" s="1" t="n">
        <v>44720</v>
      </c>
      <c r="C5056" s="1" t="n">
        <v>45212</v>
      </c>
      <c r="D5056" t="inlineStr">
        <is>
          <t>VÄSTERNORRLANDS LÄN</t>
        </is>
      </c>
      <c r="E5056" t="inlineStr">
        <is>
          <t>SUNDSVALL</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23450-2022</t>
        </is>
      </c>
      <c r="B5057" s="1" t="n">
        <v>44720</v>
      </c>
      <c r="C5057" s="1" t="n">
        <v>45212</v>
      </c>
      <c r="D5057" t="inlineStr">
        <is>
          <t>VÄSTERNORRLANDS LÄN</t>
        </is>
      </c>
      <c r="E5057" t="inlineStr">
        <is>
          <t>SOLLEFTEÅ</t>
        </is>
      </c>
      <c r="F5057" t="inlineStr">
        <is>
          <t>SCA</t>
        </is>
      </c>
      <c r="G5057" t="n">
        <v>9</v>
      </c>
      <c r="H5057" t="n">
        <v>0</v>
      </c>
      <c r="I5057" t="n">
        <v>0</v>
      </c>
      <c r="J5057" t="n">
        <v>0</v>
      </c>
      <c r="K5057" t="n">
        <v>0</v>
      </c>
      <c r="L5057" t="n">
        <v>0</v>
      </c>
      <c r="M5057" t="n">
        <v>0</v>
      </c>
      <c r="N5057" t="n">
        <v>0</v>
      </c>
      <c r="O5057" t="n">
        <v>0</v>
      </c>
      <c r="P5057" t="n">
        <v>0</v>
      </c>
      <c r="Q5057" t="n">
        <v>0</v>
      </c>
      <c r="R5057" s="2" t="inlineStr"/>
    </row>
    <row r="5058" ht="15" customHeight="1">
      <c r="A5058" t="inlineStr">
        <is>
          <t>A 23381-2022</t>
        </is>
      </c>
      <c r="B5058" s="1" t="n">
        <v>44720</v>
      </c>
      <c r="C5058" s="1" t="n">
        <v>45212</v>
      </c>
      <c r="D5058" t="inlineStr">
        <is>
          <t>VÄSTERNORRLANDS LÄN</t>
        </is>
      </c>
      <c r="E5058" t="inlineStr">
        <is>
          <t>HÄRNÖSAND</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23436-2022</t>
        </is>
      </c>
      <c r="B5059" s="1" t="n">
        <v>44720</v>
      </c>
      <c r="C5059" s="1" t="n">
        <v>45212</v>
      </c>
      <c r="D5059" t="inlineStr">
        <is>
          <t>VÄSTERNORRLANDS LÄN</t>
        </is>
      </c>
      <c r="E5059" t="inlineStr">
        <is>
          <t>SOLLEFTEÅ</t>
        </is>
      </c>
      <c r="F5059" t="inlineStr">
        <is>
          <t>SCA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23230-2022</t>
        </is>
      </c>
      <c r="B5060" s="1" t="n">
        <v>44720</v>
      </c>
      <c r="C5060" s="1" t="n">
        <v>45212</v>
      </c>
      <c r="D5060" t="inlineStr">
        <is>
          <t>VÄSTERNORRLANDS LÄN</t>
        </is>
      </c>
      <c r="E5060" t="inlineStr">
        <is>
          <t>SOLLEFTEÅ</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23292-2022</t>
        </is>
      </c>
      <c r="B5061" s="1" t="n">
        <v>44720</v>
      </c>
      <c r="C5061" s="1" t="n">
        <v>45212</v>
      </c>
      <c r="D5061" t="inlineStr">
        <is>
          <t>VÄSTERNORRLANDS LÄN</t>
        </is>
      </c>
      <c r="E5061" t="inlineStr">
        <is>
          <t>HÄRNÖSAND</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23111-2022</t>
        </is>
      </c>
      <c r="B5062" s="1" t="n">
        <v>44720</v>
      </c>
      <c r="C5062" s="1" t="n">
        <v>45212</v>
      </c>
      <c r="D5062" t="inlineStr">
        <is>
          <t>VÄSTERNORRLANDS LÄN</t>
        </is>
      </c>
      <c r="E5062" t="inlineStr">
        <is>
          <t>SOLLEFTEÅ</t>
        </is>
      </c>
      <c r="G5062" t="n">
        <v>1.8</v>
      </c>
      <c r="H5062" t="n">
        <v>0</v>
      </c>
      <c r="I5062" t="n">
        <v>0</v>
      </c>
      <c r="J5062" t="n">
        <v>0</v>
      </c>
      <c r="K5062" t="n">
        <v>0</v>
      </c>
      <c r="L5062" t="n">
        <v>0</v>
      </c>
      <c r="M5062" t="n">
        <v>0</v>
      </c>
      <c r="N5062" t="n">
        <v>0</v>
      </c>
      <c r="O5062" t="n">
        <v>0</v>
      </c>
      <c r="P5062" t="n">
        <v>0</v>
      </c>
      <c r="Q5062" t="n">
        <v>0</v>
      </c>
      <c r="R5062" s="2" t="inlineStr"/>
    </row>
    <row r="5063" ht="15" customHeight="1">
      <c r="A5063" t="inlineStr">
        <is>
          <t>A 23249-2022</t>
        </is>
      </c>
      <c r="B5063" s="1" t="n">
        <v>44720</v>
      </c>
      <c r="C5063" s="1" t="n">
        <v>45212</v>
      </c>
      <c r="D5063" t="inlineStr">
        <is>
          <t>VÄSTERNORRLANDS LÄN</t>
        </is>
      </c>
      <c r="E5063" t="inlineStr">
        <is>
          <t>ÖRNSKÖLDSVIK</t>
        </is>
      </c>
      <c r="F5063" t="inlineStr">
        <is>
          <t>Holmen skog AB</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23282-2022</t>
        </is>
      </c>
      <c r="B5064" s="1" t="n">
        <v>44720</v>
      </c>
      <c r="C5064" s="1" t="n">
        <v>45212</v>
      </c>
      <c r="D5064" t="inlineStr">
        <is>
          <t>VÄSTERNORRLANDS LÄN</t>
        </is>
      </c>
      <c r="E5064" t="inlineStr">
        <is>
          <t>SOLLEFTEÅ</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23422-2022</t>
        </is>
      </c>
      <c r="B5065" s="1" t="n">
        <v>44720</v>
      </c>
      <c r="C5065" s="1" t="n">
        <v>45212</v>
      </c>
      <c r="D5065" t="inlineStr">
        <is>
          <t>VÄSTERNORRLANDS LÄN</t>
        </is>
      </c>
      <c r="E5065" t="inlineStr">
        <is>
          <t>SUNDSVALL</t>
        </is>
      </c>
      <c r="G5065" t="n">
        <v>2.6</v>
      </c>
      <c r="H5065" t="n">
        <v>0</v>
      </c>
      <c r="I5065" t="n">
        <v>0</v>
      </c>
      <c r="J5065" t="n">
        <v>0</v>
      </c>
      <c r="K5065" t="n">
        <v>0</v>
      </c>
      <c r="L5065" t="n">
        <v>0</v>
      </c>
      <c r="M5065" t="n">
        <v>0</v>
      </c>
      <c r="N5065" t="n">
        <v>0</v>
      </c>
      <c r="O5065" t="n">
        <v>0</v>
      </c>
      <c r="P5065" t="n">
        <v>0</v>
      </c>
      <c r="Q5065" t="n">
        <v>0</v>
      </c>
      <c r="R5065" s="2" t="inlineStr"/>
    </row>
    <row r="5066" ht="15" customHeight="1">
      <c r="A5066" t="inlineStr">
        <is>
          <t>A 23432-2022</t>
        </is>
      </c>
      <c r="B5066" s="1" t="n">
        <v>44720</v>
      </c>
      <c r="C5066" s="1" t="n">
        <v>45212</v>
      </c>
      <c r="D5066" t="inlineStr">
        <is>
          <t>VÄSTERNORRLANDS LÄN</t>
        </is>
      </c>
      <c r="E5066" t="inlineStr">
        <is>
          <t>SUNDSVALL</t>
        </is>
      </c>
      <c r="F5066" t="inlineStr">
        <is>
          <t>SCA</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23442-2022</t>
        </is>
      </c>
      <c r="B5067" s="1" t="n">
        <v>44720</v>
      </c>
      <c r="C5067" s="1" t="n">
        <v>45212</v>
      </c>
      <c r="D5067" t="inlineStr">
        <is>
          <t>VÄSTERNORRLANDS LÄN</t>
        </is>
      </c>
      <c r="E5067" t="inlineStr">
        <is>
          <t>TIMRÅ</t>
        </is>
      </c>
      <c r="F5067" t="inlineStr">
        <is>
          <t>SCA</t>
        </is>
      </c>
      <c r="G5067" t="n">
        <v>4.9</v>
      </c>
      <c r="H5067" t="n">
        <v>0</v>
      </c>
      <c r="I5067" t="n">
        <v>0</v>
      </c>
      <c r="J5067" t="n">
        <v>0</v>
      </c>
      <c r="K5067" t="n">
        <v>0</v>
      </c>
      <c r="L5067" t="n">
        <v>0</v>
      </c>
      <c r="M5067" t="n">
        <v>0</v>
      </c>
      <c r="N5067" t="n">
        <v>0</v>
      </c>
      <c r="O5067" t="n">
        <v>0</v>
      </c>
      <c r="P5067" t="n">
        <v>0</v>
      </c>
      <c r="Q5067" t="n">
        <v>0</v>
      </c>
      <c r="R5067" s="2" t="inlineStr"/>
    </row>
    <row r="5068" ht="15" customHeight="1">
      <c r="A5068" t="inlineStr">
        <is>
          <t>A 23556-2022</t>
        </is>
      </c>
      <c r="B5068" s="1" t="n">
        <v>44721</v>
      </c>
      <c r="C5068" s="1" t="n">
        <v>45212</v>
      </c>
      <c r="D5068" t="inlineStr">
        <is>
          <t>VÄSTERNORRLANDS LÄN</t>
        </is>
      </c>
      <c r="E5068" t="inlineStr">
        <is>
          <t>SUNDSVALL</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23669-2022</t>
        </is>
      </c>
      <c r="B5069" s="1" t="n">
        <v>44721</v>
      </c>
      <c r="C5069" s="1" t="n">
        <v>45212</v>
      </c>
      <c r="D5069" t="inlineStr">
        <is>
          <t>VÄSTERNORRLANDS LÄN</t>
        </is>
      </c>
      <c r="E5069" t="inlineStr">
        <is>
          <t>SUNDSVALL</t>
        </is>
      </c>
      <c r="G5069" t="n">
        <v>2.4</v>
      </c>
      <c r="H5069" t="n">
        <v>0</v>
      </c>
      <c r="I5069" t="n">
        <v>0</v>
      </c>
      <c r="J5069" t="n">
        <v>0</v>
      </c>
      <c r="K5069" t="n">
        <v>0</v>
      </c>
      <c r="L5069" t="n">
        <v>0</v>
      </c>
      <c r="M5069" t="n">
        <v>0</v>
      </c>
      <c r="N5069" t="n">
        <v>0</v>
      </c>
      <c r="O5069" t="n">
        <v>0</v>
      </c>
      <c r="P5069" t="n">
        <v>0</v>
      </c>
      <c r="Q5069" t="n">
        <v>0</v>
      </c>
      <c r="R5069" s="2" t="inlineStr"/>
    </row>
    <row r="5070" ht="15" customHeight="1">
      <c r="A5070" t="inlineStr">
        <is>
          <t>A 23693-2022</t>
        </is>
      </c>
      <c r="B5070" s="1" t="n">
        <v>44721</v>
      </c>
      <c r="C5070" s="1" t="n">
        <v>45212</v>
      </c>
      <c r="D5070" t="inlineStr">
        <is>
          <t>VÄSTERNORRLANDS LÄN</t>
        </is>
      </c>
      <c r="E5070" t="inlineStr">
        <is>
          <t>TIMRÅ</t>
        </is>
      </c>
      <c r="F5070" t="inlineStr">
        <is>
          <t>SCA</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23507-2022</t>
        </is>
      </c>
      <c r="B5071" s="1" t="n">
        <v>44721</v>
      </c>
      <c r="C5071" s="1" t="n">
        <v>45212</v>
      </c>
      <c r="D5071" t="inlineStr">
        <is>
          <t>VÄSTERNORRLANDS LÄN</t>
        </is>
      </c>
      <c r="E5071" t="inlineStr">
        <is>
          <t>KRAMFORS</t>
        </is>
      </c>
      <c r="G5071" t="n">
        <v>7.6</v>
      </c>
      <c r="H5071" t="n">
        <v>0</v>
      </c>
      <c r="I5071" t="n">
        <v>0</v>
      </c>
      <c r="J5071" t="n">
        <v>0</v>
      </c>
      <c r="K5071" t="n">
        <v>0</v>
      </c>
      <c r="L5071" t="n">
        <v>0</v>
      </c>
      <c r="M5071" t="n">
        <v>0</v>
      </c>
      <c r="N5071" t="n">
        <v>0</v>
      </c>
      <c r="O5071" t="n">
        <v>0</v>
      </c>
      <c r="P5071" t="n">
        <v>0</v>
      </c>
      <c r="Q5071" t="n">
        <v>0</v>
      </c>
      <c r="R5071" s="2" t="inlineStr"/>
    </row>
    <row r="5072" ht="15" customHeight="1">
      <c r="A5072" t="inlineStr">
        <is>
          <t>A 23676-2022</t>
        </is>
      </c>
      <c r="B5072" s="1" t="n">
        <v>44721</v>
      </c>
      <c r="C5072" s="1" t="n">
        <v>45212</v>
      </c>
      <c r="D5072" t="inlineStr">
        <is>
          <t>VÄSTERNORRLANDS LÄN</t>
        </is>
      </c>
      <c r="E5072" t="inlineStr">
        <is>
          <t>TIMRÅ</t>
        </is>
      </c>
      <c r="F5072" t="inlineStr">
        <is>
          <t>SCA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23841-2022</t>
        </is>
      </c>
      <c r="B5073" s="1" t="n">
        <v>44722</v>
      </c>
      <c r="C5073" s="1" t="n">
        <v>45212</v>
      </c>
      <c r="D5073" t="inlineStr">
        <is>
          <t>VÄSTERNORRLANDS LÄN</t>
        </is>
      </c>
      <c r="E5073" t="inlineStr">
        <is>
          <t>SUNDSVALL</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23990-2022</t>
        </is>
      </c>
      <c r="B5074" s="1" t="n">
        <v>44722</v>
      </c>
      <c r="C5074" s="1" t="n">
        <v>45212</v>
      </c>
      <c r="D5074" t="inlineStr">
        <is>
          <t>VÄSTERNORRLANDS LÄN</t>
        </is>
      </c>
      <c r="E5074" t="inlineStr">
        <is>
          <t>SUNDSVALL</t>
        </is>
      </c>
      <c r="F5074" t="inlineStr">
        <is>
          <t>SCA</t>
        </is>
      </c>
      <c r="G5074" t="n">
        <v>6.5</v>
      </c>
      <c r="H5074" t="n">
        <v>0</v>
      </c>
      <c r="I5074" t="n">
        <v>0</v>
      </c>
      <c r="J5074" t="n">
        <v>0</v>
      </c>
      <c r="K5074" t="n">
        <v>0</v>
      </c>
      <c r="L5074" t="n">
        <v>0</v>
      </c>
      <c r="M5074" t="n">
        <v>0</v>
      </c>
      <c r="N5074" t="n">
        <v>0</v>
      </c>
      <c r="O5074" t="n">
        <v>0</v>
      </c>
      <c r="P5074" t="n">
        <v>0</v>
      </c>
      <c r="Q5074" t="n">
        <v>0</v>
      </c>
      <c r="R5074" s="2" t="inlineStr"/>
    </row>
    <row r="5075" ht="15" customHeight="1">
      <c r="A5075" t="inlineStr">
        <is>
          <t>A 23840-2022</t>
        </is>
      </c>
      <c r="B5075" s="1" t="n">
        <v>44722</v>
      </c>
      <c r="C5075" s="1" t="n">
        <v>45212</v>
      </c>
      <c r="D5075" t="inlineStr">
        <is>
          <t>VÄSTERNORRLANDS LÄN</t>
        </is>
      </c>
      <c r="E5075" t="inlineStr">
        <is>
          <t>SUNDSVALL</t>
        </is>
      </c>
      <c r="G5075" t="n">
        <v>0.4</v>
      </c>
      <c r="H5075" t="n">
        <v>0</v>
      </c>
      <c r="I5075" t="n">
        <v>0</v>
      </c>
      <c r="J5075" t="n">
        <v>0</v>
      </c>
      <c r="K5075" t="n">
        <v>0</v>
      </c>
      <c r="L5075" t="n">
        <v>0</v>
      </c>
      <c r="M5075" t="n">
        <v>0</v>
      </c>
      <c r="N5075" t="n">
        <v>0</v>
      </c>
      <c r="O5075" t="n">
        <v>0</v>
      </c>
      <c r="P5075" t="n">
        <v>0</v>
      </c>
      <c r="Q5075" t="n">
        <v>0</v>
      </c>
      <c r="R5075" s="2" t="inlineStr"/>
    </row>
    <row r="5076" ht="15" customHeight="1">
      <c r="A5076" t="inlineStr">
        <is>
          <t>A 23972-2022</t>
        </is>
      </c>
      <c r="B5076" s="1" t="n">
        <v>44722</v>
      </c>
      <c r="C5076" s="1" t="n">
        <v>45212</v>
      </c>
      <c r="D5076" t="inlineStr">
        <is>
          <t>VÄSTERNORRLANDS LÄN</t>
        </is>
      </c>
      <c r="E5076" t="inlineStr">
        <is>
          <t>KRAMFORS</t>
        </is>
      </c>
      <c r="G5076" t="n">
        <v>4.3</v>
      </c>
      <c r="H5076" t="n">
        <v>0</v>
      </c>
      <c r="I5076" t="n">
        <v>0</v>
      </c>
      <c r="J5076" t="n">
        <v>0</v>
      </c>
      <c r="K5076" t="n">
        <v>0</v>
      </c>
      <c r="L5076" t="n">
        <v>0</v>
      </c>
      <c r="M5076" t="n">
        <v>0</v>
      </c>
      <c r="N5076" t="n">
        <v>0</v>
      </c>
      <c r="O5076" t="n">
        <v>0</v>
      </c>
      <c r="P5076" t="n">
        <v>0</v>
      </c>
      <c r="Q5076" t="n">
        <v>0</v>
      </c>
      <c r="R5076" s="2" t="inlineStr"/>
    </row>
    <row r="5077" ht="15" customHeight="1">
      <c r="A5077" t="inlineStr">
        <is>
          <t>A 23998-2022</t>
        </is>
      </c>
      <c r="B5077" s="1" t="n">
        <v>44722</v>
      </c>
      <c r="C5077" s="1" t="n">
        <v>45212</v>
      </c>
      <c r="D5077" t="inlineStr">
        <is>
          <t>VÄSTERNORRLANDS LÄN</t>
        </is>
      </c>
      <c r="E5077" t="inlineStr">
        <is>
          <t>SUNDSVALL</t>
        </is>
      </c>
      <c r="F5077" t="inlineStr">
        <is>
          <t>SCA</t>
        </is>
      </c>
      <c r="G5077" t="n">
        <v>3.9</v>
      </c>
      <c r="H5077" t="n">
        <v>0</v>
      </c>
      <c r="I5077" t="n">
        <v>0</v>
      </c>
      <c r="J5077" t="n">
        <v>0</v>
      </c>
      <c r="K5077" t="n">
        <v>0</v>
      </c>
      <c r="L5077" t="n">
        <v>0</v>
      </c>
      <c r="M5077" t="n">
        <v>0</v>
      </c>
      <c r="N5077" t="n">
        <v>0</v>
      </c>
      <c r="O5077" t="n">
        <v>0</v>
      </c>
      <c r="P5077" t="n">
        <v>0</v>
      </c>
      <c r="Q5077" t="n">
        <v>0</v>
      </c>
      <c r="R5077" s="2" t="inlineStr"/>
    </row>
    <row r="5078" ht="15" customHeight="1">
      <c r="A5078" t="inlineStr">
        <is>
          <t>A 24304-2022</t>
        </is>
      </c>
      <c r="B5078" s="1" t="n">
        <v>44725</v>
      </c>
      <c r="C5078" s="1" t="n">
        <v>45212</v>
      </c>
      <c r="D5078" t="inlineStr">
        <is>
          <t>VÄSTERNORRLANDS LÄN</t>
        </is>
      </c>
      <c r="E5078" t="inlineStr">
        <is>
          <t>TIMRÅ</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24201-2022</t>
        </is>
      </c>
      <c r="B5079" s="1" t="n">
        <v>44725</v>
      </c>
      <c r="C5079" s="1" t="n">
        <v>45212</v>
      </c>
      <c r="D5079" t="inlineStr">
        <is>
          <t>VÄSTERNORRLANDS LÄN</t>
        </is>
      </c>
      <c r="E5079" t="inlineStr">
        <is>
          <t>ÖRNSKÖLDSVIK</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24314-2022</t>
        </is>
      </c>
      <c r="B5080" s="1" t="n">
        <v>44725</v>
      </c>
      <c r="C5080" s="1" t="n">
        <v>45212</v>
      </c>
      <c r="D5080" t="inlineStr">
        <is>
          <t>VÄSTERNORRLANDS LÄN</t>
        </is>
      </c>
      <c r="E5080" t="inlineStr">
        <is>
          <t>SOLLEFTEÅ</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24226-2022</t>
        </is>
      </c>
      <c r="B5081" s="1" t="n">
        <v>44725</v>
      </c>
      <c r="C5081" s="1" t="n">
        <v>45212</v>
      </c>
      <c r="D5081" t="inlineStr">
        <is>
          <t>VÄSTERNORRLANDS LÄN</t>
        </is>
      </c>
      <c r="E5081" t="inlineStr">
        <is>
          <t>KRAMFORS</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24514-2022</t>
        </is>
      </c>
      <c r="B5082" s="1" t="n">
        <v>44726</v>
      </c>
      <c r="C5082" s="1" t="n">
        <v>45212</v>
      </c>
      <c r="D5082" t="inlineStr">
        <is>
          <t>VÄSTERNORRLANDS LÄN</t>
        </is>
      </c>
      <c r="E5082" t="inlineStr">
        <is>
          <t>SUNDSVALL</t>
        </is>
      </c>
      <c r="G5082" t="n">
        <v>10.5</v>
      </c>
      <c r="H5082" t="n">
        <v>0</v>
      </c>
      <c r="I5082" t="n">
        <v>0</v>
      </c>
      <c r="J5082" t="n">
        <v>0</v>
      </c>
      <c r="K5082" t="n">
        <v>0</v>
      </c>
      <c r="L5082" t="n">
        <v>0</v>
      </c>
      <c r="M5082" t="n">
        <v>0</v>
      </c>
      <c r="N5082" t="n">
        <v>0</v>
      </c>
      <c r="O5082" t="n">
        <v>0</v>
      </c>
      <c r="P5082" t="n">
        <v>0</v>
      </c>
      <c r="Q5082" t="n">
        <v>0</v>
      </c>
      <c r="R5082" s="2" t="inlineStr"/>
    </row>
    <row r="5083" ht="15" customHeight="1">
      <c r="A5083" t="inlineStr">
        <is>
          <t>A 24527-2022</t>
        </is>
      </c>
      <c r="B5083" s="1" t="n">
        <v>44726</v>
      </c>
      <c r="C5083" s="1" t="n">
        <v>45212</v>
      </c>
      <c r="D5083" t="inlineStr">
        <is>
          <t>VÄSTERNORRLANDS LÄN</t>
        </is>
      </c>
      <c r="E5083" t="inlineStr">
        <is>
          <t>ÅNGE</t>
        </is>
      </c>
      <c r="F5083" t="inlineStr">
        <is>
          <t>SCA</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24529-2022</t>
        </is>
      </c>
      <c r="B5084" s="1" t="n">
        <v>44726</v>
      </c>
      <c r="C5084" s="1" t="n">
        <v>45212</v>
      </c>
      <c r="D5084" t="inlineStr">
        <is>
          <t>VÄSTERNORRLANDS LÄN</t>
        </is>
      </c>
      <c r="E5084" t="inlineStr">
        <is>
          <t>KRAMFORS</t>
        </is>
      </c>
      <c r="F5084" t="inlineStr">
        <is>
          <t>SCA</t>
        </is>
      </c>
      <c r="G5084" t="n">
        <v>3.6</v>
      </c>
      <c r="H5084" t="n">
        <v>0</v>
      </c>
      <c r="I5084" t="n">
        <v>0</v>
      </c>
      <c r="J5084" t="n">
        <v>0</v>
      </c>
      <c r="K5084" t="n">
        <v>0</v>
      </c>
      <c r="L5084" t="n">
        <v>0</v>
      </c>
      <c r="M5084" t="n">
        <v>0</v>
      </c>
      <c r="N5084" t="n">
        <v>0</v>
      </c>
      <c r="O5084" t="n">
        <v>0</v>
      </c>
      <c r="P5084" t="n">
        <v>0</v>
      </c>
      <c r="Q5084" t="n">
        <v>0</v>
      </c>
      <c r="R5084" s="2" t="inlineStr"/>
    </row>
    <row r="5085" ht="15" customHeight="1">
      <c r="A5085" t="inlineStr">
        <is>
          <t>A 24554-2022</t>
        </is>
      </c>
      <c r="B5085" s="1" t="n">
        <v>44726</v>
      </c>
      <c r="C5085" s="1" t="n">
        <v>45212</v>
      </c>
      <c r="D5085" t="inlineStr">
        <is>
          <t>VÄSTERNORRLANDS LÄN</t>
        </is>
      </c>
      <c r="E5085" t="inlineStr">
        <is>
          <t>ÖRNSKÖLDSVIK</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24403-2022</t>
        </is>
      </c>
      <c r="B5086" s="1" t="n">
        <v>44726</v>
      </c>
      <c r="C5086" s="1" t="n">
        <v>45212</v>
      </c>
      <c r="D5086" t="inlineStr">
        <is>
          <t>VÄSTERNORRLANDS LÄN</t>
        </is>
      </c>
      <c r="E5086" t="inlineStr">
        <is>
          <t>KRAMFORS</t>
        </is>
      </c>
      <c r="G5086" t="n">
        <v>6</v>
      </c>
      <c r="H5086" t="n">
        <v>0</v>
      </c>
      <c r="I5086" t="n">
        <v>0</v>
      </c>
      <c r="J5086" t="n">
        <v>0</v>
      </c>
      <c r="K5086" t="n">
        <v>0</v>
      </c>
      <c r="L5086" t="n">
        <v>0</v>
      </c>
      <c r="M5086" t="n">
        <v>0</v>
      </c>
      <c r="N5086" t="n">
        <v>0</v>
      </c>
      <c r="O5086" t="n">
        <v>0</v>
      </c>
      <c r="P5086" t="n">
        <v>0</v>
      </c>
      <c r="Q5086" t="n">
        <v>0</v>
      </c>
      <c r="R5086" s="2" t="inlineStr"/>
    </row>
    <row r="5087" ht="15" customHeight="1">
      <c r="A5087" t="inlineStr">
        <is>
          <t>A 24518-2022</t>
        </is>
      </c>
      <c r="B5087" s="1" t="n">
        <v>44726</v>
      </c>
      <c r="C5087" s="1" t="n">
        <v>45212</v>
      </c>
      <c r="D5087" t="inlineStr">
        <is>
          <t>VÄSTERNORRLANDS LÄN</t>
        </is>
      </c>
      <c r="E5087" t="inlineStr">
        <is>
          <t>SUNDSVALL</t>
        </is>
      </c>
      <c r="F5087" t="inlineStr">
        <is>
          <t>SCA</t>
        </is>
      </c>
      <c r="G5087" t="n">
        <v>4.3</v>
      </c>
      <c r="H5087" t="n">
        <v>0</v>
      </c>
      <c r="I5087" t="n">
        <v>0</v>
      </c>
      <c r="J5087" t="n">
        <v>0</v>
      </c>
      <c r="K5087" t="n">
        <v>0</v>
      </c>
      <c r="L5087" t="n">
        <v>0</v>
      </c>
      <c r="M5087" t="n">
        <v>0</v>
      </c>
      <c r="N5087" t="n">
        <v>0</v>
      </c>
      <c r="O5087" t="n">
        <v>0</v>
      </c>
      <c r="P5087" t="n">
        <v>0</v>
      </c>
      <c r="Q5087" t="n">
        <v>0</v>
      </c>
      <c r="R5087" s="2" t="inlineStr"/>
    </row>
    <row r="5088" ht="15" customHeight="1">
      <c r="A5088" t="inlineStr">
        <is>
          <t>A 24569-2022</t>
        </is>
      </c>
      <c r="B5088" s="1" t="n">
        <v>44726</v>
      </c>
      <c r="C5088" s="1" t="n">
        <v>45212</v>
      </c>
      <c r="D5088" t="inlineStr">
        <is>
          <t>VÄSTERNORRLANDS LÄN</t>
        </is>
      </c>
      <c r="E5088" t="inlineStr">
        <is>
          <t>ÖRNSKÖLDSVIK</t>
        </is>
      </c>
      <c r="G5088" t="n">
        <v>2.9</v>
      </c>
      <c r="H5088" t="n">
        <v>0</v>
      </c>
      <c r="I5088" t="n">
        <v>0</v>
      </c>
      <c r="J5088" t="n">
        <v>0</v>
      </c>
      <c r="K5088" t="n">
        <v>0</v>
      </c>
      <c r="L5088" t="n">
        <v>0</v>
      </c>
      <c r="M5088" t="n">
        <v>0</v>
      </c>
      <c r="N5088" t="n">
        <v>0</v>
      </c>
      <c r="O5088" t="n">
        <v>0</v>
      </c>
      <c r="P5088" t="n">
        <v>0</v>
      </c>
      <c r="Q5088" t="n">
        <v>0</v>
      </c>
      <c r="R5088" s="2" t="inlineStr"/>
    </row>
    <row r="5089" ht="15" customHeight="1">
      <c r="A5089" t="inlineStr">
        <is>
          <t>A 24722-2022</t>
        </is>
      </c>
      <c r="B5089" s="1" t="n">
        <v>44727</v>
      </c>
      <c r="C5089" s="1" t="n">
        <v>45212</v>
      </c>
      <c r="D5089" t="inlineStr">
        <is>
          <t>VÄSTERNORRLANDS LÄN</t>
        </is>
      </c>
      <c r="E5089" t="inlineStr">
        <is>
          <t>SUNDSVALL</t>
        </is>
      </c>
      <c r="F5089" t="inlineStr">
        <is>
          <t>SCA</t>
        </is>
      </c>
      <c r="G5089" t="n">
        <v>18.9</v>
      </c>
      <c r="H5089" t="n">
        <v>0</v>
      </c>
      <c r="I5089" t="n">
        <v>0</v>
      </c>
      <c r="J5089" t="n">
        <v>0</v>
      </c>
      <c r="K5089" t="n">
        <v>0</v>
      </c>
      <c r="L5089" t="n">
        <v>0</v>
      </c>
      <c r="M5089" t="n">
        <v>0</v>
      </c>
      <c r="N5089" t="n">
        <v>0</v>
      </c>
      <c r="O5089" t="n">
        <v>0</v>
      </c>
      <c r="P5089" t="n">
        <v>0</v>
      </c>
      <c r="Q5089" t="n">
        <v>0</v>
      </c>
      <c r="R5089" s="2" t="inlineStr"/>
    </row>
    <row r="5090" ht="15" customHeight="1">
      <c r="A5090" t="inlineStr">
        <is>
          <t>A 24915-2022</t>
        </is>
      </c>
      <c r="B5090" s="1" t="n">
        <v>44728</v>
      </c>
      <c r="C5090" s="1" t="n">
        <v>45212</v>
      </c>
      <c r="D5090" t="inlineStr">
        <is>
          <t>VÄSTERNORRLANDS LÄN</t>
        </is>
      </c>
      <c r="E5090" t="inlineStr">
        <is>
          <t>ÖRNSKÖLDSVIK</t>
        </is>
      </c>
      <c r="F5090" t="inlineStr">
        <is>
          <t>Holmen skog AB</t>
        </is>
      </c>
      <c r="G5090" t="n">
        <v>6.8</v>
      </c>
      <c r="H5090" t="n">
        <v>0</v>
      </c>
      <c r="I5090" t="n">
        <v>0</v>
      </c>
      <c r="J5090" t="n">
        <v>0</v>
      </c>
      <c r="K5090" t="n">
        <v>0</v>
      </c>
      <c r="L5090" t="n">
        <v>0</v>
      </c>
      <c r="M5090" t="n">
        <v>0</v>
      </c>
      <c r="N5090" t="n">
        <v>0</v>
      </c>
      <c r="O5090" t="n">
        <v>0</v>
      </c>
      <c r="P5090" t="n">
        <v>0</v>
      </c>
      <c r="Q5090" t="n">
        <v>0</v>
      </c>
      <c r="R5090" s="2" t="inlineStr"/>
    </row>
    <row r="5091" ht="15" customHeight="1">
      <c r="A5091" t="inlineStr">
        <is>
          <t>A 25019-2022</t>
        </is>
      </c>
      <c r="B5091" s="1" t="n">
        <v>44728</v>
      </c>
      <c r="C5091" s="1" t="n">
        <v>45212</v>
      </c>
      <c r="D5091" t="inlineStr">
        <is>
          <t>VÄSTERNORRLANDS LÄN</t>
        </is>
      </c>
      <c r="E5091" t="inlineStr">
        <is>
          <t>SOLLEFTEÅ</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24811-2022</t>
        </is>
      </c>
      <c r="B5092" s="1" t="n">
        <v>44728</v>
      </c>
      <c r="C5092" s="1" t="n">
        <v>45212</v>
      </c>
      <c r="D5092" t="inlineStr">
        <is>
          <t>VÄSTERNORRLANDS LÄN</t>
        </is>
      </c>
      <c r="E5092" t="inlineStr">
        <is>
          <t>HÄRNÖSAND</t>
        </is>
      </c>
      <c r="G5092" t="n">
        <v>0.5</v>
      </c>
      <c r="H5092" t="n">
        <v>0</v>
      </c>
      <c r="I5092" t="n">
        <v>0</v>
      </c>
      <c r="J5092" t="n">
        <v>0</v>
      </c>
      <c r="K5092" t="n">
        <v>0</v>
      </c>
      <c r="L5092" t="n">
        <v>0</v>
      </c>
      <c r="M5092" t="n">
        <v>0</v>
      </c>
      <c r="N5092" t="n">
        <v>0</v>
      </c>
      <c r="O5092" t="n">
        <v>0</v>
      </c>
      <c r="P5092" t="n">
        <v>0</v>
      </c>
      <c r="Q5092" t="n">
        <v>0</v>
      </c>
      <c r="R5092" s="2" t="inlineStr"/>
    </row>
    <row r="5093" ht="15" customHeight="1">
      <c r="A5093" t="inlineStr">
        <is>
          <t>A 25023-2022</t>
        </is>
      </c>
      <c r="B5093" s="1" t="n">
        <v>44728</v>
      </c>
      <c r="C5093" s="1" t="n">
        <v>45212</v>
      </c>
      <c r="D5093" t="inlineStr">
        <is>
          <t>VÄSTERNORRLANDS LÄN</t>
        </is>
      </c>
      <c r="E5093" t="inlineStr">
        <is>
          <t>ÅNGE</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24949-2022</t>
        </is>
      </c>
      <c r="B5094" s="1" t="n">
        <v>44728</v>
      </c>
      <c r="C5094" s="1" t="n">
        <v>45212</v>
      </c>
      <c r="D5094" t="inlineStr">
        <is>
          <t>VÄSTERNORRLANDS LÄN</t>
        </is>
      </c>
      <c r="E5094" t="inlineStr">
        <is>
          <t>SOLLEFTEÅ</t>
        </is>
      </c>
      <c r="F5094" t="inlineStr">
        <is>
          <t>Kyrkan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24813-2022</t>
        </is>
      </c>
      <c r="B5095" s="1" t="n">
        <v>44728</v>
      </c>
      <c r="C5095" s="1" t="n">
        <v>45212</v>
      </c>
      <c r="D5095" t="inlineStr">
        <is>
          <t>VÄSTERNORRLANDS LÄN</t>
        </is>
      </c>
      <c r="E5095" t="inlineStr">
        <is>
          <t>HÄRNÖSAND</t>
        </is>
      </c>
      <c r="G5095" t="n">
        <v>2.1</v>
      </c>
      <c r="H5095" t="n">
        <v>0</v>
      </c>
      <c r="I5095" t="n">
        <v>0</v>
      </c>
      <c r="J5095" t="n">
        <v>0</v>
      </c>
      <c r="K5095" t="n">
        <v>0</v>
      </c>
      <c r="L5095" t="n">
        <v>0</v>
      </c>
      <c r="M5095" t="n">
        <v>0</v>
      </c>
      <c r="N5095" t="n">
        <v>0</v>
      </c>
      <c r="O5095" t="n">
        <v>0</v>
      </c>
      <c r="P5095" t="n">
        <v>0</v>
      </c>
      <c r="Q5095" t="n">
        <v>0</v>
      </c>
      <c r="R5095" s="2" t="inlineStr"/>
    </row>
    <row r="5096" ht="15" customHeight="1">
      <c r="A5096" t="inlineStr">
        <is>
          <t>A 24988-2022</t>
        </is>
      </c>
      <c r="B5096" s="1" t="n">
        <v>44728</v>
      </c>
      <c r="C5096" s="1" t="n">
        <v>45212</v>
      </c>
      <c r="D5096" t="inlineStr">
        <is>
          <t>VÄSTERNORRLANDS LÄN</t>
        </is>
      </c>
      <c r="E5096" t="inlineStr">
        <is>
          <t>TIMRÅ</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25007-2022</t>
        </is>
      </c>
      <c r="B5097" s="1" t="n">
        <v>44728</v>
      </c>
      <c r="C5097" s="1" t="n">
        <v>45212</v>
      </c>
      <c r="D5097" t="inlineStr">
        <is>
          <t>VÄSTERNORRLANDS LÄN</t>
        </is>
      </c>
      <c r="E5097" t="inlineStr">
        <is>
          <t>HÄRNÖSAND</t>
        </is>
      </c>
      <c r="G5097" t="n">
        <v>4.1</v>
      </c>
      <c r="H5097" t="n">
        <v>0</v>
      </c>
      <c r="I5097" t="n">
        <v>0</v>
      </c>
      <c r="J5097" t="n">
        <v>0</v>
      </c>
      <c r="K5097" t="n">
        <v>0</v>
      </c>
      <c r="L5097" t="n">
        <v>0</v>
      </c>
      <c r="M5097" t="n">
        <v>0</v>
      </c>
      <c r="N5097" t="n">
        <v>0</v>
      </c>
      <c r="O5097" t="n">
        <v>0</v>
      </c>
      <c r="P5097" t="n">
        <v>0</v>
      </c>
      <c r="Q5097" t="n">
        <v>0</v>
      </c>
      <c r="R5097" s="2" t="inlineStr"/>
    </row>
    <row r="5098" ht="15" customHeight="1">
      <c r="A5098" t="inlineStr">
        <is>
          <t>A 25208-2022</t>
        </is>
      </c>
      <c r="B5098" s="1" t="n">
        <v>44729</v>
      </c>
      <c r="C5098" s="1" t="n">
        <v>45212</v>
      </c>
      <c r="D5098" t="inlineStr">
        <is>
          <t>VÄSTERNORRLANDS LÄN</t>
        </is>
      </c>
      <c r="E5098" t="inlineStr">
        <is>
          <t>SUNDSVALL</t>
        </is>
      </c>
      <c r="F5098" t="inlineStr">
        <is>
          <t>Holmen skog AB</t>
        </is>
      </c>
      <c r="G5098" t="n">
        <v>3.7</v>
      </c>
      <c r="H5098" t="n">
        <v>0</v>
      </c>
      <c r="I5098" t="n">
        <v>0</v>
      </c>
      <c r="J5098" t="n">
        <v>0</v>
      </c>
      <c r="K5098" t="n">
        <v>0</v>
      </c>
      <c r="L5098" t="n">
        <v>0</v>
      </c>
      <c r="M5098" t="n">
        <v>0</v>
      </c>
      <c r="N5098" t="n">
        <v>0</v>
      </c>
      <c r="O5098" t="n">
        <v>0</v>
      </c>
      <c r="P5098" t="n">
        <v>0</v>
      </c>
      <c r="Q5098" t="n">
        <v>0</v>
      </c>
      <c r="R5098" s="2" t="inlineStr"/>
    </row>
    <row r="5099" ht="15" customHeight="1">
      <c r="A5099" t="inlineStr">
        <is>
          <t>A 25251-2022</t>
        </is>
      </c>
      <c r="B5099" s="1" t="n">
        <v>44729</v>
      </c>
      <c r="C5099" s="1" t="n">
        <v>45212</v>
      </c>
      <c r="D5099" t="inlineStr">
        <is>
          <t>VÄSTERNORRLANDS LÄN</t>
        </is>
      </c>
      <c r="E5099" t="inlineStr">
        <is>
          <t>SUNDSVALL</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25285-2022</t>
        </is>
      </c>
      <c r="B5100" s="1" t="n">
        <v>44730</v>
      </c>
      <c r="C5100" s="1" t="n">
        <v>45212</v>
      </c>
      <c r="D5100" t="inlineStr">
        <is>
          <t>VÄSTERNORRLANDS LÄN</t>
        </is>
      </c>
      <c r="E5100" t="inlineStr">
        <is>
          <t>ÖRNSKÖLDSVIK</t>
        </is>
      </c>
      <c r="F5100" t="inlineStr">
        <is>
          <t>Holmen skog AB</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25341-2022</t>
        </is>
      </c>
      <c r="B5101" s="1" t="n">
        <v>44731</v>
      </c>
      <c r="C5101" s="1" t="n">
        <v>45212</v>
      </c>
      <c r="D5101" t="inlineStr">
        <is>
          <t>VÄSTERNORRLANDS LÄN</t>
        </is>
      </c>
      <c r="E5101" t="inlineStr">
        <is>
          <t>SOLLEFTEÅ</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25338-2022</t>
        </is>
      </c>
      <c r="B5102" s="1" t="n">
        <v>44731</v>
      </c>
      <c r="C5102" s="1" t="n">
        <v>45212</v>
      </c>
      <c r="D5102" t="inlineStr">
        <is>
          <t>VÄSTERNORRLANDS LÄN</t>
        </is>
      </c>
      <c r="E5102" t="inlineStr">
        <is>
          <t>SOLLEFTEÅ</t>
        </is>
      </c>
      <c r="F5102" t="inlineStr">
        <is>
          <t>SCA</t>
        </is>
      </c>
      <c r="G5102" t="n">
        <v>4.3</v>
      </c>
      <c r="H5102" t="n">
        <v>0</v>
      </c>
      <c r="I5102" t="n">
        <v>0</v>
      </c>
      <c r="J5102" t="n">
        <v>0</v>
      </c>
      <c r="K5102" t="n">
        <v>0</v>
      </c>
      <c r="L5102" t="n">
        <v>0</v>
      </c>
      <c r="M5102" t="n">
        <v>0</v>
      </c>
      <c r="N5102" t="n">
        <v>0</v>
      </c>
      <c r="O5102" t="n">
        <v>0</v>
      </c>
      <c r="P5102" t="n">
        <v>0</v>
      </c>
      <c r="Q5102" t="n">
        <v>0</v>
      </c>
      <c r="R5102" s="2" t="inlineStr"/>
    </row>
    <row r="5103" ht="15" customHeight="1">
      <c r="A5103" t="inlineStr">
        <is>
          <t>A 25644-2022</t>
        </is>
      </c>
      <c r="B5103" s="1" t="n">
        <v>44732</v>
      </c>
      <c r="C5103" s="1" t="n">
        <v>45212</v>
      </c>
      <c r="D5103" t="inlineStr">
        <is>
          <t>VÄSTERNORRLANDS LÄN</t>
        </is>
      </c>
      <c r="E5103" t="inlineStr">
        <is>
          <t>TIMRÅ</t>
        </is>
      </c>
      <c r="F5103" t="inlineStr">
        <is>
          <t>SCA</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25430-2022</t>
        </is>
      </c>
      <c r="B5104" s="1" t="n">
        <v>44732</v>
      </c>
      <c r="C5104" s="1" t="n">
        <v>45212</v>
      </c>
      <c r="D5104" t="inlineStr">
        <is>
          <t>VÄSTERNORRLANDS LÄN</t>
        </is>
      </c>
      <c r="E5104" t="inlineStr">
        <is>
          <t>HÄRNÖSAND</t>
        </is>
      </c>
      <c r="G5104" t="n">
        <v>18.7</v>
      </c>
      <c r="H5104" t="n">
        <v>0</v>
      </c>
      <c r="I5104" t="n">
        <v>0</v>
      </c>
      <c r="J5104" t="n">
        <v>0</v>
      </c>
      <c r="K5104" t="n">
        <v>0</v>
      </c>
      <c r="L5104" t="n">
        <v>0</v>
      </c>
      <c r="M5104" t="n">
        <v>0</v>
      </c>
      <c r="N5104" t="n">
        <v>0</v>
      </c>
      <c r="O5104" t="n">
        <v>0</v>
      </c>
      <c r="P5104" t="n">
        <v>0</v>
      </c>
      <c r="Q5104" t="n">
        <v>0</v>
      </c>
      <c r="R5104" s="2" t="inlineStr"/>
    </row>
    <row r="5105" ht="15" customHeight="1">
      <c r="A5105" t="inlineStr">
        <is>
          <t>A 25414-2022</t>
        </is>
      </c>
      <c r="B5105" s="1" t="n">
        <v>44732</v>
      </c>
      <c r="C5105" s="1" t="n">
        <v>45212</v>
      </c>
      <c r="D5105" t="inlineStr">
        <is>
          <t>VÄSTERNORRLANDS LÄN</t>
        </is>
      </c>
      <c r="E5105" t="inlineStr">
        <is>
          <t>TIMRÅ</t>
        </is>
      </c>
      <c r="G5105" t="n">
        <v>7.7</v>
      </c>
      <c r="H5105" t="n">
        <v>0</v>
      </c>
      <c r="I5105" t="n">
        <v>0</v>
      </c>
      <c r="J5105" t="n">
        <v>0</v>
      </c>
      <c r="K5105" t="n">
        <v>0</v>
      </c>
      <c r="L5105" t="n">
        <v>0</v>
      </c>
      <c r="M5105" t="n">
        <v>0</v>
      </c>
      <c r="N5105" t="n">
        <v>0</v>
      </c>
      <c r="O5105" t="n">
        <v>0</v>
      </c>
      <c r="P5105" t="n">
        <v>0</v>
      </c>
      <c r="Q5105" t="n">
        <v>0</v>
      </c>
      <c r="R5105" s="2" t="inlineStr"/>
    </row>
    <row r="5106" ht="15" customHeight="1">
      <c r="A5106" t="inlineStr">
        <is>
          <t>A 25473-2022</t>
        </is>
      </c>
      <c r="B5106" s="1" t="n">
        <v>44732</v>
      </c>
      <c r="C5106" s="1" t="n">
        <v>45212</v>
      </c>
      <c r="D5106" t="inlineStr">
        <is>
          <t>VÄSTERNORRLANDS LÄN</t>
        </is>
      </c>
      <c r="E5106" t="inlineStr">
        <is>
          <t>ÖRNSKÖLDSVIK</t>
        </is>
      </c>
      <c r="F5106" t="inlineStr">
        <is>
          <t>Holmen skog AB</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25407-2022</t>
        </is>
      </c>
      <c r="B5107" s="1" t="n">
        <v>44732</v>
      </c>
      <c r="C5107" s="1" t="n">
        <v>45212</v>
      </c>
      <c r="D5107" t="inlineStr">
        <is>
          <t>VÄSTERNORRLANDS LÄN</t>
        </is>
      </c>
      <c r="E5107" t="inlineStr">
        <is>
          <t>HÄRNÖSAND</t>
        </is>
      </c>
      <c r="G5107" t="n">
        <v>6.3</v>
      </c>
      <c r="H5107" t="n">
        <v>0</v>
      </c>
      <c r="I5107" t="n">
        <v>0</v>
      </c>
      <c r="J5107" t="n">
        <v>0</v>
      </c>
      <c r="K5107" t="n">
        <v>0</v>
      </c>
      <c r="L5107" t="n">
        <v>0</v>
      </c>
      <c r="M5107" t="n">
        <v>0</v>
      </c>
      <c r="N5107" t="n">
        <v>0</v>
      </c>
      <c r="O5107" t="n">
        <v>0</v>
      </c>
      <c r="P5107" t="n">
        <v>0</v>
      </c>
      <c r="Q5107" t="n">
        <v>0</v>
      </c>
      <c r="R5107" s="2" t="inlineStr"/>
    </row>
    <row r="5108" ht="15" customHeight="1">
      <c r="A5108" t="inlineStr">
        <is>
          <t>A 25903-2022</t>
        </is>
      </c>
      <c r="B5108" s="1" t="n">
        <v>44733</v>
      </c>
      <c r="C5108" s="1" t="n">
        <v>45212</v>
      </c>
      <c r="D5108" t="inlineStr">
        <is>
          <t>VÄSTERNORRLANDS LÄN</t>
        </is>
      </c>
      <c r="E5108" t="inlineStr">
        <is>
          <t>ÅNGE</t>
        </is>
      </c>
      <c r="G5108" t="n">
        <v>1</v>
      </c>
      <c r="H5108" t="n">
        <v>0</v>
      </c>
      <c r="I5108" t="n">
        <v>0</v>
      </c>
      <c r="J5108" t="n">
        <v>0</v>
      </c>
      <c r="K5108" t="n">
        <v>0</v>
      </c>
      <c r="L5108" t="n">
        <v>0</v>
      </c>
      <c r="M5108" t="n">
        <v>0</v>
      </c>
      <c r="N5108" t="n">
        <v>0</v>
      </c>
      <c r="O5108" t="n">
        <v>0</v>
      </c>
      <c r="P5108" t="n">
        <v>0</v>
      </c>
      <c r="Q5108" t="n">
        <v>0</v>
      </c>
      <c r="R5108" s="2" t="inlineStr"/>
    </row>
    <row r="5109" ht="15" customHeight="1">
      <c r="A5109" t="inlineStr">
        <is>
          <t>A 25976-2022</t>
        </is>
      </c>
      <c r="B5109" s="1" t="n">
        <v>44734</v>
      </c>
      <c r="C5109" s="1" t="n">
        <v>45212</v>
      </c>
      <c r="D5109" t="inlineStr">
        <is>
          <t>VÄSTERNORRLANDS LÄN</t>
        </is>
      </c>
      <c r="E5109" t="inlineStr">
        <is>
          <t>ÖRNSKÖLDSVIK</t>
        </is>
      </c>
      <c r="F5109" t="inlineStr">
        <is>
          <t>Holmen skog AB</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26023-2022</t>
        </is>
      </c>
      <c r="B5110" s="1" t="n">
        <v>44734</v>
      </c>
      <c r="C5110" s="1" t="n">
        <v>45212</v>
      </c>
      <c r="D5110" t="inlineStr">
        <is>
          <t>VÄSTERNORRLANDS LÄN</t>
        </is>
      </c>
      <c r="E5110" t="inlineStr">
        <is>
          <t>ÖRNSKÖLDSVIK</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25942-2022</t>
        </is>
      </c>
      <c r="B5111" s="1" t="n">
        <v>44734</v>
      </c>
      <c r="C5111" s="1" t="n">
        <v>45212</v>
      </c>
      <c r="D5111" t="inlineStr">
        <is>
          <t>VÄSTERNORRLANDS LÄN</t>
        </is>
      </c>
      <c r="E5111" t="inlineStr">
        <is>
          <t>ÖRNSKÖLDSVIK</t>
        </is>
      </c>
      <c r="F5111" t="inlineStr">
        <is>
          <t>Holmen skog AB</t>
        </is>
      </c>
      <c r="G5111" t="n">
        <v>1.8</v>
      </c>
      <c r="H5111" t="n">
        <v>0</v>
      </c>
      <c r="I5111" t="n">
        <v>0</v>
      </c>
      <c r="J5111" t="n">
        <v>0</v>
      </c>
      <c r="K5111" t="n">
        <v>0</v>
      </c>
      <c r="L5111" t="n">
        <v>0</v>
      </c>
      <c r="M5111" t="n">
        <v>0</v>
      </c>
      <c r="N5111" t="n">
        <v>0</v>
      </c>
      <c r="O5111" t="n">
        <v>0</v>
      </c>
      <c r="P5111" t="n">
        <v>0</v>
      </c>
      <c r="Q5111" t="n">
        <v>0</v>
      </c>
      <c r="R5111" s="2" t="inlineStr"/>
    </row>
    <row r="5112" ht="15" customHeight="1">
      <c r="A5112" t="inlineStr">
        <is>
          <t>A 25973-2022</t>
        </is>
      </c>
      <c r="B5112" s="1" t="n">
        <v>44734</v>
      </c>
      <c r="C5112" s="1" t="n">
        <v>45212</v>
      </c>
      <c r="D5112" t="inlineStr">
        <is>
          <t>VÄSTERNORRLANDS LÄN</t>
        </is>
      </c>
      <c r="E5112" t="inlineStr">
        <is>
          <t>ÅNGE</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26072-2022</t>
        </is>
      </c>
      <c r="B5113" s="1" t="n">
        <v>44734</v>
      </c>
      <c r="C5113" s="1" t="n">
        <v>45212</v>
      </c>
      <c r="D5113" t="inlineStr">
        <is>
          <t>VÄSTERNORRLANDS LÄN</t>
        </is>
      </c>
      <c r="E5113" t="inlineStr">
        <is>
          <t>HÄRNÖSAND</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25964-2022</t>
        </is>
      </c>
      <c r="B5114" s="1" t="n">
        <v>44734</v>
      </c>
      <c r="C5114" s="1" t="n">
        <v>45212</v>
      </c>
      <c r="D5114" t="inlineStr">
        <is>
          <t>VÄSTERNORRLANDS LÄN</t>
        </is>
      </c>
      <c r="E5114" t="inlineStr">
        <is>
          <t>SUNDSVALL</t>
        </is>
      </c>
      <c r="G5114" t="n">
        <v>2.4</v>
      </c>
      <c r="H5114" t="n">
        <v>0</v>
      </c>
      <c r="I5114" t="n">
        <v>0</v>
      </c>
      <c r="J5114" t="n">
        <v>0</v>
      </c>
      <c r="K5114" t="n">
        <v>0</v>
      </c>
      <c r="L5114" t="n">
        <v>0</v>
      </c>
      <c r="M5114" t="n">
        <v>0</v>
      </c>
      <c r="N5114" t="n">
        <v>0</v>
      </c>
      <c r="O5114" t="n">
        <v>0</v>
      </c>
      <c r="P5114" t="n">
        <v>0</v>
      </c>
      <c r="Q5114" t="n">
        <v>0</v>
      </c>
      <c r="R5114" s="2" t="inlineStr"/>
    </row>
    <row r="5115" ht="15" customHeight="1">
      <c r="A5115" t="inlineStr">
        <is>
          <t>A 26046-2022</t>
        </is>
      </c>
      <c r="B5115" s="1" t="n">
        <v>44734</v>
      </c>
      <c r="C5115" s="1" t="n">
        <v>45212</v>
      </c>
      <c r="D5115" t="inlineStr">
        <is>
          <t>VÄSTERNORRLANDS LÄN</t>
        </is>
      </c>
      <c r="E5115" t="inlineStr">
        <is>
          <t>ÖRNSKÖLDSVIK</t>
        </is>
      </c>
      <c r="G5115" t="n">
        <v>7.8</v>
      </c>
      <c r="H5115" t="n">
        <v>0</v>
      </c>
      <c r="I5115" t="n">
        <v>0</v>
      </c>
      <c r="J5115" t="n">
        <v>0</v>
      </c>
      <c r="K5115" t="n">
        <v>0</v>
      </c>
      <c r="L5115" t="n">
        <v>0</v>
      </c>
      <c r="M5115" t="n">
        <v>0</v>
      </c>
      <c r="N5115" t="n">
        <v>0</v>
      </c>
      <c r="O5115" t="n">
        <v>0</v>
      </c>
      <c r="P5115" t="n">
        <v>0</v>
      </c>
      <c r="Q5115" t="n">
        <v>0</v>
      </c>
      <c r="R5115" s="2" t="inlineStr"/>
    </row>
    <row r="5116" ht="15" customHeight="1">
      <c r="A5116" t="inlineStr">
        <is>
          <t>A 26287-2022</t>
        </is>
      </c>
      <c r="B5116" s="1" t="n">
        <v>44735</v>
      </c>
      <c r="C5116" s="1" t="n">
        <v>45212</v>
      </c>
      <c r="D5116" t="inlineStr">
        <is>
          <t>VÄSTERNORRLANDS LÄN</t>
        </is>
      </c>
      <c r="E5116" t="inlineStr">
        <is>
          <t>SUNDSVALL</t>
        </is>
      </c>
      <c r="G5116" t="n">
        <v>0.2</v>
      </c>
      <c r="H5116" t="n">
        <v>0</v>
      </c>
      <c r="I5116" t="n">
        <v>0</v>
      </c>
      <c r="J5116" t="n">
        <v>0</v>
      </c>
      <c r="K5116" t="n">
        <v>0</v>
      </c>
      <c r="L5116" t="n">
        <v>0</v>
      </c>
      <c r="M5116" t="n">
        <v>0</v>
      </c>
      <c r="N5116" t="n">
        <v>0</v>
      </c>
      <c r="O5116" t="n">
        <v>0</v>
      </c>
      <c r="P5116" t="n">
        <v>0</v>
      </c>
      <c r="Q5116" t="n">
        <v>0</v>
      </c>
      <c r="R5116" s="2" t="inlineStr"/>
    </row>
    <row r="5117" ht="15" customHeight="1">
      <c r="A5117" t="inlineStr">
        <is>
          <t>A 26337-2022</t>
        </is>
      </c>
      <c r="B5117" s="1" t="n">
        <v>44735</v>
      </c>
      <c r="C5117" s="1" t="n">
        <v>45212</v>
      </c>
      <c r="D5117" t="inlineStr">
        <is>
          <t>VÄSTERNORRLANDS LÄN</t>
        </is>
      </c>
      <c r="E5117" t="inlineStr">
        <is>
          <t>SUNDSVALL</t>
        </is>
      </c>
      <c r="F5117" t="inlineStr">
        <is>
          <t>Holmen skog AB</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26398-2022</t>
        </is>
      </c>
      <c r="B5118" s="1" t="n">
        <v>44735</v>
      </c>
      <c r="C5118" s="1" t="n">
        <v>45212</v>
      </c>
      <c r="D5118" t="inlineStr">
        <is>
          <t>VÄSTERNORRLANDS LÄN</t>
        </is>
      </c>
      <c r="E5118" t="inlineStr">
        <is>
          <t>HÄRNÖSAND</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26407-2022</t>
        </is>
      </c>
      <c r="B5119" s="1" t="n">
        <v>44735</v>
      </c>
      <c r="C5119" s="1" t="n">
        <v>45212</v>
      </c>
      <c r="D5119" t="inlineStr">
        <is>
          <t>VÄSTERNORRLANDS LÄN</t>
        </is>
      </c>
      <c r="E5119" t="inlineStr">
        <is>
          <t>SOLLEFTEÅ</t>
        </is>
      </c>
      <c r="F5119" t="inlineStr">
        <is>
          <t>SCA</t>
        </is>
      </c>
      <c r="G5119" t="n">
        <v>2.8</v>
      </c>
      <c r="H5119" t="n">
        <v>0</v>
      </c>
      <c r="I5119" t="n">
        <v>0</v>
      </c>
      <c r="J5119" t="n">
        <v>0</v>
      </c>
      <c r="K5119" t="n">
        <v>0</v>
      </c>
      <c r="L5119" t="n">
        <v>0</v>
      </c>
      <c r="M5119" t="n">
        <v>0</v>
      </c>
      <c r="N5119" t="n">
        <v>0</v>
      </c>
      <c r="O5119" t="n">
        <v>0</v>
      </c>
      <c r="P5119" t="n">
        <v>0</v>
      </c>
      <c r="Q5119" t="n">
        <v>0</v>
      </c>
      <c r="R5119" s="2" t="inlineStr"/>
    </row>
    <row r="5120" ht="15" customHeight="1">
      <c r="A5120" t="inlineStr">
        <is>
          <t>A 26415-2022</t>
        </is>
      </c>
      <c r="B5120" s="1" t="n">
        <v>44735</v>
      </c>
      <c r="C5120" s="1" t="n">
        <v>45212</v>
      </c>
      <c r="D5120" t="inlineStr">
        <is>
          <t>VÄSTERNORRLANDS LÄN</t>
        </is>
      </c>
      <c r="E5120" t="inlineStr">
        <is>
          <t>SOLLEFTEÅ</t>
        </is>
      </c>
      <c r="F5120" t="inlineStr">
        <is>
          <t>SCA</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26521-2022</t>
        </is>
      </c>
      <c r="B5121" s="1" t="n">
        <v>44739</v>
      </c>
      <c r="C5121" s="1" t="n">
        <v>45212</v>
      </c>
      <c r="D5121" t="inlineStr">
        <is>
          <t>VÄSTERNORRLANDS LÄN</t>
        </is>
      </c>
      <c r="E5121" t="inlineStr">
        <is>
          <t>ÖRNSKÖLDSVIK</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26647-2022</t>
        </is>
      </c>
      <c r="B5122" s="1" t="n">
        <v>44739</v>
      </c>
      <c r="C5122" s="1" t="n">
        <v>45212</v>
      </c>
      <c r="D5122" t="inlineStr">
        <is>
          <t>VÄSTERNORRLANDS LÄN</t>
        </is>
      </c>
      <c r="E5122" t="inlineStr">
        <is>
          <t>ÖRNSKÖLDSVIK</t>
        </is>
      </c>
      <c r="F5122" t="inlineStr">
        <is>
          <t>Holmen skog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26674-2022</t>
        </is>
      </c>
      <c r="B5123" s="1" t="n">
        <v>44739</v>
      </c>
      <c r="C5123" s="1" t="n">
        <v>45212</v>
      </c>
      <c r="D5123" t="inlineStr">
        <is>
          <t>VÄSTERNORRLANDS LÄN</t>
        </is>
      </c>
      <c r="E5123" t="inlineStr">
        <is>
          <t>SUNDSVALL</t>
        </is>
      </c>
      <c r="G5123" t="n">
        <v>3.4</v>
      </c>
      <c r="H5123" t="n">
        <v>0</v>
      </c>
      <c r="I5123" t="n">
        <v>0</v>
      </c>
      <c r="J5123" t="n">
        <v>0</v>
      </c>
      <c r="K5123" t="n">
        <v>0</v>
      </c>
      <c r="L5123" t="n">
        <v>0</v>
      </c>
      <c r="M5123" t="n">
        <v>0</v>
      </c>
      <c r="N5123" t="n">
        <v>0</v>
      </c>
      <c r="O5123" t="n">
        <v>0</v>
      </c>
      <c r="P5123" t="n">
        <v>0</v>
      </c>
      <c r="Q5123" t="n">
        <v>0</v>
      </c>
      <c r="R5123" s="2" t="inlineStr"/>
    </row>
    <row r="5124" ht="15" customHeight="1">
      <c r="A5124" t="inlineStr">
        <is>
          <t>A 26723-2022</t>
        </is>
      </c>
      <c r="B5124" s="1" t="n">
        <v>44739</v>
      </c>
      <c r="C5124" s="1" t="n">
        <v>45212</v>
      </c>
      <c r="D5124" t="inlineStr">
        <is>
          <t>VÄSTERNORRLANDS LÄN</t>
        </is>
      </c>
      <c r="E5124" t="inlineStr">
        <is>
          <t>KRAMFORS</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26635-2022</t>
        </is>
      </c>
      <c r="B5125" s="1" t="n">
        <v>44739</v>
      </c>
      <c r="C5125" s="1" t="n">
        <v>45212</v>
      </c>
      <c r="D5125" t="inlineStr">
        <is>
          <t>VÄSTERNORRLANDS LÄN</t>
        </is>
      </c>
      <c r="E5125" t="inlineStr">
        <is>
          <t>ÖRNSKÖLDSVIK</t>
        </is>
      </c>
      <c r="F5125" t="inlineStr">
        <is>
          <t>Holmen skog AB</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26676-2022</t>
        </is>
      </c>
      <c r="B5126" s="1" t="n">
        <v>44739</v>
      </c>
      <c r="C5126" s="1" t="n">
        <v>45212</v>
      </c>
      <c r="D5126" t="inlineStr">
        <is>
          <t>VÄSTERNORRLANDS LÄN</t>
        </is>
      </c>
      <c r="E5126" t="inlineStr">
        <is>
          <t>ÅNGE</t>
        </is>
      </c>
      <c r="F5126" t="inlineStr">
        <is>
          <t>Sveaskog</t>
        </is>
      </c>
      <c r="G5126" t="n">
        <v>2.6</v>
      </c>
      <c r="H5126" t="n">
        <v>0</v>
      </c>
      <c r="I5126" t="n">
        <v>0</v>
      </c>
      <c r="J5126" t="n">
        <v>0</v>
      </c>
      <c r="K5126" t="n">
        <v>0</v>
      </c>
      <c r="L5126" t="n">
        <v>0</v>
      </c>
      <c r="M5126" t="n">
        <v>0</v>
      </c>
      <c r="N5126" t="n">
        <v>0</v>
      </c>
      <c r="O5126" t="n">
        <v>0</v>
      </c>
      <c r="P5126" t="n">
        <v>0</v>
      </c>
      <c r="Q5126" t="n">
        <v>0</v>
      </c>
      <c r="R5126" s="2" t="inlineStr"/>
    </row>
    <row r="5127" ht="15" customHeight="1">
      <c r="A5127" t="inlineStr">
        <is>
          <t>A 26631-2022</t>
        </is>
      </c>
      <c r="B5127" s="1" t="n">
        <v>44739</v>
      </c>
      <c r="C5127" s="1" t="n">
        <v>45212</v>
      </c>
      <c r="D5127" t="inlineStr">
        <is>
          <t>VÄSTERNORRLANDS LÄN</t>
        </is>
      </c>
      <c r="E5127" t="inlineStr">
        <is>
          <t>ÖRNSKÖLDSVIK</t>
        </is>
      </c>
      <c r="F5127" t="inlineStr">
        <is>
          <t>Holmen skog AB</t>
        </is>
      </c>
      <c r="G5127" t="n">
        <v>4.5</v>
      </c>
      <c r="H5127" t="n">
        <v>0</v>
      </c>
      <c r="I5127" t="n">
        <v>0</v>
      </c>
      <c r="J5127" t="n">
        <v>0</v>
      </c>
      <c r="K5127" t="n">
        <v>0</v>
      </c>
      <c r="L5127" t="n">
        <v>0</v>
      </c>
      <c r="M5127" t="n">
        <v>0</v>
      </c>
      <c r="N5127" t="n">
        <v>0</v>
      </c>
      <c r="O5127" t="n">
        <v>0</v>
      </c>
      <c r="P5127" t="n">
        <v>0</v>
      </c>
      <c r="Q5127" t="n">
        <v>0</v>
      </c>
      <c r="R5127" s="2" t="inlineStr"/>
    </row>
    <row r="5128" ht="15" customHeight="1">
      <c r="A5128" t="inlineStr">
        <is>
          <t>A 26722-2022</t>
        </is>
      </c>
      <c r="B5128" s="1" t="n">
        <v>44739</v>
      </c>
      <c r="C5128" s="1" t="n">
        <v>45212</v>
      </c>
      <c r="D5128" t="inlineStr">
        <is>
          <t>VÄSTERNORRLANDS LÄN</t>
        </is>
      </c>
      <c r="E5128" t="inlineStr">
        <is>
          <t>KRAMFORS</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26453-2022</t>
        </is>
      </c>
      <c r="B5129" s="1" t="n">
        <v>44739</v>
      </c>
      <c r="C5129" s="1" t="n">
        <v>45212</v>
      </c>
      <c r="D5129" t="inlineStr">
        <is>
          <t>VÄSTERNORRLANDS LÄN</t>
        </is>
      </c>
      <c r="E5129" t="inlineStr">
        <is>
          <t>SUNDSVALL</t>
        </is>
      </c>
      <c r="G5129" t="n">
        <v>0.4</v>
      </c>
      <c r="H5129" t="n">
        <v>0</v>
      </c>
      <c r="I5129" t="n">
        <v>0</v>
      </c>
      <c r="J5129" t="n">
        <v>0</v>
      </c>
      <c r="K5129" t="n">
        <v>0</v>
      </c>
      <c r="L5129" t="n">
        <v>0</v>
      </c>
      <c r="M5129" t="n">
        <v>0</v>
      </c>
      <c r="N5129" t="n">
        <v>0</v>
      </c>
      <c r="O5129" t="n">
        <v>0</v>
      </c>
      <c r="P5129" t="n">
        <v>0</v>
      </c>
      <c r="Q5129" t="n">
        <v>0</v>
      </c>
      <c r="R5129" s="2" t="inlineStr"/>
    </row>
    <row r="5130" ht="15" customHeight="1">
      <c r="A5130" t="inlineStr">
        <is>
          <t>A 26744-2022</t>
        </is>
      </c>
      <c r="B5130" s="1" t="n">
        <v>44739</v>
      </c>
      <c r="C5130" s="1" t="n">
        <v>45212</v>
      </c>
      <c r="D5130" t="inlineStr">
        <is>
          <t>VÄSTERNORRLANDS LÄN</t>
        </is>
      </c>
      <c r="E5130" t="inlineStr">
        <is>
          <t>SOLLEFTEÅ</t>
        </is>
      </c>
      <c r="F5130" t="inlineStr">
        <is>
          <t>SCA</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27005-2022</t>
        </is>
      </c>
      <c r="B5131" s="1" t="n">
        <v>44740</v>
      </c>
      <c r="C5131" s="1" t="n">
        <v>45212</v>
      </c>
      <c r="D5131" t="inlineStr">
        <is>
          <t>VÄSTERNORRLANDS LÄN</t>
        </is>
      </c>
      <c r="E5131" t="inlineStr">
        <is>
          <t>SUNDSVALL</t>
        </is>
      </c>
      <c r="G5131" t="n">
        <v>4.6</v>
      </c>
      <c r="H5131" t="n">
        <v>0</v>
      </c>
      <c r="I5131" t="n">
        <v>0</v>
      </c>
      <c r="J5131" t="n">
        <v>0</v>
      </c>
      <c r="K5131" t="n">
        <v>0</v>
      </c>
      <c r="L5131" t="n">
        <v>0</v>
      </c>
      <c r="M5131" t="n">
        <v>0</v>
      </c>
      <c r="N5131" t="n">
        <v>0</v>
      </c>
      <c r="O5131" t="n">
        <v>0</v>
      </c>
      <c r="P5131" t="n">
        <v>0</v>
      </c>
      <c r="Q5131" t="n">
        <v>0</v>
      </c>
      <c r="R5131" s="2" t="inlineStr"/>
    </row>
    <row r="5132" ht="15" customHeight="1">
      <c r="A5132" t="inlineStr">
        <is>
          <t>A 27004-2022</t>
        </is>
      </c>
      <c r="B5132" s="1" t="n">
        <v>44740</v>
      </c>
      <c r="C5132" s="1" t="n">
        <v>45212</v>
      </c>
      <c r="D5132" t="inlineStr">
        <is>
          <t>VÄSTERNORRLANDS LÄN</t>
        </is>
      </c>
      <c r="E5132" t="inlineStr">
        <is>
          <t>SUNDSVALL</t>
        </is>
      </c>
      <c r="G5132" t="n">
        <v>26.1</v>
      </c>
      <c r="H5132" t="n">
        <v>0</v>
      </c>
      <c r="I5132" t="n">
        <v>0</v>
      </c>
      <c r="J5132" t="n">
        <v>0</v>
      </c>
      <c r="K5132" t="n">
        <v>0</v>
      </c>
      <c r="L5132" t="n">
        <v>0</v>
      </c>
      <c r="M5132" t="n">
        <v>0</v>
      </c>
      <c r="N5132" t="n">
        <v>0</v>
      </c>
      <c r="O5132" t="n">
        <v>0</v>
      </c>
      <c r="P5132" t="n">
        <v>0</v>
      </c>
      <c r="Q5132" t="n">
        <v>0</v>
      </c>
      <c r="R5132" s="2" t="inlineStr"/>
    </row>
    <row r="5133" ht="15" customHeight="1">
      <c r="A5133" t="inlineStr">
        <is>
          <t>A 26844-2022</t>
        </is>
      </c>
      <c r="B5133" s="1" t="n">
        <v>44740</v>
      </c>
      <c r="C5133" s="1" t="n">
        <v>45212</v>
      </c>
      <c r="D5133" t="inlineStr">
        <is>
          <t>VÄSTERNORRLANDS LÄN</t>
        </is>
      </c>
      <c r="E5133" t="inlineStr">
        <is>
          <t>ÖRNSKÖLDSVIK</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27018-2022</t>
        </is>
      </c>
      <c r="B5134" s="1" t="n">
        <v>44740</v>
      </c>
      <c r="C5134" s="1" t="n">
        <v>45212</v>
      </c>
      <c r="D5134" t="inlineStr">
        <is>
          <t>VÄSTERNORRLANDS LÄN</t>
        </is>
      </c>
      <c r="E5134" t="inlineStr">
        <is>
          <t>SOLLEFTEÅ</t>
        </is>
      </c>
      <c r="F5134" t="inlineStr">
        <is>
          <t>SCA</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26194-2022</t>
        </is>
      </c>
      <c r="B5135" s="1" t="n">
        <v>44740</v>
      </c>
      <c r="C5135" s="1" t="n">
        <v>45212</v>
      </c>
      <c r="D5135" t="inlineStr">
        <is>
          <t>VÄSTERNORRLANDS LÄN</t>
        </is>
      </c>
      <c r="E5135" t="inlineStr">
        <is>
          <t>ÖRNSKÖLDSVIK</t>
        </is>
      </c>
      <c r="G5135" t="n">
        <v>3.5</v>
      </c>
      <c r="H5135" t="n">
        <v>0</v>
      </c>
      <c r="I5135" t="n">
        <v>0</v>
      </c>
      <c r="J5135" t="n">
        <v>0</v>
      </c>
      <c r="K5135" t="n">
        <v>0</v>
      </c>
      <c r="L5135" t="n">
        <v>0</v>
      </c>
      <c r="M5135" t="n">
        <v>0</v>
      </c>
      <c r="N5135" t="n">
        <v>0</v>
      </c>
      <c r="O5135" t="n">
        <v>0</v>
      </c>
      <c r="P5135" t="n">
        <v>0</v>
      </c>
      <c r="Q5135" t="n">
        <v>0</v>
      </c>
      <c r="R5135" s="2" t="inlineStr"/>
    </row>
    <row r="5136" ht="15" customHeight="1">
      <c r="A5136" t="inlineStr">
        <is>
          <t>A 27012-2022</t>
        </is>
      </c>
      <c r="B5136" s="1" t="n">
        <v>44740</v>
      </c>
      <c r="C5136" s="1" t="n">
        <v>45212</v>
      </c>
      <c r="D5136" t="inlineStr">
        <is>
          <t>VÄSTERNORRLANDS LÄN</t>
        </is>
      </c>
      <c r="E5136" t="inlineStr">
        <is>
          <t>SOLLEFTEÅ</t>
        </is>
      </c>
      <c r="F5136" t="inlineStr">
        <is>
          <t>SCA</t>
        </is>
      </c>
      <c r="G5136" t="n">
        <v>19.8</v>
      </c>
      <c r="H5136" t="n">
        <v>0</v>
      </c>
      <c r="I5136" t="n">
        <v>0</v>
      </c>
      <c r="J5136" t="n">
        <v>0</v>
      </c>
      <c r="K5136" t="n">
        <v>0</v>
      </c>
      <c r="L5136" t="n">
        <v>0</v>
      </c>
      <c r="M5136" t="n">
        <v>0</v>
      </c>
      <c r="N5136" t="n">
        <v>0</v>
      </c>
      <c r="O5136" t="n">
        <v>0</v>
      </c>
      <c r="P5136" t="n">
        <v>0</v>
      </c>
      <c r="Q5136" t="n">
        <v>0</v>
      </c>
      <c r="R5136" s="2" t="inlineStr"/>
    </row>
    <row r="5137" ht="15" customHeight="1">
      <c r="A5137" t="inlineStr">
        <is>
          <t>A 27026-2022</t>
        </is>
      </c>
      <c r="B5137" s="1" t="n">
        <v>44740</v>
      </c>
      <c r="C5137" s="1" t="n">
        <v>45212</v>
      </c>
      <c r="D5137" t="inlineStr">
        <is>
          <t>VÄSTERNORRLANDS LÄN</t>
        </is>
      </c>
      <c r="E5137" t="inlineStr">
        <is>
          <t>SUNDSVALL</t>
        </is>
      </c>
      <c r="F5137" t="inlineStr">
        <is>
          <t>SCA</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27082-2022</t>
        </is>
      </c>
      <c r="B5138" s="1" t="n">
        <v>44741</v>
      </c>
      <c r="C5138" s="1" t="n">
        <v>45212</v>
      </c>
      <c r="D5138" t="inlineStr">
        <is>
          <t>VÄSTERNORRLANDS LÄN</t>
        </is>
      </c>
      <c r="E5138" t="inlineStr">
        <is>
          <t>SOLLEFTEÅ</t>
        </is>
      </c>
      <c r="G5138" t="n">
        <v>8.199999999999999</v>
      </c>
      <c r="H5138" t="n">
        <v>0</v>
      </c>
      <c r="I5138" t="n">
        <v>0</v>
      </c>
      <c r="J5138" t="n">
        <v>0</v>
      </c>
      <c r="K5138" t="n">
        <v>0</v>
      </c>
      <c r="L5138" t="n">
        <v>0</v>
      </c>
      <c r="M5138" t="n">
        <v>0</v>
      </c>
      <c r="N5138" t="n">
        <v>0</v>
      </c>
      <c r="O5138" t="n">
        <v>0</v>
      </c>
      <c r="P5138" t="n">
        <v>0</v>
      </c>
      <c r="Q5138" t="n">
        <v>0</v>
      </c>
      <c r="R5138" s="2" t="inlineStr"/>
    </row>
    <row r="5139" ht="15" customHeight="1">
      <c r="A5139" t="inlineStr">
        <is>
          <t>A 27282-2022</t>
        </is>
      </c>
      <c r="B5139" s="1" t="n">
        <v>44741</v>
      </c>
      <c r="C5139" s="1" t="n">
        <v>45212</v>
      </c>
      <c r="D5139" t="inlineStr">
        <is>
          <t>VÄSTERNORRLANDS LÄN</t>
        </is>
      </c>
      <c r="E5139" t="inlineStr">
        <is>
          <t>SOLLEFTEÅ</t>
        </is>
      </c>
      <c r="F5139" t="inlineStr">
        <is>
          <t>SCA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27153-2022</t>
        </is>
      </c>
      <c r="B5140" s="1" t="n">
        <v>44741</v>
      </c>
      <c r="C5140" s="1" t="n">
        <v>45212</v>
      </c>
      <c r="D5140" t="inlineStr">
        <is>
          <t>VÄSTERNORRLANDS LÄN</t>
        </is>
      </c>
      <c r="E5140" t="inlineStr">
        <is>
          <t>ÖRNSKÖLDSVIK</t>
        </is>
      </c>
      <c r="G5140" t="n">
        <v>6.3</v>
      </c>
      <c r="H5140" t="n">
        <v>0</v>
      </c>
      <c r="I5140" t="n">
        <v>0</v>
      </c>
      <c r="J5140" t="n">
        <v>0</v>
      </c>
      <c r="K5140" t="n">
        <v>0</v>
      </c>
      <c r="L5140" t="n">
        <v>0</v>
      </c>
      <c r="M5140" t="n">
        <v>0</v>
      </c>
      <c r="N5140" t="n">
        <v>0</v>
      </c>
      <c r="O5140" t="n">
        <v>0</v>
      </c>
      <c r="P5140" t="n">
        <v>0</v>
      </c>
      <c r="Q5140" t="n">
        <v>0</v>
      </c>
      <c r="R5140" s="2" t="inlineStr"/>
    </row>
    <row r="5141" ht="15" customHeight="1">
      <c r="A5141" t="inlineStr">
        <is>
          <t>A 27163-2022</t>
        </is>
      </c>
      <c r="B5141" s="1" t="n">
        <v>44741</v>
      </c>
      <c r="C5141" s="1" t="n">
        <v>45212</v>
      </c>
      <c r="D5141" t="inlineStr">
        <is>
          <t>VÄSTERNORRLANDS LÄN</t>
        </is>
      </c>
      <c r="E5141" t="inlineStr">
        <is>
          <t>ÖRNSKÖLDSVIK</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27173-2022</t>
        </is>
      </c>
      <c r="B5142" s="1" t="n">
        <v>44741</v>
      </c>
      <c r="C5142" s="1" t="n">
        <v>45212</v>
      </c>
      <c r="D5142" t="inlineStr">
        <is>
          <t>VÄSTERNORRLANDS LÄN</t>
        </is>
      </c>
      <c r="E5142" t="inlineStr">
        <is>
          <t>KRAMFORS</t>
        </is>
      </c>
      <c r="G5142" t="n">
        <v>2.4</v>
      </c>
      <c r="H5142" t="n">
        <v>0</v>
      </c>
      <c r="I5142" t="n">
        <v>0</v>
      </c>
      <c r="J5142" t="n">
        <v>0</v>
      </c>
      <c r="K5142" t="n">
        <v>0</v>
      </c>
      <c r="L5142" t="n">
        <v>0</v>
      </c>
      <c r="M5142" t="n">
        <v>0</v>
      </c>
      <c r="N5142" t="n">
        <v>0</v>
      </c>
      <c r="O5142" t="n">
        <v>0</v>
      </c>
      <c r="P5142" t="n">
        <v>0</v>
      </c>
      <c r="Q5142" t="n">
        <v>0</v>
      </c>
      <c r="R5142" s="2" t="inlineStr"/>
    </row>
    <row r="5143" ht="15" customHeight="1">
      <c r="A5143" t="inlineStr">
        <is>
          <t>A 27362-2022</t>
        </is>
      </c>
      <c r="B5143" s="1" t="n">
        <v>44742</v>
      </c>
      <c r="C5143" s="1" t="n">
        <v>45212</v>
      </c>
      <c r="D5143" t="inlineStr">
        <is>
          <t>VÄSTERNORRLANDS LÄN</t>
        </is>
      </c>
      <c r="E5143" t="inlineStr">
        <is>
          <t>ÖRNSKÖLDSVIK</t>
        </is>
      </c>
      <c r="F5143" t="inlineStr">
        <is>
          <t>Kyrkan</t>
        </is>
      </c>
      <c r="G5143" t="n">
        <v>3.1</v>
      </c>
      <c r="H5143" t="n">
        <v>0</v>
      </c>
      <c r="I5143" t="n">
        <v>0</v>
      </c>
      <c r="J5143" t="n">
        <v>0</v>
      </c>
      <c r="K5143" t="n">
        <v>0</v>
      </c>
      <c r="L5143" t="n">
        <v>0</v>
      </c>
      <c r="M5143" t="n">
        <v>0</v>
      </c>
      <c r="N5143" t="n">
        <v>0</v>
      </c>
      <c r="O5143" t="n">
        <v>0</v>
      </c>
      <c r="P5143" t="n">
        <v>0</v>
      </c>
      <c r="Q5143" t="n">
        <v>0</v>
      </c>
      <c r="R5143" s="2" t="inlineStr"/>
    </row>
    <row r="5144" ht="15" customHeight="1">
      <c r="A5144" t="inlineStr">
        <is>
          <t>A 27624-2022</t>
        </is>
      </c>
      <c r="B5144" s="1" t="n">
        <v>44742</v>
      </c>
      <c r="C5144" s="1" t="n">
        <v>45212</v>
      </c>
      <c r="D5144" t="inlineStr">
        <is>
          <t>VÄSTERNORRLANDS LÄN</t>
        </is>
      </c>
      <c r="E5144" t="inlineStr">
        <is>
          <t>KRAMFORS</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27522-2022</t>
        </is>
      </c>
      <c r="B5145" s="1" t="n">
        <v>44742</v>
      </c>
      <c r="C5145" s="1" t="n">
        <v>45212</v>
      </c>
      <c r="D5145" t="inlineStr">
        <is>
          <t>VÄSTERNORRLANDS LÄN</t>
        </is>
      </c>
      <c r="E5145" t="inlineStr">
        <is>
          <t>ÖRNSKÖLDSVIK</t>
        </is>
      </c>
      <c r="F5145" t="inlineStr">
        <is>
          <t>Holmen skog AB</t>
        </is>
      </c>
      <c r="G5145" t="n">
        <v>11.3</v>
      </c>
      <c r="H5145" t="n">
        <v>0</v>
      </c>
      <c r="I5145" t="n">
        <v>0</v>
      </c>
      <c r="J5145" t="n">
        <v>0</v>
      </c>
      <c r="K5145" t="n">
        <v>0</v>
      </c>
      <c r="L5145" t="n">
        <v>0</v>
      </c>
      <c r="M5145" t="n">
        <v>0</v>
      </c>
      <c r="N5145" t="n">
        <v>0</v>
      </c>
      <c r="O5145" t="n">
        <v>0</v>
      </c>
      <c r="P5145" t="n">
        <v>0</v>
      </c>
      <c r="Q5145" t="n">
        <v>0</v>
      </c>
      <c r="R5145" s="2" t="inlineStr"/>
    </row>
    <row r="5146" ht="15" customHeight="1">
      <c r="A5146" t="inlineStr">
        <is>
          <t>A 27634-2022</t>
        </is>
      </c>
      <c r="B5146" s="1" t="n">
        <v>44742</v>
      </c>
      <c r="C5146" s="1" t="n">
        <v>45212</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27370-2022</t>
        </is>
      </c>
      <c r="B5147" s="1" t="n">
        <v>44742</v>
      </c>
      <c r="C5147" s="1" t="n">
        <v>45212</v>
      </c>
      <c r="D5147" t="inlineStr">
        <is>
          <t>VÄSTERNORRLANDS LÄN</t>
        </is>
      </c>
      <c r="E5147" t="inlineStr">
        <is>
          <t>ÖRNSKÖLDSVIK</t>
        </is>
      </c>
      <c r="F5147" t="inlineStr">
        <is>
          <t>Holmen skog AB</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27509-2022</t>
        </is>
      </c>
      <c r="B5148" s="1" t="n">
        <v>44742</v>
      </c>
      <c r="C5148" s="1" t="n">
        <v>45212</v>
      </c>
      <c r="D5148" t="inlineStr">
        <is>
          <t>VÄSTERNORRLANDS LÄN</t>
        </is>
      </c>
      <c r="E5148" t="inlineStr">
        <is>
          <t>ÖRNSKÖLDSVIK</t>
        </is>
      </c>
      <c r="G5148" t="n">
        <v>2.8</v>
      </c>
      <c r="H5148" t="n">
        <v>0</v>
      </c>
      <c r="I5148" t="n">
        <v>0</v>
      </c>
      <c r="J5148" t="n">
        <v>0</v>
      </c>
      <c r="K5148" t="n">
        <v>0</v>
      </c>
      <c r="L5148" t="n">
        <v>0</v>
      </c>
      <c r="M5148" t="n">
        <v>0</v>
      </c>
      <c r="N5148" t="n">
        <v>0</v>
      </c>
      <c r="O5148" t="n">
        <v>0</v>
      </c>
      <c r="P5148" t="n">
        <v>0</v>
      </c>
      <c r="Q5148" t="n">
        <v>0</v>
      </c>
      <c r="R5148" s="2" t="inlineStr"/>
    </row>
    <row r="5149" ht="15" customHeight="1">
      <c r="A5149" t="inlineStr">
        <is>
          <t>A 27524-2022</t>
        </is>
      </c>
      <c r="B5149" s="1" t="n">
        <v>44742</v>
      </c>
      <c r="C5149" s="1" t="n">
        <v>45212</v>
      </c>
      <c r="D5149" t="inlineStr">
        <is>
          <t>VÄSTERNORRLANDS LÄN</t>
        </is>
      </c>
      <c r="E5149" t="inlineStr">
        <is>
          <t>ÖRNSKÖLDSVIK</t>
        </is>
      </c>
      <c r="F5149" t="inlineStr">
        <is>
          <t>Holmen skog AB</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27593-2022</t>
        </is>
      </c>
      <c r="B5150" s="1" t="n">
        <v>44742</v>
      </c>
      <c r="C5150" s="1" t="n">
        <v>45212</v>
      </c>
      <c r="D5150" t="inlineStr">
        <is>
          <t>VÄSTERNORRLANDS LÄN</t>
        </is>
      </c>
      <c r="E5150" t="inlineStr">
        <is>
          <t>SOLLEFTEÅ</t>
        </is>
      </c>
      <c r="F5150" t="inlineStr">
        <is>
          <t>SCA</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27862-2022</t>
        </is>
      </c>
      <c r="B5151" s="1" t="n">
        <v>44743</v>
      </c>
      <c r="C5151" s="1" t="n">
        <v>45212</v>
      </c>
      <c r="D5151" t="inlineStr">
        <is>
          <t>VÄSTERNORRLANDS LÄN</t>
        </is>
      </c>
      <c r="E5151" t="inlineStr">
        <is>
          <t>ÖRNSKÖLDSVIK</t>
        </is>
      </c>
      <c r="G5151" t="n">
        <v>8.9</v>
      </c>
      <c r="H5151" t="n">
        <v>0</v>
      </c>
      <c r="I5151" t="n">
        <v>0</v>
      </c>
      <c r="J5151" t="n">
        <v>0</v>
      </c>
      <c r="K5151" t="n">
        <v>0</v>
      </c>
      <c r="L5151" t="n">
        <v>0</v>
      </c>
      <c r="M5151" t="n">
        <v>0</v>
      </c>
      <c r="N5151" t="n">
        <v>0</v>
      </c>
      <c r="O5151" t="n">
        <v>0</v>
      </c>
      <c r="P5151" t="n">
        <v>0</v>
      </c>
      <c r="Q5151" t="n">
        <v>0</v>
      </c>
      <c r="R5151" s="2" t="inlineStr"/>
    </row>
    <row r="5152" ht="15" customHeight="1">
      <c r="A5152" t="inlineStr">
        <is>
          <t>A 27934-2022</t>
        </is>
      </c>
      <c r="B5152" s="1" t="n">
        <v>44743</v>
      </c>
      <c r="C5152" s="1" t="n">
        <v>45212</v>
      </c>
      <c r="D5152" t="inlineStr">
        <is>
          <t>VÄSTERNORRLANDS LÄN</t>
        </is>
      </c>
      <c r="E5152" t="inlineStr">
        <is>
          <t>SUNDSVALL</t>
        </is>
      </c>
      <c r="F5152" t="inlineStr">
        <is>
          <t>SCA</t>
        </is>
      </c>
      <c r="G5152" t="n">
        <v>8.4</v>
      </c>
      <c r="H5152" t="n">
        <v>0</v>
      </c>
      <c r="I5152" t="n">
        <v>0</v>
      </c>
      <c r="J5152" t="n">
        <v>0</v>
      </c>
      <c r="K5152" t="n">
        <v>0</v>
      </c>
      <c r="L5152" t="n">
        <v>0</v>
      </c>
      <c r="M5152" t="n">
        <v>0</v>
      </c>
      <c r="N5152" t="n">
        <v>0</v>
      </c>
      <c r="O5152" t="n">
        <v>0</v>
      </c>
      <c r="P5152" t="n">
        <v>0</v>
      </c>
      <c r="Q5152" t="n">
        <v>0</v>
      </c>
      <c r="R5152" s="2" t="inlineStr"/>
    </row>
    <row r="5153" ht="15" customHeight="1">
      <c r="A5153" t="inlineStr">
        <is>
          <t>A 27948-2022</t>
        </is>
      </c>
      <c r="B5153" s="1" t="n">
        <v>44743</v>
      </c>
      <c r="C5153" s="1" t="n">
        <v>45212</v>
      </c>
      <c r="D5153" t="inlineStr">
        <is>
          <t>VÄSTERNORRLANDS LÄN</t>
        </is>
      </c>
      <c r="E5153" t="inlineStr">
        <is>
          <t>SUNDSVALL</t>
        </is>
      </c>
      <c r="F5153" t="inlineStr">
        <is>
          <t>SCA</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27711-2022</t>
        </is>
      </c>
      <c r="B5154" s="1" t="n">
        <v>44743</v>
      </c>
      <c r="C5154" s="1" t="n">
        <v>45212</v>
      </c>
      <c r="D5154" t="inlineStr">
        <is>
          <t>VÄSTERNORRLANDS LÄN</t>
        </is>
      </c>
      <c r="E5154" t="inlineStr">
        <is>
          <t>ÖRNSKÖLDSVIK</t>
        </is>
      </c>
      <c r="F5154" t="inlineStr">
        <is>
          <t>Holmen skog AB</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27728-2022</t>
        </is>
      </c>
      <c r="B5155" s="1" t="n">
        <v>44743</v>
      </c>
      <c r="C5155" s="1" t="n">
        <v>45212</v>
      </c>
      <c r="D5155" t="inlineStr">
        <is>
          <t>VÄSTERNORRLANDS LÄN</t>
        </is>
      </c>
      <c r="E5155" t="inlineStr">
        <is>
          <t>ÖRNSKÖLDSVIK</t>
        </is>
      </c>
      <c r="G5155" t="n">
        <v>11.7</v>
      </c>
      <c r="H5155" t="n">
        <v>0</v>
      </c>
      <c r="I5155" t="n">
        <v>0</v>
      </c>
      <c r="J5155" t="n">
        <v>0</v>
      </c>
      <c r="K5155" t="n">
        <v>0</v>
      </c>
      <c r="L5155" t="n">
        <v>0</v>
      </c>
      <c r="M5155" t="n">
        <v>0</v>
      </c>
      <c r="N5155" t="n">
        <v>0</v>
      </c>
      <c r="O5155" t="n">
        <v>0</v>
      </c>
      <c r="P5155" t="n">
        <v>0</v>
      </c>
      <c r="Q5155" t="n">
        <v>0</v>
      </c>
      <c r="R5155" s="2" t="inlineStr"/>
    </row>
    <row r="5156" ht="15" customHeight="1">
      <c r="A5156" t="inlineStr">
        <is>
          <t>A 27829-2022</t>
        </is>
      </c>
      <c r="B5156" s="1" t="n">
        <v>44743</v>
      </c>
      <c r="C5156" s="1" t="n">
        <v>45212</v>
      </c>
      <c r="D5156" t="inlineStr">
        <is>
          <t>VÄSTERNORRLANDS LÄN</t>
        </is>
      </c>
      <c r="E5156" t="inlineStr">
        <is>
          <t>ÖRNSKÖLDSVIK</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27869-2022</t>
        </is>
      </c>
      <c r="B5157" s="1" t="n">
        <v>44743</v>
      </c>
      <c r="C5157" s="1" t="n">
        <v>45212</v>
      </c>
      <c r="D5157" t="inlineStr">
        <is>
          <t>VÄSTERNORRLANDS LÄN</t>
        </is>
      </c>
      <c r="E5157" t="inlineStr">
        <is>
          <t>ÖRNSKÖLDSVIK</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27926-2022</t>
        </is>
      </c>
      <c r="B5158" s="1" t="n">
        <v>44743</v>
      </c>
      <c r="C5158" s="1" t="n">
        <v>45212</v>
      </c>
      <c r="D5158" t="inlineStr">
        <is>
          <t>VÄSTERNORRLANDS LÄN</t>
        </is>
      </c>
      <c r="E5158" t="inlineStr">
        <is>
          <t>SOLLEFTEÅ</t>
        </is>
      </c>
      <c r="F5158" t="inlineStr">
        <is>
          <t>SCA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27943-2022</t>
        </is>
      </c>
      <c r="B5159" s="1" t="n">
        <v>44743</v>
      </c>
      <c r="C5159" s="1" t="n">
        <v>45212</v>
      </c>
      <c r="D5159" t="inlineStr">
        <is>
          <t>VÄSTERNORRLANDS LÄN</t>
        </is>
      </c>
      <c r="E5159" t="inlineStr">
        <is>
          <t>SOLLEFTEÅ</t>
        </is>
      </c>
      <c r="F5159" t="inlineStr">
        <is>
          <t>SCA</t>
        </is>
      </c>
      <c r="G5159" t="n">
        <v>10</v>
      </c>
      <c r="H5159" t="n">
        <v>0</v>
      </c>
      <c r="I5159" t="n">
        <v>0</v>
      </c>
      <c r="J5159" t="n">
        <v>0</v>
      </c>
      <c r="K5159" t="n">
        <v>0</v>
      </c>
      <c r="L5159" t="n">
        <v>0</v>
      </c>
      <c r="M5159" t="n">
        <v>0</v>
      </c>
      <c r="N5159" t="n">
        <v>0</v>
      </c>
      <c r="O5159" t="n">
        <v>0</v>
      </c>
      <c r="P5159" t="n">
        <v>0</v>
      </c>
      <c r="Q5159" t="n">
        <v>0</v>
      </c>
      <c r="R5159" s="2" t="inlineStr"/>
    </row>
    <row r="5160" ht="15" customHeight="1">
      <c r="A5160" t="inlineStr">
        <is>
          <t>A 27689-2022</t>
        </is>
      </c>
      <c r="B5160" s="1" t="n">
        <v>44743</v>
      </c>
      <c r="C5160" s="1" t="n">
        <v>45212</v>
      </c>
      <c r="D5160" t="inlineStr">
        <is>
          <t>VÄSTERNORRLANDS LÄN</t>
        </is>
      </c>
      <c r="E5160" t="inlineStr">
        <is>
          <t>ÖRNSKÖLDSVIK</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27720-2022</t>
        </is>
      </c>
      <c r="B5161" s="1" t="n">
        <v>44743</v>
      </c>
      <c r="C5161" s="1" t="n">
        <v>45212</v>
      </c>
      <c r="D5161" t="inlineStr">
        <is>
          <t>VÄSTERNORRLANDS LÄN</t>
        </is>
      </c>
      <c r="E5161" t="inlineStr">
        <is>
          <t>ÖRNSKÖLDSVIK</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27932-2022</t>
        </is>
      </c>
      <c r="B5162" s="1" t="n">
        <v>44743</v>
      </c>
      <c r="C5162" s="1" t="n">
        <v>45212</v>
      </c>
      <c r="D5162" t="inlineStr">
        <is>
          <t>VÄSTERNORRLANDS LÄN</t>
        </is>
      </c>
      <c r="E5162" t="inlineStr">
        <is>
          <t>SUNDSVALL</t>
        </is>
      </c>
      <c r="F5162" t="inlineStr">
        <is>
          <t>SCA</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28234-2022</t>
        </is>
      </c>
      <c r="B5163" s="1" t="n">
        <v>44746</v>
      </c>
      <c r="C5163" s="1" t="n">
        <v>45212</v>
      </c>
      <c r="D5163" t="inlineStr">
        <is>
          <t>VÄSTERNORRLANDS LÄN</t>
        </is>
      </c>
      <c r="E5163" t="inlineStr">
        <is>
          <t>ÖRNSKÖLDSVIK</t>
        </is>
      </c>
      <c r="F5163" t="inlineStr">
        <is>
          <t>Holmen skog AB</t>
        </is>
      </c>
      <c r="G5163" t="n">
        <v>10.1</v>
      </c>
      <c r="H5163" t="n">
        <v>0</v>
      </c>
      <c r="I5163" t="n">
        <v>0</v>
      </c>
      <c r="J5163" t="n">
        <v>0</v>
      </c>
      <c r="K5163" t="n">
        <v>0</v>
      </c>
      <c r="L5163" t="n">
        <v>0</v>
      </c>
      <c r="M5163" t="n">
        <v>0</v>
      </c>
      <c r="N5163" t="n">
        <v>0</v>
      </c>
      <c r="O5163" t="n">
        <v>0</v>
      </c>
      <c r="P5163" t="n">
        <v>0</v>
      </c>
      <c r="Q5163" t="n">
        <v>0</v>
      </c>
      <c r="R5163" s="2" t="inlineStr"/>
    </row>
    <row r="5164" ht="15" customHeight="1">
      <c r="A5164" t="inlineStr">
        <is>
          <t>A 28232-2022</t>
        </is>
      </c>
      <c r="B5164" s="1" t="n">
        <v>44746</v>
      </c>
      <c r="C5164" s="1" t="n">
        <v>45212</v>
      </c>
      <c r="D5164" t="inlineStr">
        <is>
          <t>VÄSTERNORRLANDS LÄN</t>
        </is>
      </c>
      <c r="E5164" t="inlineStr">
        <is>
          <t>SUNDSVALL</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28239-2022</t>
        </is>
      </c>
      <c r="B5165" s="1" t="n">
        <v>44746</v>
      </c>
      <c r="C5165" s="1" t="n">
        <v>45212</v>
      </c>
      <c r="D5165" t="inlineStr">
        <is>
          <t>VÄSTERNORRLANDS LÄN</t>
        </is>
      </c>
      <c r="E5165" t="inlineStr">
        <is>
          <t>ÖRNSKÖLDSVIK</t>
        </is>
      </c>
      <c r="F5165" t="inlineStr">
        <is>
          <t>Holmen skog AB</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28434-2022</t>
        </is>
      </c>
      <c r="B5166" s="1" t="n">
        <v>44747</v>
      </c>
      <c r="C5166" s="1" t="n">
        <v>45212</v>
      </c>
      <c r="D5166" t="inlineStr">
        <is>
          <t>VÄSTERNORRLANDS LÄN</t>
        </is>
      </c>
      <c r="E5166" t="inlineStr">
        <is>
          <t>KRAMFORS</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28442-2022</t>
        </is>
      </c>
      <c r="B5167" s="1" t="n">
        <v>44747</v>
      </c>
      <c r="C5167" s="1" t="n">
        <v>45212</v>
      </c>
      <c r="D5167" t="inlineStr">
        <is>
          <t>VÄSTERNORRLANDS LÄN</t>
        </is>
      </c>
      <c r="E5167" t="inlineStr">
        <is>
          <t>SUNDSVALL</t>
        </is>
      </c>
      <c r="G5167" t="n">
        <v>1.6</v>
      </c>
      <c r="H5167" t="n">
        <v>0</v>
      </c>
      <c r="I5167" t="n">
        <v>0</v>
      </c>
      <c r="J5167" t="n">
        <v>0</v>
      </c>
      <c r="K5167" t="n">
        <v>0</v>
      </c>
      <c r="L5167" t="n">
        <v>0</v>
      </c>
      <c r="M5167" t="n">
        <v>0</v>
      </c>
      <c r="N5167" t="n">
        <v>0</v>
      </c>
      <c r="O5167" t="n">
        <v>0</v>
      </c>
      <c r="P5167" t="n">
        <v>0</v>
      </c>
      <c r="Q5167" t="n">
        <v>0</v>
      </c>
      <c r="R5167" s="2" t="inlineStr"/>
    </row>
    <row r="5168" ht="15" customHeight="1">
      <c r="A5168" t="inlineStr">
        <is>
          <t>A 28319-2022</t>
        </is>
      </c>
      <c r="B5168" s="1" t="n">
        <v>44747</v>
      </c>
      <c r="C5168" s="1" t="n">
        <v>45212</v>
      </c>
      <c r="D5168" t="inlineStr">
        <is>
          <t>VÄSTERNORRLANDS LÄN</t>
        </is>
      </c>
      <c r="E5168" t="inlineStr">
        <is>
          <t>HÄRNÖSAND</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28447-2022</t>
        </is>
      </c>
      <c r="B5169" s="1" t="n">
        <v>44747</v>
      </c>
      <c r="C5169" s="1" t="n">
        <v>45212</v>
      </c>
      <c r="D5169" t="inlineStr">
        <is>
          <t>VÄSTERNORRLANDS LÄN</t>
        </is>
      </c>
      <c r="E5169" t="inlineStr">
        <is>
          <t>SUNDSVALL</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28387-2022</t>
        </is>
      </c>
      <c r="B5170" s="1" t="n">
        <v>44747</v>
      </c>
      <c r="C5170" s="1" t="n">
        <v>45212</v>
      </c>
      <c r="D5170" t="inlineStr">
        <is>
          <t>VÄSTERNORRLANDS LÄN</t>
        </is>
      </c>
      <c r="E5170" t="inlineStr">
        <is>
          <t>ÖRNSKÖLDSVIK</t>
        </is>
      </c>
      <c r="G5170" t="n">
        <v>6.3</v>
      </c>
      <c r="H5170" t="n">
        <v>0</v>
      </c>
      <c r="I5170" t="n">
        <v>0</v>
      </c>
      <c r="J5170" t="n">
        <v>0</v>
      </c>
      <c r="K5170" t="n">
        <v>0</v>
      </c>
      <c r="L5170" t="n">
        <v>0</v>
      </c>
      <c r="M5170" t="n">
        <v>0</v>
      </c>
      <c r="N5170" t="n">
        <v>0</v>
      </c>
      <c r="O5170" t="n">
        <v>0</v>
      </c>
      <c r="P5170" t="n">
        <v>0</v>
      </c>
      <c r="Q5170" t="n">
        <v>0</v>
      </c>
      <c r="R5170" s="2" t="inlineStr"/>
    </row>
    <row r="5171" ht="15" customHeight="1">
      <c r="A5171" t="inlineStr">
        <is>
          <t>A 28480-2022</t>
        </is>
      </c>
      <c r="B5171" s="1" t="n">
        <v>44747</v>
      </c>
      <c r="C5171" s="1" t="n">
        <v>45212</v>
      </c>
      <c r="D5171" t="inlineStr">
        <is>
          <t>VÄSTERNORRLANDS LÄN</t>
        </is>
      </c>
      <c r="E5171" t="inlineStr">
        <is>
          <t>SUNDSVALL</t>
        </is>
      </c>
      <c r="G5171" t="n">
        <v>11.6</v>
      </c>
      <c r="H5171" t="n">
        <v>0</v>
      </c>
      <c r="I5171" t="n">
        <v>0</v>
      </c>
      <c r="J5171" t="n">
        <v>0</v>
      </c>
      <c r="K5171" t="n">
        <v>0</v>
      </c>
      <c r="L5171" t="n">
        <v>0</v>
      </c>
      <c r="M5171" t="n">
        <v>0</v>
      </c>
      <c r="N5171" t="n">
        <v>0</v>
      </c>
      <c r="O5171" t="n">
        <v>0</v>
      </c>
      <c r="P5171" t="n">
        <v>0</v>
      </c>
      <c r="Q5171" t="n">
        <v>0</v>
      </c>
      <c r="R5171" s="2" t="inlineStr"/>
    </row>
    <row r="5172" ht="15" customHeight="1">
      <c r="A5172" t="inlineStr">
        <is>
          <t>A 28415-2022</t>
        </is>
      </c>
      <c r="B5172" s="1" t="n">
        <v>44747</v>
      </c>
      <c r="C5172" s="1" t="n">
        <v>45212</v>
      </c>
      <c r="D5172" t="inlineStr">
        <is>
          <t>VÄSTERNORRLANDS LÄN</t>
        </is>
      </c>
      <c r="E5172" t="inlineStr">
        <is>
          <t>ÖRNSKÖLDSVIK</t>
        </is>
      </c>
      <c r="F5172" t="inlineStr">
        <is>
          <t>Holmen skog AB</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28450-2022</t>
        </is>
      </c>
      <c r="B5173" s="1" t="n">
        <v>44747</v>
      </c>
      <c r="C5173" s="1" t="n">
        <v>45212</v>
      </c>
      <c r="D5173" t="inlineStr">
        <is>
          <t>VÄSTERNORRLANDS LÄN</t>
        </is>
      </c>
      <c r="E5173" t="inlineStr">
        <is>
          <t>SUNDSVALL</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28571-2022</t>
        </is>
      </c>
      <c r="B5174" s="1" t="n">
        <v>44748</v>
      </c>
      <c r="C5174" s="1" t="n">
        <v>45212</v>
      </c>
      <c r="D5174" t="inlineStr">
        <is>
          <t>VÄSTERNORRLANDS LÄN</t>
        </is>
      </c>
      <c r="E5174" t="inlineStr">
        <is>
          <t>ÖRNSKÖLDSVIK</t>
        </is>
      </c>
      <c r="F5174" t="inlineStr">
        <is>
          <t>Holmen skog AB</t>
        </is>
      </c>
      <c r="G5174" t="n">
        <v>9</v>
      </c>
      <c r="H5174" t="n">
        <v>0</v>
      </c>
      <c r="I5174" t="n">
        <v>0</v>
      </c>
      <c r="J5174" t="n">
        <v>0</v>
      </c>
      <c r="K5174" t="n">
        <v>0</v>
      </c>
      <c r="L5174" t="n">
        <v>0</v>
      </c>
      <c r="M5174" t="n">
        <v>0</v>
      </c>
      <c r="N5174" t="n">
        <v>0</v>
      </c>
      <c r="O5174" t="n">
        <v>0</v>
      </c>
      <c r="P5174" t="n">
        <v>0</v>
      </c>
      <c r="Q5174" t="n">
        <v>0</v>
      </c>
      <c r="R5174" s="2" t="inlineStr"/>
    </row>
    <row r="5175" ht="15" customHeight="1">
      <c r="A5175" t="inlineStr">
        <is>
          <t>A 28642-2022</t>
        </is>
      </c>
      <c r="B5175" s="1" t="n">
        <v>44748</v>
      </c>
      <c r="C5175" s="1" t="n">
        <v>45212</v>
      </c>
      <c r="D5175" t="inlineStr">
        <is>
          <t>VÄSTERNORRLANDS LÄN</t>
        </is>
      </c>
      <c r="E5175" t="inlineStr">
        <is>
          <t>ÖRNSKÖLDSVIK</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28708-2022</t>
        </is>
      </c>
      <c r="B5176" s="1" t="n">
        <v>44748</v>
      </c>
      <c r="C5176" s="1" t="n">
        <v>45212</v>
      </c>
      <c r="D5176" t="inlineStr">
        <is>
          <t>VÄSTERNORRLANDS LÄN</t>
        </is>
      </c>
      <c r="E5176" t="inlineStr">
        <is>
          <t>SUNDSVALL</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28729-2022</t>
        </is>
      </c>
      <c r="B5177" s="1" t="n">
        <v>44748</v>
      </c>
      <c r="C5177" s="1" t="n">
        <v>45212</v>
      </c>
      <c r="D5177" t="inlineStr">
        <is>
          <t>VÄSTERNORRLANDS LÄN</t>
        </is>
      </c>
      <c r="E5177" t="inlineStr">
        <is>
          <t>SOLLEFTEÅ</t>
        </is>
      </c>
      <c r="F5177" t="inlineStr">
        <is>
          <t>SCA</t>
        </is>
      </c>
      <c r="G5177" t="n">
        <v>11.5</v>
      </c>
      <c r="H5177" t="n">
        <v>0</v>
      </c>
      <c r="I5177" t="n">
        <v>0</v>
      </c>
      <c r="J5177" t="n">
        <v>0</v>
      </c>
      <c r="K5177" t="n">
        <v>0</v>
      </c>
      <c r="L5177" t="n">
        <v>0</v>
      </c>
      <c r="M5177" t="n">
        <v>0</v>
      </c>
      <c r="N5177" t="n">
        <v>0</v>
      </c>
      <c r="O5177" t="n">
        <v>0</v>
      </c>
      <c r="P5177" t="n">
        <v>0</v>
      </c>
      <c r="Q5177" t="n">
        <v>0</v>
      </c>
      <c r="R5177" s="2" t="inlineStr"/>
    </row>
    <row r="5178" ht="15" customHeight="1">
      <c r="A5178" t="inlineStr">
        <is>
          <t>A 28700-2022</t>
        </is>
      </c>
      <c r="B5178" s="1" t="n">
        <v>44748</v>
      </c>
      <c r="C5178" s="1" t="n">
        <v>45212</v>
      </c>
      <c r="D5178" t="inlineStr">
        <is>
          <t>VÄSTERNORRLANDS LÄN</t>
        </is>
      </c>
      <c r="E5178" t="inlineStr">
        <is>
          <t>SOLLEFTEÅ</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28536-2022</t>
        </is>
      </c>
      <c r="B5179" s="1" t="n">
        <v>44748</v>
      </c>
      <c r="C5179" s="1" t="n">
        <v>45212</v>
      </c>
      <c r="D5179" t="inlineStr">
        <is>
          <t>VÄSTERNORRLANDS LÄN</t>
        </is>
      </c>
      <c r="E5179" t="inlineStr">
        <is>
          <t>SUNDSVALL</t>
        </is>
      </c>
      <c r="G5179" t="n">
        <v>8.9</v>
      </c>
      <c r="H5179" t="n">
        <v>0</v>
      </c>
      <c r="I5179" t="n">
        <v>0</v>
      </c>
      <c r="J5179" t="n">
        <v>0</v>
      </c>
      <c r="K5179" t="n">
        <v>0</v>
      </c>
      <c r="L5179" t="n">
        <v>0</v>
      </c>
      <c r="M5179" t="n">
        <v>0</v>
      </c>
      <c r="N5179" t="n">
        <v>0</v>
      </c>
      <c r="O5179" t="n">
        <v>0</v>
      </c>
      <c r="P5179" t="n">
        <v>0</v>
      </c>
      <c r="Q5179" t="n">
        <v>0</v>
      </c>
      <c r="R5179" s="2" t="inlineStr"/>
    </row>
    <row r="5180" ht="15" customHeight="1">
      <c r="A5180" t="inlineStr">
        <is>
          <t>A 28640-2022</t>
        </is>
      </c>
      <c r="B5180" s="1" t="n">
        <v>44748</v>
      </c>
      <c r="C5180" s="1" t="n">
        <v>45212</v>
      </c>
      <c r="D5180" t="inlineStr">
        <is>
          <t>VÄSTERNORRLANDS LÄN</t>
        </is>
      </c>
      <c r="E5180" t="inlineStr">
        <is>
          <t>ÖRNSKÖLDSVIK</t>
        </is>
      </c>
      <c r="G5180" t="n">
        <v>9.800000000000001</v>
      </c>
      <c r="H5180" t="n">
        <v>0</v>
      </c>
      <c r="I5180" t="n">
        <v>0</v>
      </c>
      <c r="J5180" t="n">
        <v>0</v>
      </c>
      <c r="K5180" t="n">
        <v>0</v>
      </c>
      <c r="L5180" t="n">
        <v>0</v>
      </c>
      <c r="M5180" t="n">
        <v>0</v>
      </c>
      <c r="N5180" t="n">
        <v>0</v>
      </c>
      <c r="O5180" t="n">
        <v>0</v>
      </c>
      <c r="P5180" t="n">
        <v>0</v>
      </c>
      <c r="Q5180" t="n">
        <v>0</v>
      </c>
      <c r="R5180" s="2" t="inlineStr"/>
    </row>
    <row r="5181" ht="15" customHeight="1">
      <c r="A5181" t="inlineStr">
        <is>
          <t>A 28671-2022</t>
        </is>
      </c>
      <c r="B5181" s="1" t="n">
        <v>44748</v>
      </c>
      <c r="C5181" s="1" t="n">
        <v>45212</v>
      </c>
      <c r="D5181" t="inlineStr">
        <is>
          <t>VÄSTERNORRLANDS LÄN</t>
        </is>
      </c>
      <c r="E5181" t="inlineStr">
        <is>
          <t>SOLLEFTEÅ</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28683-2022</t>
        </is>
      </c>
      <c r="B5182" s="1" t="n">
        <v>44748</v>
      </c>
      <c r="C5182" s="1" t="n">
        <v>45212</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28726-2022</t>
        </is>
      </c>
      <c r="B5183" s="1" t="n">
        <v>44748</v>
      </c>
      <c r="C5183" s="1" t="n">
        <v>45212</v>
      </c>
      <c r="D5183" t="inlineStr">
        <is>
          <t>VÄSTERNORRLANDS LÄN</t>
        </is>
      </c>
      <c r="E5183" t="inlineStr">
        <is>
          <t>SUNDSVALL</t>
        </is>
      </c>
      <c r="F5183" t="inlineStr">
        <is>
          <t>SCA</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28716-2022</t>
        </is>
      </c>
      <c r="B5184" s="1" t="n">
        <v>44748</v>
      </c>
      <c r="C5184" s="1" t="n">
        <v>45212</v>
      </c>
      <c r="D5184" t="inlineStr">
        <is>
          <t>VÄSTERNORRLANDS LÄN</t>
        </is>
      </c>
      <c r="E5184" t="inlineStr">
        <is>
          <t>HÄRNÖSAND</t>
        </is>
      </c>
      <c r="F5184" t="inlineStr">
        <is>
          <t>SCA</t>
        </is>
      </c>
      <c r="G5184" t="n">
        <v>7</v>
      </c>
      <c r="H5184" t="n">
        <v>0</v>
      </c>
      <c r="I5184" t="n">
        <v>0</v>
      </c>
      <c r="J5184" t="n">
        <v>0</v>
      </c>
      <c r="K5184" t="n">
        <v>0</v>
      </c>
      <c r="L5184" t="n">
        <v>0</v>
      </c>
      <c r="M5184" t="n">
        <v>0</v>
      </c>
      <c r="N5184" t="n">
        <v>0</v>
      </c>
      <c r="O5184" t="n">
        <v>0</v>
      </c>
      <c r="P5184" t="n">
        <v>0</v>
      </c>
      <c r="Q5184" t="n">
        <v>0</v>
      </c>
      <c r="R5184" s="2" t="inlineStr"/>
    </row>
    <row r="5185" ht="15" customHeight="1">
      <c r="A5185" t="inlineStr">
        <is>
          <t>A 28730-2022</t>
        </is>
      </c>
      <c r="B5185" s="1" t="n">
        <v>44748</v>
      </c>
      <c r="C5185" s="1" t="n">
        <v>45212</v>
      </c>
      <c r="D5185" t="inlineStr">
        <is>
          <t>VÄSTERNORRLANDS LÄN</t>
        </is>
      </c>
      <c r="E5185" t="inlineStr">
        <is>
          <t>SOLLEFTEÅ</t>
        </is>
      </c>
      <c r="F5185" t="inlineStr">
        <is>
          <t>SCA</t>
        </is>
      </c>
      <c r="G5185" t="n">
        <v>3.3</v>
      </c>
      <c r="H5185" t="n">
        <v>0</v>
      </c>
      <c r="I5185" t="n">
        <v>0</v>
      </c>
      <c r="J5185" t="n">
        <v>0</v>
      </c>
      <c r="K5185" t="n">
        <v>0</v>
      </c>
      <c r="L5185" t="n">
        <v>0</v>
      </c>
      <c r="M5185" t="n">
        <v>0</v>
      </c>
      <c r="N5185" t="n">
        <v>0</v>
      </c>
      <c r="O5185" t="n">
        <v>0</v>
      </c>
      <c r="P5185" t="n">
        <v>0</v>
      </c>
      <c r="Q5185" t="n">
        <v>0</v>
      </c>
      <c r="R5185" s="2" t="inlineStr"/>
    </row>
    <row r="5186" ht="15" customHeight="1">
      <c r="A5186" t="inlineStr">
        <is>
          <t>A 28909-2022</t>
        </is>
      </c>
      <c r="B5186" s="1" t="n">
        <v>44749</v>
      </c>
      <c r="C5186" s="1" t="n">
        <v>45212</v>
      </c>
      <c r="D5186" t="inlineStr">
        <is>
          <t>VÄSTERNORRLANDS LÄN</t>
        </is>
      </c>
      <c r="E5186" t="inlineStr">
        <is>
          <t>SOLLEFTEÅ</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28961-2022</t>
        </is>
      </c>
      <c r="B5187" s="1" t="n">
        <v>44749</v>
      </c>
      <c r="C5187" s="1" t="n">
        <v>45212</v>
      </c>
      <c r="D5187" t="inlineStr">
        <is>
          <t>VÄSTERNORRLANDS LÄN</t>
        </is>
      </c>
      <c r="E5187" t="inlineStr">
        <is>
          <t>SUNDSVALL</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28903-2022</t>
        </is>
      </c>
      <c r="B5188" s="1" t="n">
        <v>44749</v>
      </c>
      <c r="C5188" s="1" t="n">
        <v>45212</v>
      </c>
      <c r="D5188" t="inlineStr">
        <is>
          <t>VÄSTERNORRLANDS LÄN</t>
        </is>
      </c>
      <c r="E5188" t="inlineStr">
        <is>
          <t>SOLLEFTEÅ</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28943-2022</t>
        </is>
      </c>
      <c r="B5189" s="1" t="n">
        <v>44749</v>
      </c>
      <c r="C5189" s="1" t="n">
        <v>45212</v>
      </c>
      <c r="D5189" t="inlineStr">
        <is>
          <t>VÄSTERNORRLANDS LÄN</t>
        </is>
      </c>
      <c r="E5189" t="inlineStr">
        <is>
          <t>KRAMFORS</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29146-2022</t>
        </is>
      </c>
      <c r="B5190" s="1" t="n">
        <v>44750</v>
      </c>
      <c r="C5190" s="1" t="n">
        <v>45212</v>
      </c>
      <c r="D5190" t="inlineStr">
        <is>
          <t>VÄSTERNORRLANDS LÄN</t>
        </is>
      </c>
      <c r="E5190" t="inlineStr">
        <is>
          <t>HÄRNÖSAND</t>
        </is>
      </c>
      <c r="G5190" t="n">
        <v>7.4</v>
      </c>
      <c r="H5190" t="n">
        <v>0</v>
      </c>
      <c r="I5190" t="n">
        <v>0</v>
      </c>
      <c r="J5190" t="n">
        <v>0</v>
      </c>
      <c r="K5190" t="n">
        <v>0</v>
      </c>
      <c r="L5190" t="n">
        <v>0</v>
      </c>
      <c r="M5190" t="n">
        <v>0</v>
      </c>
      <c r="N5190" t="n">
        <v>0</v>
      </c>
      <c r="O5190" t="n">
        <v>0</v>
      </c>
      <c r="P5190" t="n">
        <v>0</v>
      </c>
      <c r="Q5190" t="n">
        <v>0</v>
      </c>
      <c r="R5190" s="2" t="inlineStr"/>
    </row>
    <row r="5191" ht="15" customHeight="1">
      <c r="A5191" t="inlineStr">
        <is>
          <t>A 29290-2022</t>
        </is>
      </c>
      <c r="B5191" s="1" t="n">
        <v>44750</v>
      </c>
      <c r="C5191" s="1" t="n">
        <v>45212</v>
      </c>
      <c r="D5191" t="inlineStr">
        <is>
          <t>VÄSTERNORRLANDS LÄN</t>
        </is>
      </c>
      <c r="E5191" t="inlineStr">
        <is>
          <t>SOLLEFTEÅ</t>
        </is>
      </c>
      <c r="F5191" t="inlineStr">
        <is>
          <t>SCA</t>
        </is>
      </c>
      <c r="G5191" t="n">
        <v>5.4</v>
      </c>
      <c r="H5191" t="n">
        <v>0</v>
      </c>
      <c r="I5191" t="n">
        <v>0</v>
      </c>
      <c r="J5191" t="n">
        <v>0</v>
      </c>
      <c r="K5191" t="n">
        <v>0</v>
      </c>
      <c r="L5191" t="n">
        <v>0</v>
      </c>
      <c r="M5191" t="n">
        <v>0</v>
      </c>
      <c r="N5191" t="n">
        <v>0</v>
      </c>
      <c r="O5191" t="n">
        <v>0</v>
      </c>
      <c r="P5191" t="n">
        <v>0</v>
      </c>
      <c r="Q5191" t="n">
        <v>0</v>
      </c>
      <c r="R5191" s="2" t="inlineStr"/>
    </row>
    <row r="5192" ht="15" customHeight="1">
      <c r="A5192" t="inlineStr">
        <is>
          <t>A 29216-2022</t>
        </is>
      </c>
      <c r="B5192" s="1" t="n">
        <v>44750</v>
      </c>
      <c r="C5192" s="1" t="n">
        <v>45212</v>
      </c>
      <c r="D5192" t="inlineStr">
        <is>
          <t>VÄSTERNORRLANDS LÄN</t>
        </is>
      </c>
      <c r="E5192" t="inlineStr">
        <is>
          <t>ÅNGE</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29255-2022</t>
        </is>
      </c>
      <c r="B5193" s="1" t="n">
        <v>44750</v>
      </c>
      <c r="C5193" s="1" t="n">
        <v>45212</v>
      </c>
      <c r="D5193" t="inlineStr">
        <is>
          <t>VÄSTERNORRLANDS LÄN</t>
        </is>
      </c>
      <c r="E5193" t="inlineStr">
        <is>
          <t>KRAMFORS</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29292-2022</t>
        </is>
      </c>
      <c r="B5194" s="1" t="n">
        <v>44750</v>
      </c>
      <c r="C5194" s="1" t="n">
        <v>45212</v>
      </c>
      <c r="D5194" t="inlineStr">
        <is>
          <t>VÄSTERNORRLANDS LÄN</t>
        </is>
      </c>
      <c r="E5194" t="inlineStr">
        <is>
          <t>SOLLEFTEÅ</t>
        </is>
      </c>
      <c r="F5194" t="inlineStr">
        <is>
          <t>SCA</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29311-2022</t>
        </is>
      </c>
      <c r="B5195" s="1" t="n">
        <v>44750</v>
      </c>
      <c r="C5195" s="1" t="n">
        <v>45212</v>
      </c>
      <c r="D5195" t="inlineStr">
        <is>
          <t>VÄSTERNORRLANDS LÄN</t>
        </is>
      </c>
      <c r="E5195" t="inlineStr">
        <is>
          <t>SOLLEFTEÅ</t>
        </is>
      </c>
      <c r="F5195" t="inlineStr">
        <is>
          <t>SCA</t>
        </is>
      </c>
      <c r="G5195" t="n">
        <v>3</v>
      </c>
      <c r="H5195" t="n">
        <v>0</v>
      </c>
      <c r="I5195" t="n">
        <v>0</v>
      </c>
      <c r="J5195" t="n">
        <v>0</v>
      </c>
      <c r="K5195" t="n">
        <v>0</v>
      </c>
      <c r="L5195" t="n">
        <v>0</v>
      </c>
      <c r="M5195" t="n">
        <v>0</v>
      </c>
      <c r="N5195" t="n">
        <v>0</v>
      </c>
      <c r="O5195" t="n">
        <v>0</v>
      </c>
      <c r="P5195" t="n">
        <v>0</v>
      </c>
      <c r="Q5195" t="n">
        <v>0</v>
      </c>
      <c r="R5195" s="2" t="inlineStr"/>
    </row>
    <row r="5196" ht="15" customHeight="1">
      <c r="A5196" t="inlineStr">
        <is>
          <t>A 29300-2022</t>
        </is>
      </c>
      <c r="B5196" s="1" t="n">
        <v>44750</v>
      </c>
      <c r="C5196" s="1" t="n">
        <v>45212</v>
      </c>
      <c r="D5196" t="inlineStr">
        <is>
          <t>VÄSTERNORRLANDS LÄN</t>
        </is>
      </c>
      <c r="E5196" t="inlineStr">
        <is>
          <t>SOLLEFTEÅ</t>
        </is>
      </c>
      <c r="F5196" t="inlineStr">
        <is>
          <t>SCA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29308-2022</t>
        </is>
      </c>
      <c r="B5197" s="1" t="n">
        <v>44750</v>
      </c>
      <c r="C5197" s="1" t="n">
        <v>45212</v>
      </c>
      <c r="D5197" t="inlineStr">
        <is>
          <t>VÄSTERNORRLANDS LÄN</t>
        </is>
      </c>
      <c r="E5197" t="inlineStr">
        <is>
          <t>TIMRÅ</t>
        </is>
      </c>
      <c r="F5197" t="inlineStr">
        <is>
          <t>SCA</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29342-2022</t>
        </is>
      </c>
      <c r="B5198" s="1" t="n">
        <v>44752</v>
      </c>
      <c r="C5198" s="1" t="n">
        <v>45212</v>
      </c>
      <c r="D5198" t="inlineStr">
        <is>
          <t>VÄSTERNORRLANDS LÄN</t>
        </is>
      </c>
      <c r="E5198" t="inlineStr">
        <is>
          <t>HÄRNÖSAND</t>
        </is>
      </c>
      <c r="F5198" t="inlineStr">
        <is>
          <t>SCA</t>
        </is>
      </c>
      <c r="G5198" t="n">
        <v>8.9</v>
      </c>
      <c r="H5198" t="n">
        <v>0</v>
      </c>
      <c r="I5198" t="n">
        <v>0</v>
      </c>
      <c r="J5198" t="n">
        <v>0</v>
      </c>
      <c r="K5198" t="n">
        <v>0</v>
      </c>
      <c r="L5198" t="n">
        <v>0</v>
      </c>
      <c r="M5198" t="n">
        <v>0</v>
      </c>
      <c r="N5198" t="n">
        <v>0</v>
      </c>
      <c r="O5198" t="n">
        <v>0</v>
      </c>
      <c r="P5198" t="n">
        <v>0</v>
      </c>
      <c r="Q5198" t="n">
        <v>0</v>
      </c>
      <c r="R5198" s="2" t="inlineStr"/>
    </row>
    <row r="5199" ht="15" customHeight="1">
      <c r="A5199" t="inlineStr">
        <is>
          <t>A 29534-2022</t>
        </is>
      </c>
      <c r="B5199" s="1" t="n">
        <v>44753</v>
      </c>
      <c r="C5199" s="1" t="n">
        <v>45212</v>
      </c>
      <c r="D5199" t="inlineStr">
        <is>
          <t>VÄSTERNORRLANDS LÄN</t>
        </is>
      </c>
      <c r="E5199" t="inlineStr">
        <is>
          <t>ÖRNSKÖLDSVIK</t>
        </is>
      </c>
      <c r="G5199" t="n">
        <v>1.1</v>
      </c>
      <c r="H5199" t="n">
        <v>0</v>
      </c>
      <c r="I5199" t="n">
        <v>0</v>
      </c>
      <c r="J5199" t="n">
        <v>0</v>
      </c>
      <c r="K5199" t="n">
        <v>0</v>
      </c>
      <c r="L5199" t="n">
        <v>0</v>
      </c>
      <c r="M5199" t="n">
        <v>0</v>
      </c>
      <c r="N5199" t="n">
        <v>0</v>
      </c>
      <c r="O5199" t="n">
        <v>0</v>
      </c>
      <c r="P5199" t="n">
        <v>0</v>
      </c>
      <c r="Q5199" t="n">
        <v>0</v>
      </c>
      <c r="R5199" s="2" t="inlineStr"/>
    </row>
    <row r="5200" ht="15" customHeight="1">
      <c r="A5200" t="inlineStr">
        <is>
          <t>A 29548-2022</t>
        </is>
      </c>
      <c r="B5200" s="1" t="n">
        <v>44753</v>
      </c>
      <c r="C5200" s="1" t="n">
        <v>45212</v>
      </c>
      <c r="D5200" t="inlineStr">
        <is>
          <t>VÄSTERNORRLANDS LÄN</t>
        </is>
      </c>
      <c r="E5200" t="inlineStr">
        <is>
          <t>SOLLEFTEÅ</t>
        </is>
      </c>
      <c r="F5200" t="inlineStr">
        <is>
          <t>SCA</t>
        </is>
      </c>
      <c r="G5200" t="n">
        <v>43.3</v>
      </c>
      <c r="H5200" t="n">
        <v>0</v>
      </c>
      <c r="I5200" t="n">
        <v>0</v>
      </c>
      <c r="J5200" t="n">
        <v>0</v>
      </c>
      <c r="K5200" t="n">
        <v>0</v>
      </c>
      <c r="L5200" t="n">
        <v>0</v>
      </c>
      <c r="M5200" t="n">
        <v>0</v>
      </c>
      <c r="N5200" t="n">
        <v>0</v>
      </c>
      <c r="O5200" t="n">
        <v>0</v>
      </c>
      <c r="P5200" t="n">
        <v>0</v>
      </c>
      <c r="Q5200" t="n">
        <v>0</v>
      </c>
      <c r="R5200" s="2" t="inlineStr"/>
    </row>
    <row r="5201" ht="15" customHeight="1">
      <c r="A5201" t="inlineStr">
        <is>
          <t>A 29796-2022</t>
        </is>
      </c>
      <c r="B5201" s="1" t="n">
        <v>44755</v>
      </c>
      <c r="C5201" s="1" t="n">
        <v>45212</v>
      </c>
      <c r="D5201" t="inlineStr">
        <is>
          <t>VÄSTERNORRLANDS LÄN</t>
        </is>
      </c>
      <c r="E5201" t="inlineStr">
        <is>
          <t>ÖRNSKÖLDSVIK</t>
        </is>
      </c>
      <c r="F5201" t="inlineStr">
        <is>
          <t>Holmen skog AB</t>
        </is>
      </c>
      <c r="G5201" t="n">
        <v>2.2</v>
      </c>
      <c r="H5201" t="n">
        <v>0</v>
      </c>
      <c r="I5201" t="n">
        <v>0</v>
      </c>
      <c r="J5201" t="n">
        <v>0</v>
      </c>
      <c r="K5201" t="n">
        <v>0</v>
      </c>
      <c r="L5201" t="n">
        <v>0</v>
      </c>
      <c r="M5201" t="n">
        <v>0</v>
      </c>
      <c r="N5201" t="n">
        <v>0</v>
      </c>
      <c r="O5201" t="n">
        <v>0</v>
      </c>
      <c r="P5201" t="n">
        <v>0</v>
      </c>
      <c r="Q5201" t="n">
        <v>0</v>
      </c>
      <c r="R5201" s="2" t="inlineStr"/>
    </row>
    <row r="5202" ht="15" customHeight="1">
      <c r="A5202" t="inlineStr">
        <is>
          <t>A 29812-2022</t>
        </is>
      </c>
      <c r="B5202" s="1" t="n">
        <v>44755</v>
      </c>
      <c r="C5202" s="1" t="n">
        <v>45212</v>
      </c>
      <c r="D5202" t="inlineStr">
        <is>
          <t>VÄSTERNORRLANDS LÄN</t>
        </is>
      </c>
      <c r="E5202" t="inlineStr">
        <is>
          <t>HÄRNÖSAND</t>
        </is>
      </c>
      <c r="G5202" t="n">
        <v>7.7</v>
      </c>
      <c r="H5202" t="n">
        <v>0</v>
      </c>
      <c r="I5202" t="n">
        <v>0</v>
      </c>
      <c r="J5202" t="n">
        <v>0</v>
      </c>
      <c r="K5202" t="n">
        <v>0</v>
      </c>
      <c r="L5202" t="n">
        <v>0</v>
      </c>
      <c r="M5202" t="n">
        <v>0</v>
      </c>
      <c r="N5202" t="n">
        <v>0</v>
      </c>
      <c r="O5202" t="n">
        <v>0</v>
      </c>
      <c r="P5202" t="n">
        <v>0</v>
      </c>
      <c r="Q5202" t="n">
        <v>0</v>
      </c>
      <c r="R5202" s="2" t="inlineStr"/>
    </row>
    <row r="5203" ht="15" customHeight="1">
      <c r="A5203" t="inlineStr">
        <is>
          <t>A 29795-2022</t>
        </is>
      </c>
      <c r="B5203" s="1" t="n">
        <v>44755</v>
      </c>
      <c r="C5203" s="1" t="n">
        <v>45212</v>
      </c>
      <c r="D5203" t="inlineStr">
        <is>
          <t>VÄSTERNORRLANDS LÄN</t>
        </is>
      </c>
      <c r="E5203" t="inlineStr">
        <is>
          <t>ÖRNSKÖLDSVIK</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29814-2022</t>
        </is>
      </c>
      <c r="B5204" s="1" t="n">
        <v>44755</v>
      </c>
      <c r="C5204" s="1" t="n">
        <v>45212</v>
      </c>
      <c r="D5204" t="inlineStr">
        <is>
          <t>VÄSTERNORRLANDS LÄN</t>
        </is>
      </c>
      <c r="E5204" t="inlineStr">
        <is>
          <t>HÄRNÖSAND</t>
        </is>
      </c>
      <c r="G5204" t="n">
        <v>2.7</v>
      </c>
      <c r="H5204" t="n">
        <v>0</v>
      </c>
      <c r="I5204" t="n">
        <v>0</v>
      </c>
      <c r="J5204" t="n">
        <v>0</v>
      </c>
      <c r="K5204" t="n">
        <v>0</v>
      </c>
      <c r="L5204" t="n">
        <v>0</v>
      </c>
      <c r="M5204" t="n">
        <v>0</v>
      </c>
      <c r="N5204" t="n">
        <v>0</v>
      </c>
      <c r="O5204" t="n">
        <v>0</v>
      </c>
      <c r="P5204" t="n">
        <v>0</v>
      </c>
      <c r="Q5204" t="n">
        <v>0</v>
      </c>
      <c r="R5204" s="2" t="inlineStr"/>
    </row>
    <row r="5205" ht="15" customHeight="1">
      <c r="A5205" t="inlineStr">
        <is>
          <t>A 29805-2022</t>
        </is>
      </c>
      <c r="B5205" s="1" t="n">
        <v>44755</v>
      </c>
      <c r="C5205" s="1" t="n">
        <v>45212</v>
      </c>
      <c r="D5205" t="inlineStr">
        <is>
          <t>VÄSTERNORRLANDS LÄN</t>
        </is>
      </c>
      <c r="E5205" t="inlineStr">
        <is>
          <t>SUNDSVALL</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29813-2022</t>
        </is>
      </c>
      <c r="B5206" s="1" t="n">
        <v>44755</v>
      </c>
      <c r="C5206" s="1" t="n">
        <v>45212</v>
      </c>
      <c r="D5206" t="inlineStr">
        <is>
          <t>VÄSTERNORRLANDS LÄN</t>
        </is>
      </c>
      <c r="E5206" t="inlineStr">
        <is>
          <t>HÄRNÖSAND</t>
        </is>
      </c>
      <c r="G5206" t="n">
        <v>2</v>
      </c>
      <c r="H5206" t="n">
        <v>0</v>
      </c>
      <c r="I5206" t="n">
        <v>0</v>
      </c>
      <c r="J5206" t="n">
        <v>0</v>
      </c>
      <c r="K5206" t="n">
        <v>0</v>
      </c>
      <c r="L5206" t="n">
        <v>0</v>
      </c>
      <c r="M5206" t="n">
        <v>0</v>
      </c>
      <c r="N5206" t="n">
        <v>0</v>
      </c>
      <c r="O5206" t="n">
        <v>0</v>
      </c>
      <c r="P5206" t="n">
        <v>0</v>
      </c>
      <c r="Q5206" t="n">
        <v>0</v>
      </c>
      <c r="R5206" s="2" t="inlineStr"/>
    </row>
    <row r="5207" ht="15" customHeight="1">
      <c r="A5207" t="inlineStr">
        <is>
          <t>A 29825-2022</t>
        </is>
      </c>
      <c r="B5207" s="1" t="n">
        <v>44755</v>
      </c>
      <c r="C5207" s="1" t="n">
        <v>45212</v>
      </c>
      <c r="D5207" t="inlineStr">
        <is>
          <t>VÄSTERNORRLANDS LÄN</t>
        </is>
      </c>
      <c r="E5207" t="inlineStr">
        <is>
          <t>ÅNGE</t>
        </is>
      </c>
      <c r="F5207" t="inlineStr">
        <is>
          <t>SCA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30033-2022</t>
        </is>
      </c>
      <c r="B5208" s="1" t="n">
        <v>44756</v>
      </c>
      <c r="C5208" s="1" t="n">
        <v>45212</v>
      </c>
      <c r="D5208" t="inlineStr">
        <is>
          <t>VÄSTERNORRLANDS LÄN</t>
        </is>
      </c>
      <c r="E5208" t="inlineStr">
        <is>
          <t>SOLLEFTEÅ</t>
        </is>
      </c>
      <c r="F5208" t="inlineStr">
        <is>
          <t>SCA</t>
        </is>
      </c>
      <c r="G5208" t="n">
        <v>5.1</v>
      </c>
      <c r="H5208" t="n">
        <v>0</v>
      </c>
      <c r="I5208" t="n">
        <v>0</v>
      </c>
      <c r="J5208" t="n">
        <v>0</v>
      </c>
      <c r="K5208" t="n">
        <v>0</v>
      </c>
      <c r="L5208" t="n">
        <v>0</v>
      </c>
      <c r="M5208" t="n">
        <v>0</v>
      </c>
      <c r="N5208" t="n">
        <v>0</v>
      </c>
      <c r="O5208" t="n">
        <v>0</v>
      </c>
      <c r="P5208" t="n">
        <v>0</v>
      </c>
      <c r="Q5208" t="n">
        <v>0</v>
      </c>
      <c r="R5208" s="2" t="inlineStr"/>
    </row>
    <row r="5209" ht="15" customHeight="1">
      <c r="A5209" t="inlineStr">
        <is>
          <t>A 30043-2022</t>
        </is>
      </c>
      <c r="B5209" s="1" t="n">
        <v>44756</v>
      </c>
      <c r="C5209" s="1" t="n">
        <v>45212</v>
      </c>
      <c r="D5209" t="inlineStr">
        <is>
          <t>VÄSTERNORRLANDS LÄN</t>
        </is>
      </c>
      <c r="E5209" t="inlineStr">
        <is>
          <t>SOLLEFTEÅ</t>
        </is>
      </c>
      <c r="F5209" t="inlineStr">
        <is>
          <t>SCA</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30045-2022</t>
        </is>
      </c>
      <c r="B5210" s="1" t="n">
        <v>44756</v>
      </c>
      <c r="C5210" s="1" t="n">
        <v>45212</v>
      </c>
      <c r="D5210" t="inlineStr">
        <is>
          <t>VÄSTERNORRLANDS LÄN</t>
        </is>
      </c>
      <c r="E5210" t="inlineStr">
        <is>
          <t>SOLLEFTEÅ</t>
        </is>
      </c>
      <c r="F5210" t="inlineStr">
        <is>
          <t>SCA</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30013-2022</t>
        </is>
      </c>
      <c r="B5211" s="1" t="n">
        <v>44756</v>
      </c>
      <c r="C5211" s="1" t="n">
        <v>45212</v>
      </c>
      <c r="D5211" t="inlineStr">
        <is>
          <t>VÄSTERNORRLANDS LÄN</t>
        </is>
      </c>
      <c r="E5211" t="inlineStr">
        <is>
          <t>SOLLEFTEÅ</t>
        </is>
      </c>
      <c r="F5211" t="inlineStr">
        <is>
          <t>SCA</t>
        </is>
      </c>
      <c r="G5211" t="n">
        <v>4.5</v>
      </c>
      <c r="H5211" t="n">
        <v>0</v>
      </c>
      <c r="I5211" t="n">
        <v>0</v>
      </c>
      <c r="J5211" t="n">
        <v>0</v>
      </c>
      <c r="K5211" t="n">
        <v>0</v>
      </c>
      <c r="L5211" t="n">
        <v>0</v>
      </c>
      <c r="M5211" t="n">
        <v>0</v>
      </c>
      <c r="N5211" t="n">
        <v>0</v>
      </c>
      <c r="O5211" t="n">
        <v>0</v>
      </c>
      <c r="P5211" t="n">
        <v>0</v>
      </c>
      <c r="Q5211" t="n">
        <v>0</v>
      </c>
      <c r="R5211" s="2" t="inlineStr"/>
    </row>
    <row r="5212" ht="15" customHeight="1">
      <c r="A5212" t="inlineStr">
        <is>
          <t>A 30032-2022</t>
        </is>
      </c>
      <c r="B5212" s="1" t="n">
        <v>44756</v>
      </c>
      <c r="C5212" s="1" t="n">
        <v>45212</v>
      </c>
      <c r="D5212" t="inlineStr">
        <is>
          <t>VÄSTERNORRLANDS LÄN</t>
        </is>
      </c>
      <c r="E5212" t="inlineStr">
        <is>
          <t>SOLLEFTEÅ</t>
        </is>
      </c>
      <c r="F5212" t="inlineStr">
        <is>
          <t>SCA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30041-2022</t>
        </is>
      </c>
      <c r="B5213" s="1" t="n">
        <v>44756</v>
      </c>
      <c r="C5213" s="1" t="n">
        <v>45212</v>
      </c>
      <c r="D5213" t="inlineStr">
        <is>
          <t>VÄSTERNORRLANDS LÄN</t>
        </is>
      </c>
      <c r="E5213" t="inlineStr">
        <is>
          <t>SOLLEFTEÅ</t>
        </is>
      </c>
      <c r="F5213" t="inlineStr">
        <is>
          <t>SCA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30221-2022</t>
        </is>
      </c>
      <c r="B5214" s="1" t="n">
        <v>44757</v>
      </c>
      <c r="C5214" s="1" t="n">
        <v>45212</v>
      </c>
      <c r="D5214" t="inlineStr">
        <is>
          <t>VÄSTERNORRLANDS LÄN</t>
        </is>
      </c>
      <c r="E5214" t="inlineStr">
        <is>
          <t>ÅNGE</t>
        </is>
      </c>
      <c r="F5214" t="inlineStr">
        <is>
          <t>SCA</t>
        </is>
      </c>
      <c r="G5214" t="n">
        <v>6.8</v>
      </c>
      <c r="H5214" t="n">
        <v>0</v>
      </c>
      <c r="I5214" t="n">
        <v>0</v>
      </c>
      <c r="J5214" t="n">
        <v>0</v>
      </c>
      <c r="K5214" t="n">
        <v>0</v>
      </c>
      <c r="L5214" t="n">
        <v>0</v>
      </c>
      <c r="M5214" t="n">
        <v>0</v>
      </c>
      <c r="N5214" t="n">
        <v>0</v>
      </c>
      <c r="O5214" t="n">
        <v>0</v>
      </c>
      <c r="P5214" t="n">
        <v>0</v>
      </c>
      <c r="Q5214" t="n">
        <v>0</v>
      </c>
      <c r="R5214" s="2" t="inlineStr"/>
    </row>
    <row r="5215" ht="15" customHeight="1">
      <c r="A5215" t="inlineStr">
        <is>
          <t>A 30240-2022</t>
        </is>
      </c>
      <c r="B5215" s="1" t="n">
        <v>44757</v>
      </c>
      <c r="C5215" s="1" t="n">
        <v>45212</v>
      </c>
      <c r="D5215" t="inlineStr">
        <is>
          <t>VÄSTERNORRLANDS LÄN</t>
        </is>
      </c>
      <c r="E5215" t="inlineStr">
        <is>
          <t>SOLLEFTEÅ</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30236-2022</t>
        </is>
      </c>
      <c r="B5216" s="1" t="n">
        <v>44757</v>
      </c>
      <c r="C5216" s="1" t="n">
        <v>45212</v>
      </c>
      <c r="D5216" t="inlineStr">
        <is>
          <t>VÄSTERNORRLANDS LÄN</t>
        </is>
      </c>
      <c r="E5216" t="inlineStr">
        <is>
          <t>SOLLEFTEÅ</t>
        </is>
      </c>
      <c r="F5216" t="inlineStr">
        <is>
          <t>SCA</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30238-2022</t>
        </is>
      </c>
      <c r="B5217" s="1" t="n">
        <v>44757</v>
      </c>
      <c r="C5217" s="1" t="n">
        <v>45212</v>
      </c>
      <c r="D5217" t="inlineStr">
        <is>
          <t>VÄSTERNORRLANDS LÄN</t>
        </is>
      </c>
      <c r="E5217" t="inlineStr">
        <is>
          <t>SOLLEFTEÅ</t>
        </is>
      </c>
      <c r="F5217" t="inlineStr">
        <is>
          <t>SCA</t>
        </is>
      </c>
      <c r="G5217" t="n">
        <v>6.7</v>
      </c>
      <c r="H5217" t="n">
        <v>0</v>
      </c>
      <c r="I5217" t="n">
        <v>0</v>
      </c>
      <c r="J5217" t="n">
        <v>0</v>
      </c>
      <c r="K5217" t="n">
        <v>0</v>
      </c>
      <c r="L5217" t="n">
        <v>0</v>
      </c>
      <c r="M5217" t="n">
        <v>0</v>
      </c>
      <c r="N5217" t="n">
        <v>0</v>
      </c>
      <c r="O5217" t="n">
        <v>0</v>
      </c>
      <c r="P5217" t="n">
        <v>0</v>
      </c>
      <c r="Q5217" t="n">
        <v>0</v>
      </c>
      <c r="R5217" s="2" t="inlineStr"/>
    </row>
    <row r="5218" ht="15" customHeight="1">
      <c r="A5218" t="inlineStr">
        <is>
          <t>A 30247-2022</t>
        </is>
      </c>
      <c r="B5218" s="1" t="n">
        <v>44758</v>
      </c>
      <c r="C5218" s="1" t="n">
        <v>45212</v>
      </c>
      <c r="D5218" t="inlineStr">
        <is>
          <t>VÄSTERNORRLANDS LÄN</t>
        </is>
      </c>
      <c r="E5218" t="inlineStr">
        <is>
          <t>ÖRNSKÖLDSVIK</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30519-2022</t>
        </is>
      </c>
      <c r="B5219" s="1" t="n">
        <v>44762</v>
      </c>
      <c r="C5219" s="1" t="n">
        <v>45212</v>
      </c>
      <c r="D5219" t="inlineStr">
        <is>
          <t>VÄSTERNORRLANDS LÄN</t>
        </is>
      </c>
      <c r="E5219" t="inlineStr">
        <is>
          <t>KRAMFORS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30803-2022</t>
        </is>
      </c>
      <c r="B5220" s="1" t="n">
        <v>44764</v>
      </c>
      <c r="C5220" s="1" t="n">
        <v>45212</v>
      </c>
      <c r="D5220" t="inlineStr">
        <is>
          <t>VÄSTERNORRLANDS LÄN</t>
        </is>
      </c>
      <c r="E5220" t="inlineStr">
        <is>
          <t>ÅNGE</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30776-2022</t>
        </is>
      </c>
      <c r="B5221" s="1" t="n">
        <v>44764</v>
      </c>
      <c r="C5221" s="1" t="n">
        <v>45212</v>
      </c>
      <c r="D5221" t="inlineStr">
        <is>
          <t>VÄSTERNORRLANDS LÄN</t>
        </is>
      </c>
      <c r="E5221" t="inlineStr">
        <is>
          <t>ÖRNSKÖLDSVIK</t>
        </is>
      </c>
      <c r="F5221" t="inlineStr">
        <is>
          <t>Holmen skog AB</t>
        </is>
      </c>
      <c r="G5221" t="n">
        <v>1.9</v>
      </c>
      <c r="H5221" t="n">
        <v>0</v>
      </c>
      <c r="I5221" t="n">
        <v>0</v>
      </c>
      <c r="J5221" t="n">
        <v>0</v>
      </c>
      <c r="K5221" t="n">
        <v>0</v>
      </c>
      <c r="L5221" t="n">
        <v>0</v>
      </c>
      <c r="M5221" t="n">
        <v>0</v>
      </c>
      <c r="N5221" t="n">
        <v>0</v>
      </c>
      <c r="O5221" t="n">
        <v>0</v>
      </c>
      <c r="P5221" t="n">
        <v>0</v>
      </c>
      <c r="Q5221" t="n">
        <v>0</v>
      </c>
      <c r="R5221" s="2" t="inlineStr"/>
    </row>
    <row r="5222" ht="15" customHeight="1">
      <c r="A5222" t="inlineStr">
        <is>
          <t>A 31008-2022</t>
        </is>
      </c>
      <c r="B5222" s="1" t="n">
        <v>44768</v>
      </c>
      <c r="C5222" s="1" t="n">
        <v>45212</v>
      </c>
      <c r="D5222" t="inlineStr">
        <is>
          <t>VÄSTERNORRLANDS LÄN</t>
        </is>
      </c>
      <c r="E5222" t="inlineStr">
        <is>
          <t>ÖRNSKÖLDSVIK</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31005-2022</t>
        </is>
      </c>
      <c r="B5223" s="1" t="n">
        <v>44768</v>
      </c>
      <c r="C5223" s="1" t="n">
        <v>45212</v>
      </c>
      <c r="D5223" t="inlineStr">
        <is>
          <t>VÄSTERNORRLANDS LÄN</t>
        </is>
      </c>
      <c r="E5223" t="inlineStr">
        <is>
          <t>SOLLEFTEÅ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31007-2022</t>
        </is>
      </c>
      <c r="B5224" s="1" t="n">
        <v>44768</v>
      </c>
      <c r="C5224" s="1" t="n">
        <v>45212</v>
      </c>
      <c r="D5224" t="inlineStr">
        <is>
          <t>VÄSTERNORRLANDS LÄN</t>
        </is>
      </c>
      <c r="E5224" t="inlineStr">
        <is>
          <t>ÖRNSKÖLDSVIK</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30982-2022</t>
        </is>
      </c>
      <c r="B5225" s="1" t="n">
        <v>44768</v>
      </c>
      <c r="C5225" s="1" t="n">
        <v>45212</v>
      </c>
      <c r="D5225" t="inlineStr">
        <is>
          <t>VÄSTERNORRLANDS LÄN</t>
        </is>
      </c>
      <c r="E5225" t="inlineStr">
        <is>
          <t>ÖRNSKÖLDSVIK</t>
        </is>
      </c>
      <c r="G5225" t="n">
        <v>1.4</v>
      </c>
      <c r="H5225" t="n">
        <v>0</v>
      </c>
      <c r="I5225" t="n">
        <v>0</v>
      </c>
      <c r="J5225" t="n">
        <v>0</v>
      </c>
      <c r="K5225" t="n">
        <v>0</v>
      </c>
      <c r="L5225" t="n">
        <v>0</v>
      </c>
      <c r="M5225" t="n">
        <v>0</v>
      </c>
      <c r="N5225" t="n">
        <v>0</v>
      </c>
      <c r="O5225" t="n">
        <v>0</v>
      </c>
      <c r="P5225" t="n">
        <v>0</v>
      </c>
      <c r="Q5225" t="n">
        <v>0</v>
      </c>
      <c r="R5225" s="2" t="inlineStr"/>
    </row>
    <row r="5226" ht="15" customHeight="1">
      <c r="A5226" t="inlineStr">
        <is>
          <t>A 31071-2022</t>
        </is>
      </c>
      <c r="B5226" s="1" t="n">
        <v>44769</v>
      </c>
      <c r="C5226" s="1" t="n">
        <v>45212</v>
      </c>
      <c r="D5226" t="inlineStr">
        <is>
          <t>VÄSTERNORRLANDS LÄN</t>
        </is>
      </c>
      <c r="E5226" t="inlineStr">
        <is>
          <t>KRAMFORS</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31084-2022</t>
        </is>
      </c>
      <c r="B5227" s="1" t="n">
        <v>44769</v>
      </c>
      <c r="C5227" s="1" t="n">
        <v>45212</v>
      </c>
      <c r="D5227" t="inlineStr">
        <is>
          <t>VÄSTERNORRLANDS LÄN</t>
        </is>
      </c>
      <c r="E5227" t="inlineStr">
        <is>
          <t>ÖRNSKÖLDSVIK</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31144-2022</t>
        </is>
      </c>
      <c r="B5228" s="1" t="n">
        <v>44770</v>
      </c>
      <c r="C5228" s="1" t="n">
        <v>45212</v>
      </c>
      <c r="D5228" t="inlineStr">
        <is>
          <t>VÄSTERNORRLANDS LÄN</t>
        </is>
      </c>
      <c r="E5228" t="inlineStr">
        <is>
          <t>ÖRNSKÖLDSVIK</t>
        </is>
      </c>
      <c r="F5228" t="inlineStr">
        <is>
          <t>Holmen skog AB</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31333-2022</t>
        </is>
      </c>
      <c r="B5229" s="1" t="n">
        <v>44774</v>
      </c>
      <c r="C5229" s="1" t="n">
        <v>45212</v>
      </c>
      <c r="D5229" t="inlineStr">
        <is>
          <t>VÄSTERNORRLANDS LÄN</t>
        </is>
      </c>
      <c r="E5229" t="inlineStr">
        <is>
          <t>KRAMFORS</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31439-2022</t>
        </is>
      </c>
      <c r="B5230" s="1" t="n">
        <v>44774</v>
      </c>
      <c r="C5230" s="1" t="n">
        <v>45212</v>
      </c>
      <c r="D5230" t="inlineStr">
        <is>
          <t>VÄSTERNORRLANDS LÄN</t>
        </is>
      </c>
      <c r="E5230" t="inlineStr">
        <is>
          <t>SUNDSVALL</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31486-2022</t>
        </is>
      </c>
      <c r="B5231" s="1" t="n">
        <v>44774</v>
      </c>
      <c r="C5231" s="1" t="n">
        <v>45212</v>
      </c>
      <c r="D5231" t="inlineStr">
        <is>
          <t>VÄSTERNORRLANDS LÄN</t>
        </is>
      </c>
      <c r="E5231" t="inlineStr">
        <is>
          <t>SOLLEFTEÅ</t>
        </is>
      </c>
      <c r="F5231" t="inlineStr">
        <is>
          <t>SCA</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31464-2022</t>
        </is>
      </c>
      <c r="B5232" s="1" t="n">
        <v>44774</v>
      </c>
      <c r="C5232" s="1" t="n">
        <v>45212</v>
      </c>
      <c r="D5232" t="inlineStr">
        <is>
          <t>VÄSTERNORRLANDS LÄN</t>
        </is>
      </c>
      <c r="E5232" t="inlineStr">
        <is>
          <t>SOLLEFTEÅ</t>
        </is>
      </c>
      <c r="F5232" t="inlineStr">
        <is>
          <t>SCA</t>
        </is>
      </c>
      <c r="G5232" t="n">
        <v>4.9</v>
      </c>
      <c r="H5232" t="n">
        <v>0</v>
      </c>
      <c r="I5232" t="n">
        <v>0</v>
      </c>
      <c r="J5232" t="n">
        <v>0</v>
      </c>
      <c r="K5232" t="n">
        <v>0</v>
      </c>
      <c r="L5232" t="n">
        <v>0</v>
      </c>
      <c r="M5232" t="n">
        <v>0</v>
      </c>
      <c r="N5232" t="n">
        <v>0</v>
      </c>
      <c r="O5232" t="n">
        <v>0</v>
      </c>
      <c r="P5232" t="n">
        <v>0</v>
      </c>
      <c r="Q5232" t="n">
        <v>0</v>
      </c>
      <c r="R5232" s="2" t="inlineStr"/>
    </row>
    <row r="5233" ht="15" customHeight="1">
      <c r="A5233" t="inlineStr">
        <is>
          <t>A 31489-2022</t>
        </is>
      </c>
      <c r="B5233" s="1" t="n">
        <v>44774</v>
      </c>
      <c r="C5233" s="1" t="n">
        <v>45212</v>
      </c>
      <c r="D5233" t="inlineStr">
        <is>
          <t>VÄSTERNORRLANDS LÄN</t>
        </is>
      </c>
      <c r="E5233" t="inlineStr">
        <is>
          <t>TIMRÅ</t>
        </is>
      </c>
      <c r="F5233" t="inlineStr">
        <is>
          <t>SCA</t>
        </is>
      </c>
      <c r="G5233" t="n">
        <v>5.6</v>
      </c>
      <c r="H5233" t="n">
        <v>0</v>
      </c>
      <c r="I5233" t="n">
        <v>0</v>
      </c>
      <c r="J5233" t="n">
        <v>0</v>
      </c>
      <c r="K5233" t="n">
        <v>0</v>
      </c>
      <c r="L5233" t="n">
        <v>0</v>
      </c>
      <c r="M5233" t="n">
        <v>0</v>
      </c>
      <c r="N5233" t="n">
        <v>0</v>
      </c>
      <c r="O5233" t="n">
        <v>0</v>
      </c>
      <c r="P5233" t="n">
        <v>0</v>
      </c>
      <c r="Q5233" t="n">
        <v>0</v>
      </c>
      <c r="R5233" s="2" t="inlineStr"/>
    </row>
    <row r="5234" ht="15" customHeight="1">
      <c r="A5234" t="inlineStr">
        <is>
          <t>A 31339-2022</t>
        </is>
      </c>
      <c r="B5234" s="1" t="n">
        <v>44774</v>
      </c>
      <c r="C5234" s="1" t="n">
        <v>45212</v>
      </c>
      <c r="D5234" t="inlineStr">
        <is>
          <t>VÄSTERNORRLANDS LÄN</t>
        </is>
      </c>
      <c r="E5234" t="inlineStr">
        <is>
          <t>KRAMFORS</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31368-2022</t>
        </is>
      </c>
      <c r="B5235" s="1" t="n">
        <v>44774</v>
      </c>
      <c r="C5235" s="1" t="n">
        <v>45212</v>
      </c>
      <c r="D5235" t="inlineStr">
        <is>
          <t>VÄSTERNORRLANDS LÄN</t>
        </is>
      </c>
      <c r="E5235" t="inlineStr">
        <is>
          <t>ÅNGE</t>
        </is>
      </c>
      <c r="F5235" t="inlineStr">
        <is>
          <t>Sveaskog</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31366-2022</t>
        </is>
      </c>
      <c r="B5236" s="1" t="n">
        <v>44774</v>
      </c>
      <c r="C5236" s="1" t="n">
        <v>45212</v>
      </c>
      <c r="D5236" t="inlineStr">
        <is>
          <t>VÄSTERNORRLANDS LÄN</t>
        </is>
      </c>
      <c r="E5236" t="inlineStr">
        <is>
          <t>ÅNGE</t>
        </is>
      </c>
      <c r="F5236" t="inlineStr">
        <is>
          <t>Sveaskog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31444-2022</t>
        </is>
      </c>
      <c r="B5237" s="1" t="n">
        <v>44774</v>
      </c>
      <c r="C5237" s="1" t="n">
        <v>45212</v>
      </c>
      <c r="D5237" t="inlineStr">
        <is>
          <t>VÄSTERNORRLANDS LÄN</t>
        </is>
      </c>
      <c r="E5237" t="inlineStr">
        <is>
          <t>SOLLEFTEÅ</t>
        </is>
      </c>
      <c r="F5237" t="inlineStr">
        <is>
          <t>SCA</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31497-2022</t>
        </is>
      </c>
      <c r="B5238" s="1" t="n">
        <v>44774</v>
      </c>
      <c r="C5238" s="1" t="n">
        <v>45212</v>
      </c>
      <c r="D5238" t="inlineStr">
        <is>
          <t>VÄSTERNORRLANDS LÄN</t>
        </is>
      </c>
      <c r="E5238" t="inlineStr">
        <is>
          <t>SUNDSVALL</t>
        </is>
      </c>
      <c r="F5238" t="inlineStr">
        <is>
          <t>SCA</t>
        </is>
      </c>
      <c r="G5238" t="n">
        <v>6.6</v>
      </c>
      <c r="H5238" t="n">
        <v>0</v>
      </c>
      <c r="I5238" t="n">
        <v>0</v>
      </c>
      <c r="J5238" t="n">
        <v>0</v>
      </c>
      <c r="K5238" t="n">
        <v>0</v>
      </c>
      <c r="L5238" t="n">
        <v>0</v>
      </c>
      <c r="M5238" t="n">
        <v>0</v>
      </c>
      <c r="N5238" t="n">
        <v>0</v>
      </c>
      <c r="O5238" t="n">
        <v>0</v>
      </c>
      <c r="P5238" t="n">
        <v>0</v>
      </c>
      <c r="Q5238" t="n">
        <v>0</v>
      </c>
      <c r="R5238" s="2" t="inlineStr"/>
    </row>
    <row r="5239" ht="15" customHeight="1">
      <c r="A5239" t="inlineStr">
        <is>
          <t>A 31651-2022</t>
        </is>
      </c>
      <c r="B5239" s="1" t="n">
        <v>44775</v>
      </c>
      <c r="C5239" s="1" t="n">
        <v>45212</v>
      </c>
      <c r="D5239" t="inlineStr">
        <is>
          <t>VÄSTERNORRLANDS LÄN</t>
        </is>
      </c>
      <c r="E5239" t="inlineStr">
        <is>
          <t>SUNDSVALL</t>
        </is>
      </c>
      <c r="F5239" t="inlineStr">
        <is>
          <t>Naturvårdsverket</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31606-2022</t>
        </is>
      </c>
      <c r="B5240" s="1" t="n">
        <v>44775</v>
      </c>
      <c r="C5240" s="1" t="n">
        <v>45212</v>
      </c>
      <c r="D5240" t="inlineStr">
        <is>
          <t>VÄSTERNORRLANDS LÄN</t>
        </is>
      </c>
      <c r="E5240" t="inlineStr">
        <is>
          <t>KRAMFORS</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31650-2022</t>
        </is>
      </c>
      <c r="B5241" s="1" t="n">
        <v>44775</v>
      </c>
      <c r="C5241" s="1" t="n">
        <v>45212</v>
      </c>
      <c r="D5241" t="inlineStr">
        <is>
          <t>VÄSTERNORRLANDS LÄN</t>
        </is>
      </c>
      <c r="E5241" t="inlineStr">
        <is>
          <t>SOLLEFTEÅ</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31579-2022</t>
        </is>
      </c>
      <c r="B5242" s="1" t="n">
        <v>44775</v>
      </c>
      <c r="C5242" s="1" t="n">
        <v>45212</v>
      </c>
      <c r="D5242" t="inlineStr">
        <is>
          <t>VÄSTERNORRLANDS LÄN</t>
        </is>
      </c>
      <c r="E5242" t="inlineStr">
        <is>
          <t>ÖRNSKÖLDSVIK</t>
        </is>
      </c>
      <c r="F5242" t="inlineStr">
        <is>
          <t>Holmen skog AB</t>
        </is>
      </c>
      <c r="G5242" t="n">
        <v>18.4</v>
      </c>
      <c r="H5242" t="n">
        <v>0</v>
      </c>
      <c r="I5242" t="n">
        <v>0</v>
      </c>
      <c r="J5242" t="n">
        <v>0</v>
      </c>
      <c r="K5242" t="n">
        <v>0</v>
      </c>
      <c r="L5242" t="n">
        <v>0</v>
      </c>
      <c r="M5242" t="n">
        <v>0</v>
      </c>
      <c r="N5242" t="n">
        <v>0</v>
      </c>
      <c r="O5242" t="n">
        <v>0</v>
      </c>
      <c r="P5242" t="n">
        <v>0</v>
      </c>
      <c r="Q5242" t="n">
        <v>0</v>
      </c>
      <c r="R5242" s="2" t="inlineStr"/>
    </row>
    <row r="5243" ht="15" customHeight="1">
      <c r="A5243" t="inlineStr">
        <is>
          <t>A 31588-2022</t>
        </is>
      </c>
      <c r="B5243" s="1" t="n">
        <v>44775</v>
      </c>
      <c r="C5243" s="1" t="n">
        <v>45212</v>
      </c>
      <c r="D5243" t="inlineStr">
        <is>
          <t>VÄSTERNORRLANDS LÄN</t>
        </is>
      </c>
      <c r="E5243" t="inlineStr">
        <is>
          <t>SOLLEFTEÅ</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31770-2022</t>
        </is>
      </c>
      <c r="B5244" s="1" t="n">
        <v>44776</v>
      </c>
      <c r="C5244" s="1" t="n">
        <v>45212</v>
      </c>
      <c r="D5244" t="inlineStr">
        <is>
          <t>VÄSTERNORRLANDS LÄN</t>
        </is>
      </c>
      <c r="E5244" t="inlineStr">
        <is>
          <t>ÖRNSKÖLDSVIK</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31864-2022</t>
        </is>
      </c>
      <c r="B5245" s="1" t="n">
        <v>44776</v>
      </c>
      <c r="C5245" s="1" t="n">
        <v>45212</v>
      </c>
      <c r="D5245" t="inlineStr">
        <is>
          <t>VÄSTERNORRLANDS LÄN</t>
        </is>
      </c>
      <c r="E5245" t="inlineStr">
        <is>
          <t>HÄRNÖSAND</t>
        </is>
      </c>
      <c r="G5245" t="n">
        <v>3.4</v>
      </c>
      <c r="H5245" t="n">
        <v>0</v>
      </c>
      <c r="I5245" t="n">
        <v>0</v>
      </c>
      <c r="J5245" t="n">
        <v>0</v>
      </c>
      <c r="K5245" t="n">
        <v>0</v>
      </c>
      <c r="L5245" t="n">
        <v>0</v>
      </c>
      <c r="M5245" t="n">
        <v>0</v>
      </c>
      <c r="N5245" t="n">
        <v>0</v>
      </c>
      <c r="O5245" t="n">
        <v>0</v>
      </c>
      <c r="P5245" t="n">
        <v>0</v>
      </c>
      <c r="Q5245" t="n">
        <v>0</v>
      </c>
      <c r="R5245" s="2" t="inlineStr"/>
    </row>
    <row r="5246" ht="15" customHeight="1">
      <c r="A5246" t="inlineStr">
        <is>
          <t>A 31696-2022</t>
        </is>
      </c>
      <c r="B5246" s="1" t="n">
        <v>44776</v>
      </c>
      <c r="C5246" s="1" t="n">
        <v>45212</v>
      </c>
      <c r="D5246" t="inlineStr">
        <is>
          <t>VÄSTERNORRLANDS LÄN</t>
        </is>
      </c>
      <c r="E5246" t="inlineStr">
        <is>
          <t>ÅNGE</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31856-2022</t>
        </is>
      </c>
      <c r="B5247" s="1" t="n">
        <v>44776</v>
      </c>
      <c r="C5247" s="1" t="n">
        <v>45212</v>
      </c>
      <c r="D5247" t="inlineStr">
        <is>
          <t>VÄSTERNORRLANDS LÄN</t>
        </is>
      </c>
      <c r="E5247" t="inlineStr">
        <is>
          <t>SOLLEFTEÅ</t>
        </is>
      </c>
      <c r="F5247" t="inlineStr">
        <is>
          <t>SCA</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31847-2022</t>
        </is>
      </c>
      <c r="B5248" s="1" t="n">
        <v>44776</v>
      </c>
      <c r="C5248" s="1" t="n">
        <v>45212</v>
      </c>
      <c r="D5248" t="inlineStr">
        <is>
          <t>VÄSTERNORRLANDS LÄN</t>
        </is>
      </c>
      <c r="E5248" t="inlineStr">
        <is>
          <t>ÖRNSKÖLDSVIK</t>
        </is>
      </c>
      <c r="F5248" t="inlineStr">
        <is>
          <t>SCA</t>
        </is>
      </c>
      <c r="G5248" t="n">
        <v>2.1</v>
      </c>
      <c r="H5248" t="n">
        <v>0</v>
      </c>
      <c r="I5248" t="n">
        <v>0</v>
      </c>
      <c r="J5248" t="n">
        <v>0</v>
      </c>
      <c r="K5248" t="n">
        <v>0</v>
      </c>
      <c r="L5248" t="n">
        <v>0</v>
      </c>
      <c r="M5248" t="n">
        <v>0</v>
      </c>
      <c r="N5248" t="n">
        <v>0</v>
      </c>
      <c r="O5248" t="n">
        <v>0</v>
      </c>
      <c r="P5248" t="n">
        <v>0</v>
      </c>
      <c r="Q5248" t="n">
        <v>0</v>
      </c>
      <c r="R5248" s="2" t="inlineStr"/>
    </row>
    <row r="5249" ht="15" customHeight="1">
      <c r="A5249" t="inlineStr">
        <is>
          <t>A 31861-2022</t>
        </is>
      </c>
      <c r="B5249" s="1" t="n">
        <v>44776</v>
      </c>
      <c r="C5249" s="1" t="n">
        <v>45212</v>
      </c>
      <c r="D5249" t="inlineStr">
        <is>
          <t>VÄSTERNORRLANDS LÄN</t>
        </is>
      </c>
      <c r="E5249" t="inlineStr">
        <is>
          <t>KRAMFORS</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31957-2022</t>
        </is>
      </c>
      <c r="B5250" s="1" t="n">
        <v>44777</v>
      </c>
      <c r="C5250" s="1" t="n">
        <v>45212</v>
      </c>
      <c r="D5250" t="inlineStr">
        <is>
          <t>VÄSTERNORRLANDS LÄN</t>
        </is>
      </c>
      <c r="E5250" t="inlineStr">
        <is>
          <t>SUNDSVALL</t>
        </is>
      </c>
      <c r="G5250" t="n">
        <v>1.2</v>
      </c>
      <c r="H5250" t="n">
        <v>0</v>
      </c>
      <c r="I5250" t="n">
        <v>0</v>
      </c>
      <c r="J5250" t="n">
        <v>0</v>
      </c>
      <c r="K5250" t="n">
        <v>0</v>
      </c>
      <c r="L5250" t="n">
        <v>0</v>
      </c>
      <c r="M5250" t="n">
        <v>0</v>
      </c>
      <c r="N5250" t="n">
        <v>0</v>
      </c>
      <c r="O5250" t="n">
        <v>0</v>
      </c>
      <c r="P5250" t="n">
        <v>0</v>
      </c>
      <c r="Q5250" t="n">
        <v>0</v>
      </c>
      <c r="R5250" s="2" t="inlineStr"/>
    </row>
    <row r="5251" ht="15" customHeight="1">
      <c r="A5251" t="inlineStr">
        <is>
          <t>A 32079-2022</t>
        </is>
      </c>
      <c r="B5251" s="1" t="n">
        <v>44778</v>
      </c>
      <c r="C5251" s="1" t="n">
        <v>45212</v>
      </c>
      <c r="D5251" t="inlineStr">
        <is>
          <t>VÄSTERNORRLANDS LÄN</t>
        </is>
      </c>
      <c r="E5251" t="inlineStr">
        <is>
          <t>ÖRNSKÖLDSVIK</t>
        </is>
      </c>
      <c r="F5251" t="inlineStr">
        <is>
          <t>Holmen skog AB</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32126-2022</t>
        </is>
      </c>
      <c r="B5252" s="1" t="n">
        <v>44778</v>
      </c>
      <c r="C5252" s="1" t="n">
        <v>45212</v>
      </c>
      <c r="D5252" t="inlineStr">
        <is>
          <t>VÄSTERNORRLANDS LÄN</t>
        </is>
      </c>
      <c r="E5252" t="inlineStr">
        <is>
          <t>SOLLEFTEÅ</t>
        </is>
      </c>
      <c r="F5252" t="inlineStr">
        <is>
          <t>SCA</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32078-2022</t>
        </is>
      </c>
      <c r="B5253" s="1" t="n">
        <v>44778</v>
      </c>
      <c r="C5253" s="1" t="n">
        <v>45212</v>
      </c>
      <c r="D5253" t="inlineStr">
        <is>
          <t>VÄSTERNORRLANDS LÄN</t>
        </is>
      </c>
      <c r="E5253" t="inlineStr">
        <is>
          <t>ÖRNSKÖLDSVIK</t>
        </is>
      </c>
      <c r="F5253" t="inlineStr">
        <is>
          <t>Holmen skog AB</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32297-2022</t>
        </is>
      </c>
      <c r="B5254" s="1" t="n">
        <v>44781</v>
      </c>
      <c r="C5254" s="1" t="n">
        <v>45212</v>
      </c>
      <c r="D5254" t="inlineStr">
        <is>
          <t>VÄSTERNORRLANDS LÄN</t>
        </is>
      </c>
      <c r="E5254" t="inlineStr">
        <is>
          <t>ÖRNSKÖLDSVIK</t>
        </is>
      </c>
      <c r="F5254" t="inlineStr">
        <is>
          <t>Holmen skog AB</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32453-2022</t>
        </is>
      </c>
      <c r="B5255" s="1" t="n">
        <v>44782</v>
      </c>
      <c r="C5255" s="1" t="n">
        <v>45212</v>
      </c>
      <c r="D5255" t="inlineStr">
        <is>
          <t>VÄSTERNORRLANDS LÄN</t>
        </is>
      </c>
      <c r="E5255" t="inlineStr">
        <is>
          <t>SOLLEFTEÅ</t>
        </is>
      </c>
      <c r="G5255" t="n">
        <v>4.8</v>
      </c>
      <c r="H5255" t="n">
        <v>0</v>
      </c>
      <c r="I5255" t="n">
        <v>0</v>
      </c>
      <c r="J5255" t="n">
        <v>0</v>
      </c>
      <c r="K5255" t="n">
        <v>0</v>
      </c>
      <c r="L5255" t="n">
        <v>0</v>
      </c>
      <c r="M5255" t="n">
        <v>0</v>
      </c>
      <c r="N5255" t="n">
        <v>0</v>
      </c>
      <c r="O5255" t="n">
        <v>0</v>
      </c>
      <c r="P5255" t="n">
        <v>0</v>
      </c>
      <c r="Q5255" t="n">
        <v>0</v>
      </c>
      <c r="R5255" s="2" t="inlineStr"/>
    </row>
    <row r="5256" ht="15" customHeight="1">
      <c r="A5256" t="inlineStr">
        <is>
          <t>A 32483-2022</t>
        </is>
      </c>
      <c r="B5256" s="1" t="n">
        <v>44782</v>
      </c>
      <c r="C5256" s="1" t="n">
        <v>45212</v>
      </c>
      <c r="D5256" t="inlineStr">
        <is>
          <t>VÄSTERNORRLANDS LÄN</t>
        </is>
      </c>
      <c r="E5256" t="inlineStr">
        <is>
          <t>KRAMFORS</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32411-2022</t>
        </is>
      </c>
      <c r="B5257" s="1" t="n">
        <v>44782</v>
      </c>
      <c r="C5257" s="1" t="n">
        <v>45212</v>
      </c>
      <c r="D5257" t="inlineStr">
        <is>
          <t>VÄSTERNORRLANDS LÄN</t>
        </is>
      </c>
      <c r="E5257" t="inlineStr">
        <is>
          <t>SUNDSVALL</t>
        </is>
      </c>
      <c r="G5257" t="n">
        <v>7.5</v>
      </c>
      <c r="H5257" t="n">
        <v>0</v>
      </c>
      <c r="I5257" t="n">
        <v>0</v>
      </c>
      <c r="J5257" t="n">
        <v>0</v>
      </c>
      <c r="K5257" t="n">
        <v>0</v>
      </c>
      <c r="L5257" t="n">
        <v>0</v>
      </c>
      <c r="M5257" t="n">
        <v>0</v>
      </c>
      <c r="N5257" t="n">
        <v>0</v>
      </c>
      <c r="O5257" t="n">
        <v>0</v>
      </c>
      <c r="P5257" t="n">
        <v>0</v>
      </c>
      <c r="Q5257" t="n">
        <v>0</v>
      </c>
      <c r="R5257" s="2" t="inlineStr"/>
    </row>
    <row r="5258" ht="15" customHeight="1">
      <c r="A5258" t="inlineStr">
        <is>
          <t>A 32494-2022</t>
        </is>
      </c>
      <c r="B5258" s="1" t="n">
        <v>44782</v>
      </c>
      <c r="C5258" s="1" t="n">
        <v>45212</v>
      </c>
      <c r="D5258" t="inlineStr">
        <is>
          <t>VÄSTERNORRLANDS LÄN</t>
        </is>
      </c>
      <c r="E5258" t="inlineStr">
        <is>
          <t>KRAMFORS</t>
        </is>
      </c>
      <c r="G5258" t="n">
        <v>2.3</v>
      </c>
      <c r="H5258" t="n">
        <v>0</v>
      </c>
      <c r="I5258" t="n">
        <v>0</v>
      </c>
      <c r="J5258" t="n">
        <v>0</v>
      </c>
      <c r="K5258" t="n">
        <v>0</v>
      </c>
      <c r="L5258" t="n">
        <v>0</v>
      </c>
      <c r="M5258" t="n">
        <v>0</v>
      </c>
      <c r="N5258" t="n">
        <v>0</v>
      </c>
      <c r="O5258" t="n">
        <v>0</v>
      </c>
      <c r="P5258" t="n">
        <v>0</v>
      </c>
      <c r="Q5258" t="n">
        <v>0</v>
      </c>
      <c r="R5258" s="2" t="inlineStr"/>
    </row>
    <row r="5259" ht="15" customHeight="1">
      <c r="A5259" t="inlineStr">
        <is>
          <t>A 32519-2022</t>
        </is>
      </c>
      <c r="B5259" s="1" t="n">
        <v>44782</v>
      </c>
      <c r="C5259" s="1" t="n">
        <v>45212</v>
      </c>
      <c r="D5259" t="inlineStr">
        <is>
          <t>VÄSTERNORRLANDS LÄN</t>
        </is>
      </c>
      <c r="E5259" t="inlineStr">
        <is>
          <t>TIMRÅ</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32482-2022</t>
        </is>
      </c>
      <c r="B5260" s="1" t="n">
        <v>44782</v>
      </c>
      <c r="C5260" s="1" t="n">
        <v>45212</v>
      </c>
      <c r="D5260" t="inlineStr">
        <is>
          <t>VÄSTERNORRLANDS LÄN</t>
        </is>
      </c>
      <c r="E5260" t="inlineStr">
        <is>
          <t>ÖRNSKÖLDSVIK</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32454-2022</t>
        </is>
      </c>
      <c r="B5261" s="1" t="n">
        <v>44782</v>
      </c>
      <c r="C5261" s="1" t="n">
        <v>45212</v>
      </c>
      <c r="D5261" t="inlineStr">
        <is>
          <t>VÄSTERNORRLANDS LÄN</t>
        </is>
      </c>
      <c r="E5261" t="inlineStr">
        <is>
          <t>KRAMFORS</t>
        </is>
      </c>
      <c r="G5261" t="n">
        <v>2.9</v>
      </c>
      <c r="H5261" t="n">
        <v>0</v>
      </c>
      <c r="I5261" t="n">
        <v>0</v>
      </c>
      <c r="J5261" t="n">
        <v>0</v>
      </c>
      <c r="K5261" t="n">
        <v>0</v>
      </c>
      <c r="L5261" t="n">
        <v>0</v>
      </c>
      <c r="M5261" t="n">
        <v>0</v>
      </c>
      <c r="N5261" t="n">
        <v>0</v>
      </c>
      <c r="O5261" t="n">
        <v>0</v>
      </c>
      <c r="P5261" t="n">
        <v>0</v>
      </c>
      <c r="Q5261" t="n">
        <v>0</v>
      </c>
      <c r="R5261" s="2" t="inlineStr"/>
    </row>
    <row r="5262" ht="15" customHeight="1">
      <c r="A5262" t="inlineStr">
        <is>
          <t>A 32532-2022</t>
        </is>
      </c>
      <c r="B5262" s="1" t="n">
        <v>44782</v>
      </c>
      <c r="C5262" s="1" t="n">
        <v>45212</v>
      </c>
      <c r="D5262" t="inlineStr">
        <is>
          <t>VÄSTERNORRLANDS LÄN</t>
        </is>
      </c>
      <c r="E5262" t="inlineStr">
        <is>
          <t>SUNDSVALL</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32538-2022</t>
        </is>
      </c>
      <c r="B5263" s="1" t="n">
        <v>44783</v>
      </c>
      <c r="C5263" s="1" t="n">
        <v>45212</v>
      </c>
      <c r="D5263" t="inlineStr">
        <is>
          <t>VÄSTERNORRLANDS LÄN</t>
        </is>
      </c>
      <c r="E5263" t="inlineStr">
        <is>
          <t>ÅNGE</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32550-2022</t>
        </is>
      </c>
      <c r="B5264" s="1" t="n">
        <v>44783</v>
      </c>
      <c r="C5264" s="1" t="n">
        <v>45212</v>
      </c>
      <c r="D5264" t="inlineStr">
        <is>
          <t>VÄSTERNORRLANDS LÄN</t>
        </is>
      </c>
      <c r="E5264" t="inlineStr">
        <is>
          <t>ÖRNSKÖLDSVIK</t>
        </is>
      </c>
      <c r="F5264" t="inlineStr">
        <is>
          <t>Holmen skog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32564-2022</t>
        </is>
      </c>
      <c r="B5265" s="1" t="n">
        <v>44783</v>
      </c>
      <c r="C5265" s="1" t="n">
        <v>45212</v>
      </c>
      <c r="D5265" t="inlineStr">
        <is>
          <t>VÄSTERNORRLANDS LÄN</t>
        </is>
      </c>
      <c r="E5265" t="inlineStr">
        <is>
          <t>ÖRNSKÖLDSVIK</t>
        </is>
      </c>
      <c r="F5265" t="inlineStr">
        <is>
          <t>Holmen skog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32619-2022</t>
        </is>
      </c>
      <c r="B5266" s="1" t="n">
        <v>44783</v>
      </c>
      <c r="C5266" s="1" t="n">
        <v>45212</v>
      </c>
      <c r="D5266" t="inlineStr">
        <is>
          <t>VÄSTERNORRLANDS LÄN</t>
        </is>
      </c>
      <c r="E5266" t="inlineStr">
        <is>
          <t>ÖRNSKÖLDSVIK</t>
        </is>
      </c>
      <c r="F5266" t="inlineStr">
        <is>
          <t>Holmen skog AB</t>
        </is>
      </c>
      <c r="G5266" t="n">
        <v>8.9</v>
      </c>
      <c r="H5266" t="n">
        <v>0</v>
      </c>
      <c r="I5266" t="n">
        <v>0</v>
      </c>
      <c r="J5266" t="n">
        <v>0</v>
      </c>
      <c r="K5266" t="n">
        <v>0</v>
      </c>
      <c r="L5266" t="n">
        <v>0</v>
      </c>
      <c r="M5266" t="n">
        <v>0</v>
      </c>
      <c r="N5266" t="n">
        <v>0</v>
      </c>
      <c r="O5266" t="n">
        <v>0</v>
      </c>
      <c r="P5266" t="n">
        <v>0</v>
      </c>
      <c r="Q5266" t="n">
        <v>0</v>
      </c>
      <c r="R5266" s="2" t="inlineStr"/>
    </row>
    <row r="5267" ht="15" customHeight="1">
      <c r="A5267" t="inlineStr">
        <is>
          <t>A 32761-2022</t>
        </is>
      </c>
      <c r="B5267" s="1" t="n">
        <v>44783</v>
      </c>
      <c r="C5267" s="1" t="n">
        <v>45212</v>
      </c>
      <c r="D5267" t="inlineStr">
        <is>
          <t>VÄSTERNORRLANDS LÄN</t>
        </is>
      </c>
      <c r="E5267" t="inlineStr">
        <is>
          <t>HÄRNÖSAND</t>
        </is>
      </c>
      <c r="G5267" t="n">
        <v>10.5</v>
      </c>
      <c r="H5267" t="n">
        <v>0</v>
      </c>
      <c r="I5267" t="n">
        <v>0</v>
      </c>
      <c r="J5267" t="n">
        <v>0</v>
      </c>
      <c r="K5267" t="n">
        <v>0</v>
      </c>
      <c r="L5267" t="n">
        <v>0</v>
      </c>
      <c r="M5267" t="n">
        <v>0</v>
      </c>
      <c r="N5267" t="n">
        <v>0</v>
      </c>
      <c r="O5267" t="n">
        <v>0</v>
      </c>
      <c r="P5267" t="n">
        <v>0</v>
      </c>
      <c r="Q5267" t="n">
        <v>0</v>
      </c>
      <c r="R5267" s="2" t="inlineStr"/>
    </row>
    <row r="5268" ht="15" customHeight="1">
      <c r="A5268" t="inlineStr">
        <is>
          <t>A 32753-2022</t>
        </is>
      </c>
      <c r="B5268" s="1" t="n">
        <v>44783</v>
      </c>
      <c r="C5268" s="1" t="n">
        <v>45212</v>
      </c>
      <c r="D5268" t="inlineStr">
        <is>
          <t>VÄSTERNORRLANDS LÄN</t>
        </is>
      </c>
      <c r="E5268" t="inlineStr">
        <is>
          <t>ÖRNSKÖLDSVIK</t>
        </is>
      </c>
      <c r="G5268" t="n">
        <v>14.2</v>
      </c>
      <c r="H5268" t="n">
        <v>0</v>
      </c>
      <c r="I5268" t="n">
        <v>0</v>
      </c>
      <c r="J5268" t="n">
        <v>0</v>
      </c>
      <c r="K5268" t="n">
        <v>0</v>
      </c>
      <c r="L5268" t="n">
        <v>0</v>
      </c>
      <c r="M5268" t="n">
        <v>0</v>
      </c>
      <c r="N5268" t="n">
        <v>0</v>
      </c>
      <c r="O5268" t="n">
        <v>0</v>
      </c>
      <c r="P5268" t="n">
        <v>0</v>
      </c>
      <c r="Q5268" t="n">
        <v>0</v>
      </c>
      <c r="R5268" s="2" t="inlineStr"/>
    </row>
    <row r="5269" ht="15" customHeight="1">
      <c r="A5269" t="inlineStr">
        <is>
          <t>A 32631-2022</t>
        </is>
      </c>
      <c r="B5269" s="1" t="n">
        <v>44783</v>
      </c>
      <c r="C5269" s="1" t="n">
        <v>45212</v>
      </c>
      <c r="D5269" t="inlineStr">
        <is>
          <t>VÄSTERNORRLANDS LÄN</t>
        </is>
      </c>
      <c r="E5269" t="inlineStr">
        <is>
          <t>ÅNGE</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32756-2022</t>
        </is>
      </c>
      <c r="B5270" s="1" t="n">
        <v>44783</v>
      </c>
      <c r="C5270" s="1" t="n">
        <v>45212</v>
      </c>
      <c r="D5270" t="inlineStr">
        <is>
          <t>VÄSTERNORRLANDS LÄN</t>
        </is>
      </c>
      <c r="E5270" t="inlineStr">
        <is>
          <t>ÖRNSKÖLDSVIK</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32821-2022</t>
        </is>
      </c>
      <c r="B5271" s="1" t="n">
        <v>44784</v>
      </c>
      <c r="C5271" s="1" t="n">
        <v>45212</v>
      </c>
      <c r="D5271" t="inlineStr">
        <is>
          <t>VÄSTERNORRLANDS LÄN</t>
        </is>
      </c>
      <c r="E5271" t="inlineStr">
        <is>
          <t>ÖRNSKÖLDSVIK</t>
        </is>
      </c>
      <c r="G5271" t="n">
        <v>10.5</v>
      </c>
      <c r="H5271" t="n">
        <v>0</v>
      </c>
      <c r="I5271" t="n">
        <v>0</v>
      </c>
      <c r="J5271" t="n">
        <v>0</v>
      </c>
      <c r="K5271" t="n">
        <v>0</v>
      </c>
      <c r="L5271" t="n">
        <v>0</v>
      </c>
      <c r="M5271" t="n">
        <v>0</v>
      </c>
      <c r="N5271" t="n">
        <v>0</v>
      </c>
      <c r="O5271" t="n">
        <v>0</v>
      </c>
      <c r="P5271" t="n">
        <v>0</v>
      </c>
      <c r="Q5271" t="n">
        <v>0</v>
      </c>
      <c r="R5271" s="2" t="inlineStr"/>
    </row>
    <row r="5272" ht="15" customHeight="1">
      <c r="A5272" t="inlineStr">
        <is>
          <t>A 32987-2022</t>
        </is>
      </c>
      <c r="B5272" s="1" t="n">
        <v>44784</v>
      </c>
      <c r="C5272" s="1" t="n">
        <v>45212</v>
      </c>
      <c r="D5272" t="inlineStr">
        <is>
          <t>VÄSTERNORRLANDS LÄN</t>
        </is>
      </c>
      <c r="E5272" t="inlineStr">
        <is>
          <t>SUNDSVALL</t>
        </is>
      </c>
      <c r="F5272" t="inlineStr">
        <is>
          <t>SCA</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32823-2022</t>
        </is>
      </c>
      <c r="B5273" s="1" t="n">
        <v>44784</v>
      </c>
      <c r="C5273" s="1" t="n">
        <v>45212</v>
      </c>
      <c r="D5273" t="inlineStr">
        <is>
          <t>VÄSTERNORRLANDS LÄN</t>
        </is>
      </c>
      <c r="E5273" t="inlineStr">
        <is>
          <t>KRAMFORS</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32850-2022</t>
        </is>
      </c>
      <c r="B5274" s="1" t="n">
        <v>44784</v>
      </c>
      <c r="C5274" s="1" t="n">
        <v>45212</v>
      </c>
      <c r="D5274" t="inlineStr">
        <is>
          <t>VÄSTERNORRLANDS LÄN</t>
        </is>
      </c>
      <c r="E5274" t="inlineStr">
        <is>
          <t>ÖRNSKÖLDSVIK</t>
        </is>
      </c>
      <c r="G5274" t="n">
        <v>5.5</v>
      </c>
      <c r="H5274" t="n">
        <v>0</v>
      </c>
      <c r="I5274" t="n">
        <v>0</v>
      </c>
      <c r="J5274" t="n">
        <v>0</v>
      </c>
      <c r="K5274" t="n">
        <v>0</v>
      </c>
      <c r="L5274" t="n">
        <v>0</v>
      </c>
      <c r="M5274" t="n">
        <v>0</v>
      </c>
      <c r="N5274" t="n">
        <v>0</v>
      </c>
      <c r="O5274" t="n">
        <v>0</v>
      </c>
      <c r="P5274" t="n">
        <v>0</v>
      </c>
      <c r="Q5274" t="n">
        <v>0</v>
      </c>
      <c r="R5274" s="2" t="inlineStr"/>
    </row>
    <row r="5275" ht="15" customHeight="1">
      <c r="A5275" t="inlineStr">
        <is>
          <t>A 32908-2022</t>
        </is>
      </c>
      <c r="B5275" s="1" t="n">
        <v>44784</v>
      </c>
      <c r="C5275" s="1" t="n">
        <v>45212</v>
      </c>
      <c r="D5275" t="inlineStr">
        <is>
          <t>VÄSTERNORRLANDS LÄN</t>
        </is>
      </c>
      <c r="E5275" t="inlineStr">
        <is>
          <t>ÖRNSKÖLDSVIK</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32827-2022</t>
        </is>
      </c>
      <c r="B5276" s="1" t="n">
        <v>44784</v>
      </c>
      <c r="C5276" s="1" t="n">
        <v>45212</v>
      </c>
      <c r="D5276" t="inlineStr">
        <is>
          <t>VÄSTERNORRLANDS LÄN</t>
        </is>
      </c>
      <c r="E5276" t="inlineStr">
        <is>
          <t>KRAMFORS</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33194-2022</t>
        </is>
      </c>
      <c r="B5277" s="1" t="n">
        <v>44785</v>
      </c>
      <c r="C5277" s="1" t="n">
        <v>45212</v>
      </c>
      <c r="D5277" t="inlineStr">
        <is>
          <t>VÄSTERNORRLANDS LÄN</t>
        </is>
      </c>
      <c r="E5277" t="inlineStr">
        <is>
          <t>ÖRNSKÖLDSVIK</t>
        </is>
      </c>
      <c r="F5277" t="inlineStr">
        <is>
          <t>Holmen skog AB</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33056-2022</t>
        </is>
      </c>
      <c r="B5278" s="1" t="n">
        <v>44785</v>
      </c>
      <c r="C5278" s="1" t="n">
        <v>45212</v>
      </c>
      <c r="D5278" t="inlineStr">
        <is>
          <t>VÄSTERNORRLANDS LÄN</t>
        </is>
      </c>
      <c r="E5278" t="inlineStr">
        <is>
          <t>SOLLEFTEÅ</t>
        </is>
      </c>
      <c r="G5278" t="n">
        <v>0.2</v>
      </c>
      <c r="H5278" t="n">
        <v>0</v>
      </c>
      <c r="I5278" t="n">
        <v>0</v>
      </c>
      <c r="J5278" t="n">
        <v>0</v>
      </c>
      <c r="K5278" t="n">
        <v>0</v>
      </c>
      <c r="L5278" t="n">
        <v>0</v>
      </c>
      <c r="M5278" t="n">
        <v>0</v>
      </c>
      <c r="N5278" t="n">
        <v>0</v>
      </c>
      <c r="O5278" t="n">
        <v>0</v>
      </c>
      <c r="P5278" t="n">
        <v>0</v>
      </c>
      <c r="Q5278" t="n">
        <v>0</v>
      </c>
      <c r="R5278" s="2" t="inlineStr"/>
    </row>
    <row r="5279" ht="15" customHeight="1">
      <c r="A5279" t="inlineStr">
        <is>
          <t>A 33062-2022</t>
        </is>
      </c>
      <c r="B5279" s="1" t="n">
        <v>44785</v>
      </c>
      <c r="C5279" s="1" t="n">
        <v>45212</v>
      </c>
      <c r="D5279" t="inlineStr">
        <is>
          <t>VÄSTERNORRLANDS LÄN</t>
        </is>
      </c>
      <c r="E5279" t="inlineStr">
        <is>
          <t>ÅNGE</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33077-2022</t>
        </is>
      </c>
      <c r="B5280" s="1" t="n">
        <v>44785</v>
      </c>
      <c r="C5280" s="1" t="n">
        <v>45212</v>
      </c>
      <c r="D5280" t="inlineStr">
        <is>
          <t>VÄSTERNORRLANDS LÄN</t>
        </is>
      </c>
      <c r="E5280" t="inlineStr">
        <is>
          <t>SOLLEFTEÅ</t>
        </is>
      </c>
      <c r="G5280" t="n">
        <v>0.2</v>
      </c>
      <c r="H5280" t="n">
        <v>0</v>
      </c>
      <c r="I5280" t="n">
        <v>0</v>
      </c>
      <c r="J5280" t="n">
        <v>0</v>
      </c>
      <c r="K5280" t="n">
        <v>0</v>
      </c>
      <c r="L5280" t="n">
        <v>0</v>
      </c>
      <c r="M5280" t="n">
        <v>0</v>
      </c>
      <c r="N5280" t="n">
        <v>0</v>
      </c>
      <c r="O5280" t="n">
        <v>0</v>
      </c>
      <c r="P5280" t="n">
        <v>0</v>
      </c>
      <c r="Q5280" t="n">
        <v>0</v>
      </c>
      <c r="R5280" s="2" t="inlineStr"/>
    </row>
    <row r="5281" ht="15" customHeight="1">
      <c r="A5281" t="inlineStr">
        <is>
          <t>A 33034-2022</t>
        </is>
      </c>
      <c r="B5281" s="1" t="n">
        <v>44785</v>
      </c>
      <c r="C5281" s="1" t="n">
        <v>45212</v>
      </c>
      <c r="D5281" t="inlineStr">
        <is>
          <t>VÄSTERNORRLANDS LÄN</t>
        </is>
      </c>
      <c r="E5281" t="inlineStr">
        <is>
          <t>SOLLEFTEÅ</t>
        </is>
      </c>
      <c r="F5281" t="inlineStr">
        <is>
          <t>SCA</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33201-2022</t>
        </is>
      </c>
      <c r="B5282" s="1" t="n">
        <v>44785</v>
      </c>
      <c r="C5282" s="1" t="n">
        <v>45212</v>
      </c>
      <c r="D5282" t="inlineStr">
        <is>
          <t>VÄSTERNORRLANDS LÄN</t>
        </is>
      </c>
      <c r="E5282" t="inlineStr">
        <is>
          <t>ÖRNSKÖLDSVIK</t>
        </is>
      </c>
      <c r="F5282" t="inlineStr">
        <is>
          <t>Kyrkan</t>
        </is>
      </c>
      <c r="G5282" t="n">
        <v>10</v>
      </c>
      <c r="H5282" t="n">
        <v>0</v>
      </c>
      <c r="I5282" t="n">
        <v>0</v>
      </c>
      <c r="J5282" t="n">
        <v>0</v>
      </c>
      <c r="K5282" t="n">
        <v>0</v>
      </c>
      <c r="L5282" t="n">
        <v>0</v>
      </c>
      <c r="M5282" t="n">
        <v>0</v>
      </c>
      <c r="N5282" t="n">
        <v>0</v>
      </c>
      <c r="O5282" t="n">
        <v>0</v>
      </c>
      <c r="P5282" t="n">
        <v>0</v>
      </c>
      <c r="Q5282" t="n">
        <v>0</v>
      </c>
      <c r="R5282" s="2" t="inlineStr"/>
    </row>
    <row r="5283" ht="15" customHeight="1">
      <c r="A5283" t="inlineStr">
        <is>
          <t>A 33083-2022</t>
        </is>
      </c>
      <c r="B5283" s="1" t="n">
        <v>44785</v>
      </c>
      <c r="C5283" s="1" t="n">
        <v>45212</v>
      </c>
      <c r="D5283" t="inlineStr">
        <is>
          <t>VÄSTERNORRLANDS LÄN</t>
        </is>
      </c>
      <c r="E5283" t="inlineStr">
        <is>
          <t>SOLLEFTEÅ</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33095-2022</t>
        </is>
      </c>
      <c r="B5284" s="1" t="n">
        <v>44785</v>
      </c>
      <c r="C5284" s="1" t="n">
        <v>45212</v>
      </c>
      <c r="D5284" t="inlineStr">
        <is>
          <t>VÄSTERNORRLANDS LÄN</t>
        </is>
      </c>
      <c r="E5284" t="inlineStr">
        <is>
          <t>ÖRNSKÖLDSVIK</t>
        </is>
      </c>
      <c r="F5284" t="inlineStr">
        <is>
          <t>Holmen skog AB</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33129-2022</t>
        </is>
      </c>
      <c r="B5285" s="1" t="n">
        <v>44785</v>
      </c>
      <c r="C5285" s="1" t="n">
        <v>45212</v>
      </c>
      <c r="D5285" t="inlineStr">
        <is>
          <t>VÄSTERNORRLANDS LÄN</t>
        </is>
      </c>
      <c r="E5285" t="inlineStr">
        <is>
          <t>ÖRNSKÖLDSVIK</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33229-2022</t>
        </is>
      </c>
      <c r="B5286" s="1" t="n">
        <v>44785</v>
      </c>
      <c r="C5286" s="1" t="n">
        <v>45212</v>
      </c>
      <c r="D5286" t="inlineStr">
        <is>
          <t>VÄSTERNORRLANDS LÄN</t>
        </is>
      </c>
      <c r="E5286" t="inlineStr">
        <is>
          <t>ÅNGE</t>
        </is>
      </c>
      <c r="F5286" t="inlineStr">
        <is>
          <t>SCA</t>
        </is>
      </c>
      <c r="G5286" t="n">
        <v>5.5</v>
      </c>
      <c r="H5286" t="n">
        <v>0</v>
      </c>
      <c r="I5286" t="n">
        <v>0</v>
      </c>
      <c r="J5286" t="n">
        <v>0</v>
      </c>
      <c r="K5286" t="n">
        <v>0</v>
      </c>
      <c r="L5286" t="n">
        <v>0</v>
      </c>
      <c r="M5286" t="n">
        <v>0</v>
      </c>
      <c r="N5286" t="n">
        <v>0</v>
      </c>
      <c r="O5286" t="n">
        <v>0</v>
      </c>
      <c r="P5286" t="n">
        <v>0</v>
      </c>
      <c r="Q5286" t="n">
        <v>0</v>
      </c>
      <c r="R5286" s="2" t="inlineStr"/>
    </row>
    <row r="5287" ht="15" customHeight="1">
      <c r="A5287" t="inlineStr">
        <is>
          <t>A 33238-2022</t>
        </is>
      </c>
      <c r="B5287" s="1" t="n">
        <v>44786</v>
      </c>
      <c r="C5287" s="1" t="n">
        <v>45212</v>
      </c>
      <c r="D5287" t="inlineStr">
        <is>
          <t>VÄSTERNORRLANDS LÄN</t>
        </is>
      </c>
      <c r="E5287" t="inlineStr">
        <is>
          <t>ÖRNSKÖLDSVIK</t>
        </is>
      </c>
      <c r="F5287" t="inlineStr">
        <is>
          <t>Holmen skog AB</t>
        </is>
      </c>
      <c r="G5287" t="n">
        <v>4.6</v>
      </c>
      <c r="H5287" t="n">
        <v>0</v>
      </c>
      <c r="I5287" t="n">
        <v>0</v>
      </c>
      <c r="J5287" t="n">
        <v>0</v>
      </c>
      <c r="K5287" t="n">
        <v>0</v>
      </c>
      <c r="L5287" t="n">
        <v>0</v>
      </c>
      <c r="M5287" t="n">
        <v>0</v>
      </c>
      <c r="N5287" t="n">
        <v>0</v>
      </c>
      <c r="O5287" t="n">
        <v>0</v>
      </c>
      <c r="P5287" t="n">
        <v>0</v>
      </c>
      <c r="Q5287" t="n">
        <v>0</v>
      </c>
      <c r="R5287" s="2" t="inlineStr"/>
    </row>
    <row r="5288" ht="15" customHeight="1">
      <c r="A5288" t="inlineStr">
        <is>
          <t>A 33438-2022</t>
        </is>
      </c>
      <c r="B5288" s="1" t="n">
        <v>44788</v>
      </c>
      <c r="C5288" s="1" t="n">
        <v>45212</v>
      </c>
      <c r="D5288" t="inlineStr">
        <is>
          <t>VÄSTERNORRLANDS LÄN</t>
        </is>
      </c>
      <c r="E5288" t="inlineStr">
        <is>
          <t>ÖRNSKÖLDSVIK</t>
        </is>
      </c>
      <c r="F5288" t="inlineStr">
        <is>
          <t>Holmen skog AB</t>
        </is>
      </c>
      <c r="G5288" t="n">
        <v>3.4</v>
      </c>
      <c r="H5288" t="n">
        <v>0</v>
      </c>
      <c r="I5288" t="n">
        <v>0</v>
      </c>
      <c r="J5288" t="n">
        <v>0</v>
      </c>
      <c r="K5288" t="n">
        <v>0</v>
      </c>
      <c r="L5288" t="n">
        <v>0</v>
      </c>
      <c r="M5288" t="n">
        <v>0</v>
      </c>
      <c r="N5288" t="n">
        <v>0</v>
      </c>
      <c r="O5288" t="n">
        <v>0</v>
      </c>
      <c r="P5288" t="n">
        <v>0</v>
      </c>
      <c r="Q5288" t="n">
        <v>0</v>
      </c>
      <c r="R5288" s="2" t="inlineStr"/>
    </row>
    <row r="5289" ht="15" customHeight="1">
      <c r="A5289" t="inlineStr">
        <is>
          <t>A 33274-2022</t>
        </is>
      </c>
      <c r="B5289" s="1" t="n">
        <v>44788</v>
      </c>
      <c r="C5289" s="1" t="n">
        <v>45212</v>
      </c>
      <c r="D5289" t="inlineStr">
        <is>
          <t>VÄSTERNORRLANDS LÄN</t>
        </is>
      </c>
      <c r="E5289" t="inlineStr">
        <is>
          <t>ÅNGE</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33317-2022</t>
        </is>
      </c>
      <c r="B5290" s="1" t="n">
        <v>44788</v>
      </c>
      <c r="C5290" s="1" t="n">
        <v>45212</v>
      </c>
      <c r="D5290" t="inlineStr">
        <is>
          <t>VÄSTERNORRLANDS LÄN</t>
        </is>
      </c>
      <c r="E5290" t="inlineStr">
        <is>
          <t>SUNDSVALL</t>
        </is>
      </c>
      <c r="F5290" t="inlineStr">
        <is>
          <t>Holmen skog AB</t>
        </is>
      </c>
      <c r="G5290" t="n">
        <v>14.7</v>
      </c>
      <c r="H5290" t="n">
        <v>0</v>
      </c>
      <c r="I5290" t="n">
        <v>0</v>
      </c>
      <c r="J5290" t="n">
        <v>0</v>
      </c>
      <c r="K5290" t="n">
        <v>0</v>
      </c>
      <c r="L5290" t="n">
        <v>0</v>
      </c>
      <c r="M5290" t="n">
        <v>0</v>
      </c>
      <c r="N5290" t="n">
        <v>0</v>
      </c>
      <c r="O5290" t="n">
        <v>0</v>
      </c>
      <c r="P5290" t="n">
        <v>0</v>
      </c>
      <c r="Q5290" t="n">
        <v>0</v>
      </c>
      <c r="R5290" s="2" t="inlineStr"/>
    </row>
    <row r="5291" ht="15" customHeight="1">
      <c r="A5291" t="inlineStr">
        <is>
          <t>A 33440-2022</t>
        </is>
      </c>
      <c r="B5291" s="1" t="n">
        <v>44788</v>
      </c>
      <c r="C5291" s="1" t="n">
        <v>45212</v>
      </c>
      <c r="D5291" t="inlineStr">
        <is>
          <t>VÄSTERNORRLANDS LÄN</t>
        </is>
      </c>
      <c r="E5291" t="inlineStr">
        <is>
          <t>KRAMFORS</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33528-2022</t>
        </is>
      </c>
      <c r="B5292" s="1" t="n">
        <v>44788</v>
      </c>
      <c r="C5292" s="1" t="n">
        <v>45212</v>
      </c>
      <c r="D5292" t="inlineStr">
        <is>
          <t>VÄSTERNORRLANDS LÄN</t>
        </is>
      </c>
      <c r="E5292" t="inlineStr">
        <is>
          <t>SOLLEFTEÅ</t>
        </is>
      </c>
      <c r="G5292" t="n">
        <v>7.1</v>
      </c>
      <c r="H5292" t="n">
        <v>0</v>
      </c>
      <c r="I5292" t="n">
        <v>0</v>
      </c>
      <c r="J5292" t="n">
        <v>0</v>
      </c>
      <c r="K5292" t="n">
        <v>0</v>
      </c>
      <c r="L5292" t="n">
        <v>0</v>
      </c>
      <c r="M5292" t="n">
        <v>0</v>
      </c>
      <c r="N5292" t="n">
        <v>0</v>
      </c>
      <c r="O5292" t="n">
        <v>0</v>
      </c>
      <c r="P5292" t="n">
        <v>0</v>
      </c>
      <c r="Q5292" t="n">
        <v>0</v>
      </c>
      <c r="R5292" s="2" t="inlineStr"/>
    </row>
    <row r="5293" ht="15" customHeight="1">
      <c r="A5293" t="inlineStr">
        <is>
          <t>A 33684-2022</t>
        </is>
      </c>
      <c r="B5293" s="1" t="n">
        <v>44789</v>
      </c>
      <c r="C5293" s="1" t="n">
        <v>45212</v>
      </c>
      <c r="D5293" t="inlineStr">
        <is>
          <t>VÄSTERNORRLANDS LÄN</t>
        </is>
      </c>
      <c r="E5293" t="inlineStr">
        <is>
          <t>ÖRNSKÖLDSVIK</t>
        </is>
      </c>
      <c r="F5293" t="inlineStr">
        <is>
          <t>Holmen skog AB</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33722-2022</t>
        </is>
      </c>
      <c r="B5294" s="1" t="n">
        <v>44789</v>
      </c>
      <c r="C5294" s="1" t="n">
        <v>45212</v>
      </c>
      <c r="D5294" t="inlineStr">
        <is>
          <t>VÄSTERNORRLANDS LÄN</t>
        </is>
      </c>
      <c r="E5294" t="inlineStr">
        <is>
          <t>SUNDSVALL</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33757-2022</t>
        </is>
      </c>
      <c r="B5295" s="1" t="n">
        <v>44789</v>
      </c>
      <c r="C5295" s="1" t="n">
        <v>45212</v>
      </c>
      <c r="D5295" t="inlineStr">
        <is>
          <t>VÄSTERNORRLANDS LÄN</t>
        </is>
      </c>
      <c r="E5295" t="inlineStr">
        <is>
          <t>ÖRNSKÖLDSVIK</t>
        </is>
      </c>
      <c r="F5295" t="inlineStr">
        <is>
          <t>Kyrkan</t>
        </is>
      </c>
      <c r="G5295" t="n">
        <v>21.6</v>
      </c>
      <c r="H5295" t="n">
        <v>0</v>
      </c>
      <c r="I5295" t="n">
        <v>0</v>
      </c>
      <c r="J5295" t="n">
        <v>0</v>
      </c>
      <c r="K5295" t="n">
        <v>0</v>
      </c>
      <c r="L5295" t="n">
        <v>0</v>
      </c>
      <c r="M5295" t="n">
        <v>0</v>
      </c>
      <c r="N5295" t="n">
        <v>0</v>
      </c>
      <c r="O5295" t="n">
        <v>0</v>
      </c>
      <c r="P5295" t="n">
        <v>0</v>
      </c>
      <c r="Q5295" t="n">
        <v>0</v>
      </c>
      <c r="R5295" s="2" t="inlineStr"/>
    </row>
    <row r="5296" ht="15" customHeight="1">
      <c r="A5296" t="inlineStr">
        <is>
          <t>A 33555-2022</t>
        </is>
      </c>
      <c r="B5296" s="1" t="n">
        <v>44789</v>
      </c>
      <c r="C5296" s="1" t="n">
        <v>45212</v>
      </c>
      <c r="D5296" t="inlineStr">
        <is>
          <t>VÄSTERNORRLANDS LÄN</t>
        </is>
      </c>
      <c r="E5296" t="inlineStr">
        <is>
          <t>ÖRNSKÖLDSVIK</t>
        </is>
      </c>
      <c r="G5296" t="n">
        <v>2.9</v>
      </c>
      <c r="H5296" t="n">
        <v>0</v>
      </c>
      <c r="I5296" t="n">
        <v>0</v>
      </c>
      <c r="J5296" t="n">
        <v>0</v>
      </c>
      <c r="K5296" t="n">
        <v>0</v>
      </c>
      <c r="L5296" t="n">
        <v>0</v>
      </c>
      <c r="M5296" t="n">
        <v>0</v>
      </c>
      <c r="N5296" t="n">
        <v>0</v>
      </c>
      <c r="O5296" t="n">
        <v>0</v>
      </c>
      <c r="P5296" t="n">
        <v>0</v>
      </c>
      <c r="Q5296" t="n">
        <v>0</v>
      </c>
      <c r="R5296" s="2" t="inlineStr"/>
    </row>
    <row r="5297" ht="15" customHeight="1">
      <c r="A5297" t="inlineStr">
        <is>
          <t>A 34053-2022</t>
        </is>
      </c>
      <c r="B5297" s="1" t="n">
        <v>44790</v>
      </c>
      <c r="C5297" s="1" t="n">
        <v>45212</v>
      </c>
      <c r="D5297" t="inlineStr">
        <is>
          <t>VÄSTERNORRLANDS LÄN</t>
        </is>
      </c>
      <c r="E5297" t="inlineStr">
        <is>
          <t>TIMRÅ</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33982-2022</t>
        </is>
      </c>
      <c r="B5298" s="1" t="n">
        <v>44790</v>
      </c>
      <c r="C5298" s="1" t="n">
        <v>45212</v>
      </c>
      <c r="D5298" t="inlineStr">
        <is>
          <t>VÄSTERNORRLANDS LÄN</t>
        </is>
      </c>
      <c r="E5298" t="inlineStr">
        <is>
          <t>HÄRNÖSAND</t>
        </is>
      </c>
      <c r="G5298" t="n">
        <v>7.9</v>
      </c>
      <c r="H5298" t="n">
        <v>0</v>
      </c>
      <c r="I5298" t="n">
        <v>0</v>
      </c>
      <c r="J5298" t="n">
        <v>0</v>
      </c>
      <c r="K5298" t="n">
        <v>0</v>
      </c>
      <c r="L5298" t="n">
        <v>0</v>
      </c>
      <c r="M5298" t="n">
        <v>0</v>
      </c>
      <c r="N5298" t="n">
        <v>0</v>
      </c>
      <c r="O5298" t="n">
        <v>0</v>
      </c>
      <c r="P5298" t="n">
        <v>0</v>
      </c>
      <c r="Q5298" t="n">
        <v>0</v>
      </c>
      <c r="R5298" s="2" t="inlineStr"/>
    </row>
    <row r="5299" ht="15" customHeight="1">
      <c r="A5299" t="inlineStr">
        <is>
          <t>A 33990-2022</t>
        </is>
      </c>
      <c r="B5299" s="1" t="n">
        <v>44790</v>
      </c>
      <c r="C5299" s="1" t="n">
        <v>45212</v>
      </c>
      <c r="D5299" t="inlineStr">
        <is>
          <t>VÄSTERNORRLANDS LÄN</t>
        </is>
      </c>
      <c r="E5299" t="inlineStr">
        <is>
          <t>SOLLEFTEÅ</t>
        </is>
      </c>
      <c r="F5299" t="inlineStr">
        <is>
          <t>SCA</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34041-2022</t>
        </is>
      </c>
      <c r="B5300" s="1" t="n">
        <v>44790</v>
      </c>
      <c r="C5300" s="1" t="n">
        <v>45212</v>
      </c>
      <c r="D5300" t="inlineStr">
        <is>
          <t>VÄSTERNORRLANDS LÄN</t>
        </is>
      </c>
      <c r="E5300" t="inlineStr">
        <is>
          <t>TIMRÅ</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33918-2022</t>
        </is>
      </c>
      <c r="B5301" s="1" t="n">
        <v>44790</v>
      </c>
      <c r="C5301" s="1" t="n">
        <v>45212</v>
      </c>
      <c r="D5301" t="inlineStr">
        <is>
          <t>VÄSTERNORRLANDS LÄN</t>
        </is>
      </c>
      <c r="E5301" t="inlineStr">
        <is>
          <t>ÖRNSKÖLDSVIK</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34054-2022</t>
        </is>
      </c>
      <c r="B5302" s="1" t="n">
        <v>44790</v>
      </c>
      <c r="C5302" s="1" t="n">
        <v>45212</v>
      </c>
      <c r="D5302" t="inlineStr">
        <is>
          <t>VÄSTERNORRLANDS LÄN</t>
        </is>
      </c>
      <c r="E5302" t="inlineStr">
        <is>
          <t>SUNDSVALL</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34038-2022</t>
        </is>
      </c>
      <c r="B5303" s="1" t="n">
        <v>44791</v>
      </c>
      <c r="C5303" s="1" t="n">
        <v>45212</v>
      </c>
      <c r="D5303" t="inlineStr">
        <is>
          <t>VÄSTERNORRLANDS LÄN</t>
        </is>
      </c>
      <c r="E5303" t="inlineStr">
        <is>
          <t>TIMRÅ</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34099-2022</t>
        </is>
      </c>
      <c r="B5304" s="1" t="n">
        <v>44791</v>
      </c>
      <c r="C5304" s="1" t="n">
        <v>45212</v>
      </c>
      <c r="D5304" t="inlineStr">
        <is>
          <t>VÄSTERNORRLANDS LÄN</t>
        </is>
      </c>
      <c r="E5304" t="inlineStr">
        <is>
          <t>TIMRÅ</t>
        </is>
      </c>
      <c r="G5304" t="n">
        <v>2.7</v>
      </c>
      <c r="H5304" t="n">
        <v>0</v>
      </c>
      <c r="I5304" t="n">
        <v>0</v>
      </c>
      <c r="J5304" t="n">
        <v>0</v>
      </c>
      <c r="K5304" t="n">
        <v>0</v>
      </c>
      <c r="L5304" t="n">
        <v>0</v>
      </c>
      <c r="M5304" t="n">
        <v>0</v>
      </c>
      <c r="N5304" t="n">
        <v>0</v>
      </c>
      <c r="O5304" t="n">
        <v>0</v>
      </c>
      <c r="P5304" t="n">
        <v>0</v>
      </c>
      <c r="Q5304" t="n">
        <v>0</v>
      </c>
      <c r="R5304" s="2" t="inlineStr"/>
    </row>
    <row r="5305" ht="15" customHeight="1">
      <c r="A5305" t="inlineStr">
        <is>
          <t>A 34091-2022</t>
        </is>
      </c>
      <c r="B5305" s="1" t="n">
        <v>44791</v>
      </c>
      <c r="C5305" s="1" t="n">
        <v>45212</v>
      </c>
      <c r="D5305" t="inlineStr">
        <is>
          <t>VÄSTERNORRLANDS LÄN</t>
        </is>
      </c>
      <c r="E5305" t="inlineStr">
        <is>
          <t>ÅNGE</t>
        </is>
      </c>
      <c r="G5305" t="n">
        <v>10.1</v>
      </c>
      <c r="H5305" t="n">
        <v>0</v>
      </c>
      <c r="I5305" t="n">
        <v>0</v>
      </c>
      <c r="J5305" t="n">
        <v>0</v>
      </c>
      <c r="K5305" t="n">
        <v>0</v>
      </c>
      <c r="L5305" t="n">
        <v>0</v>
      </c>
      <c r="M5305" t="n">
        <v>0</v>
      </c>
      <c r="N5305" t="n">
        <v>0</v>
      </c>
      <c r="O5305" t="n">
        <v>0</v>
      </c>
      <c r="P5305" t="n">
        <v>0</v>
      </c>
      <c r="Q5305" t="n">
        <v>0</v>
      </c>
      <c r="R5305" s="2" t="inlineStr"/>
    </row>
    <row r="5306" ht="15" customHeight="1">
      <c r="A5306" t="inlineStr">
        <is>
          <t>A 34148-2022</t>
        </is>
      </c>
      <c r="B5306" s="1" t="n">
        <v>44791</v>
      </c>
      <c r="C5306" s="1" t="n">
        <v>45212</v>
      </c>
      <c r="D5306" t="inlineStr">
        <is>
          <t>VÄSTERNORRLANDS LÄN</t>
        </is>
      </c>
      <c r="E5306" t="inlineStr">
        <is>
          <t>SUNDSVALL</t>
        </is>
      </c>
      <c r="G5306" t="n">
        <v>11.5</v>
      </c>
      <c r="H5306" t="n">
        <v>0</v>
      </c>
      <c r="I5306" t="n">
        <v>0</v>
      </c>
      <c r="J5306" t="n">
        <v>0</v>
      </c>
      <c r="K5306" t="n">
        <v>0</v>
      </c>
      <c r="L5306" t="n">
        <v>0</v>
      </c>
      <c r="M5306" t="n">
        <v>0</v>
      </c>
      <c r="N5306" t="n">
        <v>0</v>
      </c>
      <c r="O5306" t="n">
        <v>0</v>
      </c>
      <c r="P5306" t="n">
        <v>0</v>
      </c>
      <c r="Q5306" t="n">
        <v>0</v>
      </c>
      <c r="R5306" s="2" t="inlineStr"/>
    </row>
    <row r="5307" ht="15" customHeight="1">
      <c r="A5307" t="inlineStr">
        <is>
          <t>A 34161-2022</t>
        </is>
      </c>
      <c r="B5307" s="1" t="n">
        <v>44791</v>
      </c>
      <c r="C5307" s="1" t="n">
        <v>45212</v>
      </c>
      <c r="D5307" t="inlineStr">
        <is>
          <t>VÄSTERNORRLANDS LÄN</t>
        </is>
      </c>
      <c r="E5307" t="inlineStr">
        <is>
          <t>HÄRNÖSAND</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34118-2022</t>
        </is>
      </c>
      <c r="B5308" s="1" t="n">
        <v>44791</v>
      </c>
      <c r="C5308" s="1" t="n">
        <v>45212</v>
      </c>
      <c r="D5308" t="inlineStr">
        <is>
          <t>VÄSTERNORRLANDS LÄN</t>
        </is>
      </c>
      <c r="E5308" t="inlineStr">
        <is>
          <t>SUNDSVALL</t>
        </is>
      </c>
      <c r="G5308" t="n">
        <v>5</v>
      </c>
      <c r="H5308" t="n">
        <v>0</v>
      </c>
      <c r="I5308" t="n">
        <v>0</v>
      </c>
      <c r="J5308" t="n">
        <v>0</v>
      </c>
      <c r="K5308" t="n">
        <v>0</v>
      </c>
      <c r="L5308" t="n">
        <v>0</v>
      </c>
      <c r="M5308" t="n">
        <v>0</v>
      </c>
      <c r="N5308" t="n">
        <v>0</v>
      </c>
      <c r="O5308" t="n">
        <v>0</v>
      </c>
      <c r="P5308" t="n">
        <v>0</v>
      </c>
      <c r="Q5308" t="n">
        <v>0</v>
      </c>
      <c r="R5308" s="2" t="inlineStr"/>
    </row>
    <row r="5309" ht="15" customHeight="1">
      <c r="A5309" t="inlineStr">
        <is>
          <t>A 34153-2022</t>
        </is>
      </c>
      <c r="B5309" s="1" t="n">
        <v>44791</v>
      </c>
      <c r="C5309" s="1" t="n">
        <v>45212</v>
      </c>
      <c r="D5309" t="inlineStr">
        <is>
          <t>VÄSTERNORRLANDS LÄN</t>
        </is>
      </c>
      <c r="E5309" t="inlineStr">
        <is>
          <t>SOLLEFTEÅ</t>
        </is>
      </c>
      <c r="G5309" t="n">
        <v>3.2</v>
      </c>
      <c r="H5309" t="n">
        <v>0</v>
      </c>
      <c r="I5309" t="n">
        <v>0</v>
      </c>
      <c r="J5309" t="n">
        <v>0</v>
      </c>
      <c r="K5309" t="n">
        <v>0</v>
      </c>
      <c r="L5309" t="n">
        <v>0</v>
      </c>
      <c r="M5309" t="n">
        <v>0</v>
      </c>
      <c r="N5309" t="n">
        <v>0</v>
      </c>
      <c r="O5309" t="n">
        <v>0</v>
      </c>
      <c r="P5309" t="n">
        <v>0</v>
      </c>
      <c r="Q5309" t="n">
        <v>0</v>
      </c>
      <c r="R5309" s="2" t="inlineStr"/>
    </row>
    <row r="5310" ht="15" customHeight="1">
      <c r="A5310" t="inlineStr">
        <is>
          <t>A 34246-2022</t>
        </is>
      </c>
      <c r="B5310" s="1" t="n">
        <v>44791</v>
      </c>
      <c r="C5310" s="1" t="n">
        <v>45212</v>
      </c>
      <c r="D5310" t="inlineStr">
        <is>
          <t>VÄSTERNORRLANDS LÄN</t>
        </is>
      </c>
      <c r="E5310" t="inlineStr">
        <is>
          <t>TIMRÅ</t>
        </is>
      </c>
      <c r="G5310" t="n">
        <v>7.7</v>
      </c>
      <c r="H5310" t="n">
        <v>0</v>
      </c>
      <c r="I5310" t="n">
        <v>0</v>
      </c>
      <c r="J5310" t="n">
        <v>0</v>
      </c>
      <c r="K5310" t="n">
        <v>0</v>
      </c>
      <c r="L5310" t="n">
        <v>0</v>
      </c>
      <c r="M5310" t="n">
        <v>0</v>
      </c>
      <c r="N5310" t="n">
        <v>0</v>
      </c>
      <c r="O5310" t="n">
        <v>0</v>
      </c>
      <c r="P5310" t="n">
        <v>0</v>
      </c>
      <c r="Q5310" t="n">
        <v>0</v>
      </c>
      <c r="R5310" s="2" t="inlineStr"/>
    </row>
    <row r="5311" ht="15" customHeight="1">
      <c r="A5311" t="inlineStr">
        <is>
          <t>A 34281-2022</t>
        </is>
      </c>
      <c r="B5311" s="1" t="n">
        <v>44791</v>
      </c>
      <c r="C5311" s="1" t="n">
        <v>45212</v>
      </c>
      <c r="D5311" t="inlineStr">
        <is>
          <t>VÄSTERNORRLANDS LÄN</t>
        </is>
      </c>
      <c r="E5311" t="inlineStr">
        <is>
          <t>SOLLEFTEÅ</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34346-2022</t>
        </is>
      </c>
      <c r="B5312" s="1" t="n">
        <v>44792</v>
      </c>
      <c r="C5312" s="1" t="n">
        <v>45212</v>
      </c>
      <c r="D5312" t="inlineStr">
        <is>
          <t>VÄSTERNORRLANDS LÄN</t>
        </is>
      </c>
      <c r="E5312" t="inlineStr">
        <is>
          <t>KRAMFORS</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34648-2022</t>
        </is>
      </c>
      <c r="B5313" s="1" t="n">
        <v>44792</v>
      </c>
      <c r="C5313" s="1" t="n">
        <v>45212</v>
      </c>
      <c r="D5313" t="inlineStr">
        <is>
          <t>VÄSTERNORRLANDS LÄN</t>
        </is>
      </c>
      <c r="E5313" t="inlineStr">
        <is>
          <t>SOLLEFTEÅ</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34449-2022</t>
        </is>
      </c>
      <c r="B5314" s="1" t="n">
        <v>44792</v>
      </c>
      <c r="C5314" s="1" t="n">
        <v>45212</v>
      </c>
      <c r="D5314" t="inlineStr">
        <is>
          <t>VÄSTERNORRLANDS LÄN</t>
        </is>
      </c>
      <c r="E5314" t="inlineStr">
        <is>
          <t>ÖRNSKÖLDSVIK</t>
        </is>
      </c>
      <c r="F5314" t="inlineStr">
        <is>
          <t>Holmen skog AB</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34514-2022</t>
        </is>
      </c>
      <c r="B5315" s="1" t="n">
        <v>44792</v>
      </c>
      <c r="C5315" s="1" t="n">
        <v>45212</v>
      </c>
      <c r="D5315" t="inlineStr">
        <is>
          <t>VÄSTERNORRLANDS LÄN</t>
        </is>
      </c>
      <c r="E5315" t="inlineStr">
        <is>
          <t>HÄRNÖSAND</t>
        </is>
      </c>
      <c r="G5315" t="n">
        <v>2.6</v>
      </c>
      <c r="H5315" t="n">
        <v>0</v>
      </c>
      <c r="I5315" t="n">
        <v>0</v>
      </c>
      <c r="J5315" t="n">
        <v>0</v>
      </c>
      <c r="K5315" t="n">
        <v>0</v>
      </c>
      <c r="L5315" t="n">
        <v>0</v>
      </c>
      <c r="M5315" t="n">
        <v>0</v>
      </c>
      <c r="N5315" t="n">
        <v>0</v>
      </c>
      <c r="O5315" t="n">
        <v>0</v>
      </c>
      <c r="P5315" t="n">
        <v>0</v>
      </c>
      <c r="Q5315" t="n">
        <v>0</v>
      </c>
      <c r="R5315" s="2" t="inlineStr"/>
    </row>
    <row r="5316" ht="15" customHeight="1">
      <c r="A5316" t="inlineStr">
        <is>
          <t>A 34330-2022</t>
        </is>
      </c>
      <c r="B5316" s="1" t="n">
        <v>44792</v>
      </c>
      <c r="C5316" s="1" t="n">
        <v>45212</v>
      </c>
      <c r="D5316" t="inlineStr">
        <is>
          <t>VÄSTERNORRLANDS LÄN</t>
        </is>
      </c>
      <c r="E5316" t="inlineStr">
        <is>
          <t>KRAMFORS</t>
        </is>
      </c>
      <c r="G5316" t="n">
        <v>5.2</v>
      </c>
      <c r="H5316" t="n">
        <v>0</v>
      </c>
      <c r="I5316" t="n">
        <v>0</v>
      </c>
      <c r="J5316" t="n">
        <v>0</v>
      </c>
      <c r="K5316" t="n">
        <v>0</v>
      </c>
      <c r="L5316" t="n">
        <v>0</v>
      </c>
      <c r="M5316" t="n">
        <v>0</v>
      </c>
      <c r="N5316" t="n">
        <v>0</v>
      </c>
      <c r="O5316" t="n">
        <v>0</v>
      </c>
      <c r="P5316" t="n">
        <v>0</v>
      </c>
      <c r="Q5316" t="n">
        <v>0</v>
      </c>
      <c r="R5316" s="2" t="inlineStr"/>
    </row>
    <row r="5317" ht="15" customHeight="1">
      <c r="A5317" t="inlineStr">
        <is>
          <t>A 34513-2022</t>
        </is>
      </c>
      <c r="B5317" s="1" t="n">
        <v>44792</v>
      </c>
      <c r="C5317" s="1" t="n">
        <v>45212</v>
      </c>
      <c r="D5317" t="inlineStr">
        <is>
          <t>VÄSTERNORRLANDS LÄN</t>
        </is>
      </c>
      <c r="E5317" t="inlineStr">
        <is>
          <t>HÄRNÖSAND</t>
        </is>
      </c>
      <c r="G5317" t="n">
        <v>3.5</v>
      </c>
      <c r="H5317" t="n">
        <v>0</v>
      </c>
      <c r="I5317" t="n">
        <v>0</v>
      </c>
      <c r="J5317" t="n">
        <v>0</v>
      </c>
      <c r="K5317" t="n">
        <v>0</v>
      </c>
      <c r="L5317" t="n">
        <v>0</v>
      </c>
      <c r="M5317" t="n">
        <v>0</v>
      </c>
      <c r="N5317" t="n">
        <v>0</v>
      </c>
      <c r="O5317" t="n">
        <v>0</v>
      </c>
      <c r="P5317" t="n">
        <v>0</v>
      </c>
      <c r="Q5317" t="n">
        <v>0</v>
      </c>
      <c r="R5317" s="2" t="inlineStr"/>
    </row>
    <row r="5318" ht="15" customHeight="1">
      <c r="A5318" t="inlineStr">
        <is>
          <t>A 34309-2022</t>
        </is>
      </c>
      <c r="B5318" s="1" t="n">
        <v>44792</v>
      </c>
      <c r="C5318" s="1" t="n">
        <v>45212</v>
      </c>
      <c r="D5318" t="inlineStr">
        <is>
          <t>VÄSTERNORRLANDS LÄN</t>
        </is>
      </c>
      <c r="E5318" t="inlineStr">
        <is>
          <t>ÖRNSKÖLDSVIK</t>
        </is>
      </c>
      <c r="F5318" t="inlineStr">
        <is>
          <t>Holmen skog AB</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34362-2022</t>
        </is>
      </c>
      <c r="B5319" s="1" t="n">
        <v>44792</v>
      </c>
      <c r="C5319" s="1" t="n">
        <v>45212</v>
      </c>
      <c r="D5319" t="inlineStr">
        <is>
          <t>VÄSTERNORRLANDS LÄN</t>
        </is>
      </c>
      <c r="E5319" t="inlineStr">
        <is>
          <t>KRAMFORS</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34489-2022</t>
        </is>
      </c>
      <c r="B5320" s="1" t="n">
        <v>44792</v>
      </c>
      <c r="C5320" s="1" t="n">
        <v>45212</v>
      </c>
      <c r="D5320" t="inlineStr">
        <is>
          <t>VÄSTERNORRLANDS LÄN</t>
        </is>
      </c>
      <c r="E5320" t="inlineStr">
        <is>
          <t>ÖRNSKÖLDSVIK</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34516-2022</t>
        </is>
      </c>
      <c r="B5321" s="1" t="n">
        <v>44792</v>
      </c>
      <c r="C5321" s="1" t="n">
        <v>45212</v>
      </c>
      <c r="D5321" t="inlineStr">
        <is>
          <t>VÄSTERNORRLANDS LÄN</t>
        </is>
      </c>
      <c r="E5321" t="inlineStr">
        <is>
          <t>SOLLEFTEÅ</t>
        </is>
      </c>
      <c r="F5321" t="inlineStr">
        <is>
          <t>SCA</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34540-2022</t>
        </is>
      </c>
      <c r="B5322" s="1" t="n">
        <v>44793</v>
      </c>
      <c r="C5322" s="1" t="n">
        <v>45212</v>
      </c>
      <c r="D5322" t="inlineStr">
        <is>
          <t>VÄSTERNORRLANDS LÄN</t>
        </is>
      </c>
      <c r="E5322" t="inlineStr">
        <is>
          <t>KRAMFORS</t>
        </is>
      </c>
      <c r="G5322" t="n">
        <v>5.6</v>
      </c>
      <c r="H5322" t="n">
        <v>0</v>
      </c>
      <c r="I5322" t="n">
        <v>0</v>
      </c>
      <c r="J5322" t="n">
        <v>0</v>
      </c>
      <c r="K5322" t="n">
        <v>0</v>
      </c>
      <c r="L5322" t="n">
        <v>0</v>
      </c>
      <c r="M5322" t="n">
        <v>0</v>
      </c>
      <c r="N5322" t="n">
        <v>0</v>
      </c>
      <c r="O5322" t="n">
        <v>0</v>
      </c>
      <c r="P5322" t="n">
        <v>0</v>
      </c>
      <c r="Q5322" t="n">
        <v>0</v>
      </c>
      <c r="R5322" s="2" t="inlineStr"/>
    </row>
    <row r="5323" ht="15" customHeight="1">
      <c r="A5323" t="inlineStr">
        <is>
          <t>A 34549-2022</t>
        </is>
      </c>
      <c r="B5323" s="1" t="n">
        <v>44793</v>
      </c>
      <c r="C5323" s="1" t="n">
        <v>45212</v>
      </c>
      <c r="D5323" t="inlineStr">
        <is>
          <t>VÄSTERNORRLANDS LÄN</t>
        </is>
      </c>
      <c r="E5323" t="inlineStr">
        <is>
          <t>SOLLEFTEÅ</t>
        </is>
      </c>
      <c r="F5323" t="inlineStr">
        <is>
          <t>SCA</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34543-2022</t>
        </is>
      </c>
      <c r="B5324" s="1" t="n">
        <v>44793</v>
      </c>
      <c r="C5324" s="1" t="n">
        <v>45212</v>
      </c>
      <c r="D5324" t="inlineStr">
        <is>
          <t>VÄSTERNORRLANDS LÄN</t>
        </is>
      </c>
      <c r="E5324" t="inlineStr">
        <is>
          <t>SOLLEFTEÅ</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34542-2022</t>
        </is>
      </c>
      <c r="B5325" s="1" t="n">
        <v>44793</v>
      </c>
      <c r="C5325" s="1" t="n">
        <v>45212</v>
      </c>
      <c r="D5325" t="inlineStr">
        <is>
          <t>VÄSTERNORRLANDS LÄN</t>
        </is>
      </c>
      <c r="E5325" t="inlineStr">
        <is>
          <t>SOLLEFTEÅ</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34552-2022</t>
        </is>
      </c>
      <c r="B5326" s="1" t="n">
        <v>44794</v>
      </c>
      <c r="C5326" s="1" t="n">
        <v>45212</v>
      </c>
      <c r="D5326" t="inlineStr">
        <is>
          <t>VÄSTERNORRLANDS LÄN</t>
        </is>
      </c>
      <c r="E5326" t="inlineStr">
        <is>
          <t>SOLLEFTEÅ</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34554-2022</t>
        </is>
      </c>
      <c r="B5327" s="1" t="n">
        <v>44794</v>
      </c>
      <c r="C5327" s="1" t="n">
        <v>45212</v>
      </c>
      <c r="D5327" t="inlineStr">
        <is>
          <t>VÄSTERNORRLANDS LÄN</t>
        </is>
      </c>
      <c r="E5327" t="inlineStr">
        <is>
          <t>SUNDSVALL</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34784-2022</t>
        </is>
      </c>
      <c r="B5328" s="1" t="n">
        <v>44795</v>
      </c>
      <c r="C5328" s="1" t="n">
        <v>45212</v>
      </c>
      <c r="D5328" t="inlineStr">
        <is>
          <t>VÄSTERNORRLANDS LÄN</t>
        </is>
      </c>
      <c r="E5328" t="inlineStr">
        <is>
          <t>KRAMFORS</t>
        </is>
      </c>
      <c r="F5328" t="inlineStr">
        <is>
          <t>SCA</t>
        </is>
      </c>
      <c r="G5328" t="n">
        <v>5.7</v>
      </c>
      <c r="H5328" t="n">
        <v>0</v>
      </c>
      <c r="I5328" t="n">
        <v>0</v>
      </c>
      <c r="J5328" t="n">
        <v>0</v>
      </c>
      <c r="K5328" t="n">
        <v>0</v>
      </c>
      <c r="L5328" t="n">
        <v>0</v>
      </c>
      <c r="M5328" t="n">
        <v>0</v>
      </c>
      <c r="N5328" t="n">
        <v>0</v>
      </c>
      <c r="O5328" t="n">
        <v>0</v>
      </c>
      <c r="P5328" t="n">
        <v>0</v>
      </c>
      <c r="Q5328" t="n">
        <v>0</v>
      </c>
      <c r="R5328" s="2" t="inlineStr"/>
    </row>
    <row r="5329" ht="15" customHeight="1">
      <c r="A5329" t="inlineStr">
        <is>
          <t>A 34692-2022</t>
        </is>
      </c>
      <c r="B5329" s="1" t="n">
        <v>44795</v>
      </c>
      <c r="C5329" s="1" t="n">
        <v>45212</v>
      </c>
      <c r="D5329" t="inlineStr">
        <is>
          <t>VÄSTERNORRLANDS LÄN</t>
        </is>
      </c>
      <c r="E5329" t="inlineStr">
        <is>
          <t>ÖRNSKÖLDSVIK</t>
        </is>
      </c>
      <c r="G5329" t="n">
        <v>2.3</v>
      </c>
      <c r="H5329" t="n">
        <v>0</v>
      </c>
      <c r="I5329" t="n">
        <v>0</v>
      </c>
      <c r="J5329" t="n">
        <v>0</v>
      </c>
      <c r="K5329" t="n">
        <v>0</v>
      </c>
      <c r="L5329" t="n">
        <v>0</v>
      </c>
      <c r="M5329" t="n">
        <v>0</v>
      </c>
      <c r="N5329" t="n">
        <v>0</v>
      </c>
      <c r="O5329" t="n">
        <v>0</v>
      </c>
      <c r="P5329" t="n">
        <v>0</v>
      </c>
      <c r="Q5329" t="n">
        <v>0</v>
      </c>
      <c r="R5329" s="2" t="inlineStr"/>
    </row>
    <row r="5330" ht="15" customHeight="1">
      <c r="A5330" t="inlineStr">
        <is>
          <t>A 34812-2022</t>
        </is>
      </c>
      <c r="B5330" s="1" t="n">
        <v>44795</v>
      </c>
      <c r="C5330" s="1" t="n">
        <v>45212</v>
      </c>
      <c r="D5330" t="inlineStr">
        <is>
          <t>VÄSTERNORRLANDS LÄN</t>
        </is>
      </c>
      <c r="E5330" t="inlineStr">
        <is>
          <t>SUNDSVALL</t>
        </is>
      </c>
      <c r="F5330" t="inlineStr">
        <is>
          <t>SCA</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35004-2022</t>
        </is>
      </c>
      <c r="B5331" s="1" t="n">
        <v>44796</v>
      </c>
      <c r="C5331" s="1" t="n">
        <v>45212</v>
      </c>
      <c r="D5331" t="inlineStr">
        <is>
          <t>VÄSTERNORRLANDS LÄN</t>
        </is>
      </c>
      <c r="E5331" t="inlineStr">
        <is>
          <t>SUNDSVALL</t>
        </is>
      </c>
      <c r="G5331" t="n">
        <v>0.2</v>
      </c>
      <c r="H5331" t="n">
        <v>0</v>
      </c>
      <c r="I5331" t="n">
        <v>0</v>
      </c>
      <c r="J5331" t="n">
        <v>0</v>
      </c>
      <c r="K5331" t="n">
        <v>0</v>
      </c>
      <c r="L5331" t="n">
        <v>0</v>
      </c>
      <c r="M5331" t="n">
        <v>0</v>
      </c>
      <c r="N5331" t="n">
        <v>0</v>
      </c>
      <c r="O5331" t="n">
        <v>0</v>
      </c>
      <c r="P5331" t="n">
        <v>0</v>
      </c>
      <c r="Q5331" t="n">
        <v>0</v>
      </c>
      <c r="R5331" s="2" t="inlineStr"/>
    </row>
    <row r="5332" ht="15" customHeight="1">
      <c r="A5332" t="inlineStr">
        <is>
          <t>A 35026-2022</t>
        </is>
      </c>
      <c r="B5332" s="1" t="n">
        <v>44796</v>
      </c>
      <c r="C5332" s="1" t="n">
        <v>45212</v>
      </c>
      <c r="D5332" t="inlineStr">
        <is>
          <t>VÄSTERNORRLANDS LÄN</t>
        </is>
      </c>
      <c r="E5332" t="inlineStr">
        <is>
          <t>ÅNGE</t>
        </is>
      </c>
      <c r="F5332" t="inlineStr">
        <is>
          <t>SCA</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35008-2022</t>
        </is>
      </c>
      <c r="B5333" s="1" t="n">
        <v>44796</v>
      </c>
      <c r="C5333" s="1" t="n">
        <v>45212</v>
      </c>
      <c r="D5333" t="inlineStr">
        <is>
          <t>VÄSTERNORRLANDS LÄN</t>
        </is>
      </c>
      <c r="E5333" t="inlineStr">
        <is>
          <t>SUNDSVALL</t>
        </is>
      </c>
      <c r="G5333" t="n">
        <v>0.7</v>
      </c>
      <c r="H5333" t="n">
        <v>0</v>
      </c>
      <c r="I5333" t="n">
        <v>0</v>
      </c>
      <c r="J5333" t="n">
        <v>0</v>
      </c>
      <c r="K5333" t="n">
        <v>0</v>
      </c>
      <c r="L5333" t="n">
        <v>0</v>
      </c>
      <c r="M5333" t="n">
        <v>0</v>
      </c>
      <c r="N5333" t="n">
        <v>0</v>
      </c>
      <c r="O5333" t="n">
        <v>0</v>
      </c>
      <c r="P5333" t="n">
        <v>0</v>
      </c>
      <c r="Q5333" t="n">
        <v>0</v>
      </c>
      <c r="R5333" s="2" t="inlineStr"/>
    </row>
    <row r="5334" ht="15" customHeight="1">
      <c r="A5334" t="inlineStr">
        <is>
          <t>A 34904-2022</t>
        </is>
      </c>
      <c r="B5334" s="1" t="n">
        <v>44796</v>
      </c>
      <c r="C5334" s="1" t="n">
        <v>45212</v>
      </c>
      <c r="D5334" t="inlineStr">
        <is>
          <t>VÄSTERNORRLANDS LÄN</t>
        </is>
      </c>
      <c r="E5334" t="inlineStr">
        <is>
          <t>ÖRNSKÖLDSVIK</t>
        </is>
      </c>
      <c r="G5334" t="n">
        <v>9.699999999999999</v>
      </c>
      <c r="H5334" t="n">
        <v>0</v>
      </c>
      <c r="I5334" t="n">
        <v>0</v>
      </c>
      <c r="J5334" t="n">
        <v>0</v>
      </c>
      <c r="K5334" t="n">
        <v>0</v>
      </c>
      <c r="L5334" t="n">
        <v>0</v>
      </c>
      <c r="M5334" t="n">
        <v>0</v>
      </c>
      <c r="N5334" t="n">
        <v>0</v>
      </c>
      <c r="O5334" t="n">
        <v>0</v>
      </c>
      <c r="P5334" t="n">
        <v>0</v>
      </c>
      <c r="Q5334" t="n">
        <v>0</v>
      </c>
      <c r="R5334" s="2" t="inlineStr"/>
    </row>
    <row r="5335" ht="15" customHeight="1">
      <c r="A5335" t="inlineStr">
        <is>
          <t>A 35002-2022</t>
        </is>
      </c>
      <c r="B5335" s="1" t="n">
        <v>44796</v>
      </c>
      <c r="C5335" s="1" t="n">
        <v>45212</v>
      </c>
      <c r="D5335" t="inlineStr">
        <is>
          <t>VÄSTERNORRLANDS LÄN</t>
        </is>
      </c>
      <c r="E5335" t="inlineStr">
        <is>
          <t>ÅNGE</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35085-2022</t>
        </is>
      </c>
      <c r="B5336" s="1" t="n">
        <v>44797</v>
      </c>
      <c r="C5336" s="1" t="n">
        <v>45212</v>
      </c>
      <c r="D5336" t="inlineStr">
        <is>
          <t>VÄSTERNORRLANDS LÄN</t>
        </is>
      </c>
      <c r="E5336" t="inlineStr">
        <is>
          <t>ÖRNSKÖLDSVIK</t>
        </is>
      </c>
      <c r="F5336" t="inlineStr">
        <is>
          <t>Holmen skog AB</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35165-2022</t>
        </is>
      </c>
      <c r="B5337" s="1" t="n">
        <v>44797</v>
      </c>
      <c r="C5337" s="1" t="n">
        <v>45212</v>
      </c>
      <c r="D5337" t="inlineStr">
        <is>
          <t>VÄSTERNORRLANDS LÄN</t>
        </is>
      </c>
      <c r="E5337" t="inlineStr">
        <is>
          <t>SUNDSVALL</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35262-2022</t>
        </is>
      </c>
      <c r="B5338" s="1" t="n">
        <v>44797</v>
      </c>
      <c r="C5338" s="1" t="n">
        <v>45212</v>
      </c>
      <c r="D5338" t="inlineStr">
        <is>
          <t>VÄSTERNORRLANDS LÄN</t>
        </is>
      </c>
      <c r="E5338" t="inlineStr">
        <is>
          <t>ÖRNSKÖLDSVIK</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35075-2022</t>
        </is>
      </c>
      <c r="B5339" s="1" t="n">
        <v>44797</v>
      </c>
      <c r="C5339" s="1" t="n">
        <v>45212</v>
      </c>
      <c r="D5339" t="inlineStr">
        <is>
          <t>VÄSTERNORRLANDS LÄN</t>
        </is>
      </c>
      <c r="E5339" t="inlineStr">
        <is>
          <t>ÖRNSKÖLDSVIK</t>
        </is>
      </c>
      <c r="F5339" t="inlineStr">
        <is>
          <t>Holmen skog AB</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35204-2022</t>
        </is>
      </c>
      <c r="B5340" s="1" t="n">
        <v>44797</v>
      </c>
      <c r="C5340" s="1" t="n">
        <v>45212</v>
      </c>
      <c r="D5340" t="inlineStr">
        <is>
          <t>VÄSTERNORRLANDS LÄN</t>
        </is>
      </c>
      <c r="E5340" t="inlineStr">
        <is>
          <t>ÖRNSKÖLDSVIK</t>
        </is>
      </c>
      <c r="F5340" t="inlineStr">
        <is>
          <t>Holmen skog AB</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35408-2022</t>
        </is>
      </c>
      <c r="B5341" s="1" t="n">
        <v>44798</v>
      </c>
      <c r="C5341" s="1" t="n">
        <v>45212</v>
      </c>
      <c r="D5341" t="inlineStr">
        <is>
          <t>VÄSTERNORRLANDS LÄN</t>
        </is>
      </c>
      <c r="E5341" t="inlineStr">
        <is>
          <t>ÖRNSKÖLDSVIK</t>
        </is>
      </c>
      <c r="F5341" t="inlineStr">
        <is>
          <t>Holmen skog AB</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35448-2022</t>
        </is>
      </c>
      <c r="B5342" s="1" t="n">
        <v>44798</v>
      </c>
      <c r="C5342" s="1" t="n">
        <v>45212</v>
      </c>
      <c r="D5342" t="inlineStr">
        <is>
          <t>VÄSTERNORRLANDS LÄN</t>
        </is>
      </c>
      <c r="E5342" t="inlineStr">
        <is>
          <t>TIMRÅ</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35480-2022</t>
        </is>
      </c>
      <c r="B5343" s="1" t="n">
        <v>44798</v>
      </c>
      <c r="C5343" s="1" t="n">
        <v>45212</v>
      </c>
      <c r="D5343" t="inlineStr">
        <is>
          <t>VÄSTERNORRLANDS LÄN</t>
        </is>
      </c>
      <c r="E5343" t="inlineStr">
        <is>
          <t>SUNDSVALL</t>
        </is>
      </c>
      <c r="G5343" t="n">
        <v>6.1</v>
      </c>
      <c r="H5343" t="n">
        <v>0</v>
      </c>
      <c r="I5343" t="n">
        <v>0</v>
      </c>
      <c r="J5343" t="n">
        <v>0</v>
      </c>
      <c r="K5343" t="n">
        <v>0</v>
      </c>
      <c r="L5343" t="n">
        <v>0</v>
      </c>
      <c r="M5343" t="n">
        <v>0</v>
      </c>
      <c r="N5343" t="n">
        <v>0</v>
      </c>
      <c r="O5343" t="n">
        <v>0</v>
      </c>
      <c r="P5343" t="n">
        <v>0</v>
      </c>
      <c r="Q5343" t="n">
        <v>0</v>
      </c>
      <c r="R5343" s="2" t="inlineStr"/>
    </row>
    <row r="5344" ht="15" customHeight="1">
      <c r="A5344" t="inlineStr">
        <is>
          <t>A 35496-2022</t>
        </is>
      </c>
      <c r="B5344" s="1" t="n">
        <v>44798</v>
      </c>
      <c r="C5344" s="1" t="n">
        <v>45212</v>
      </c>
      <c r="D5344" t="inlineStr">
        <is>
          <t>VÄSTERNORRLANDS LÄN</t>
        </is>
      </c>
      <c r="E5344" t="inlineStr">
        <is>
          <t>ÅNGE</t>
        </is>
      </c>
      <c r="F5344" t="inlineStr">
        <is>
          <t>SCA</t>
        </is>
      </c>
      <c r="G5344" t="n">
        <v>15.6</v>
      </c>
      <c r="H5344" t="n">
        <v>0</v>
      </c>
      <c r="I5344" t="n">
        <v>0</v>
      </c>
      <c r="J5344" t="n">
        <v>0</v>
      </c>
      <c r="K5344" t="n">
        <v>0</v>
      </c>
      <c r="L5344" t="n">
        <v>0</v>
      </c>
      <c r="M5344" t="n">
        <v>0</v>
      </c>
      <c r="N5344" t="n">
        <v>0</v>
      </c>
      <c r="O5344" t="n">
        <v>0</v>
      </c>
      <c r="P5344" t="n">
        <v>0</v>
      </c>
      <c r="Q5344" t="n">
        <v>0</v>
      </c>
      <c r="R5344" s="2" t="inlineStr"/>
    </row>
    <row r="5345" ht="15" customHeight="1">
      <c r="A5345" t="inlineStr">
        <is>
          <t>A 35508-2022</t>
        </is>
      </c>
      <c r="B5345" s="1" t="n">
        <v>44798</v>
      </c>
      <c r="C5345" s="1" t="n">
        <v>45212</v>
      </c>
      <c r="D5345" t="inlineStr">
        <is>
          <t>VÄSTERNORRLANDS LÄN</t>
        </is>
      </c>
      <c r="E5345" t="inlineStr">
        <is>
          <t>ÅNGE</t>
        </is>
      </c>
      <c r="F5345" t="inlineStr">
        <is>
          <t>SCA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35266-2022</t>
        </is>
      </c>
      <c r="B5346" s="1" t="n">
        <v>44798</v>
      </c>
      <c r="C5346" s="1" t="n">
        <v>45212</v>
      </c>
      <c r="D5346" t="inlineStr">
        <is>
          <t>VÄSTERNORRLANDS LÄN</t>
        </is>
      </c>
      <c r="E5346" t="inlineStr">
        <is>
          <t>ÖRNSKÖLDSVIK</t>
        </is>
      </c>
      <c r="F5346" t="inlineStr">
        <is>
          <t>Kyrkan</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35475-2022</t>
        </is>
      </c>
      <c r="B5347" s="1" t="n">
        <v>44798</v>
      </c>
      <c r="C5347" s="1" t="n">
        <v>45212</v>
      </c>
      <c r="D5347" t="inlineStr">
        <is>
          <t>VÄSTERNORRLANDS LÄN</t>
        </is>
      </c>
      <c r="E5347" t="inlineStr">
        <is>
          <t>ÖRNSKÖLDSVIK</t>
        </is>
      </c>
      <c r="F5347" t="inlineStr">
        <is>
          <t>Holmen skog AB</t>
        </is>
      </c>
      <c r="G5347" t="n">
        <v>3.5</v>
      </c>
      <c r="H5347" t="n">
        <v>0</v>
      </c>
      <c r="I5347" t="n">
        <v>0</v>
      </c>
      <c r="J5347" t="n">
        <v>0</v>
      </c>
      <c r="K5347" t="n">
        <v>0</v>
      </c>
      <c r="L5347" t="n">
        <v>0</v>
      </c>
      <c r="M5347" t="n">
        <v>0</v>
      </c>
      <c r="N5347" t="n">
        <v>0</v>
      </c>
      <c r="O5347" t="n">
        <v>0</v>
      </c>
      <c r="P5347" t="n">
        <v>0</v>
      </c>
      <c r="Q5347" t="n">
        <v>0</v>
      </c>
      <c r="R5347" s="2" t="inlineStr"/>
    </row>
    <row r="5348" ht="15" customHeight="1">
      <c r="A5348" t="inlineStr">
        <is>
          <t>A 35481-2022</t>
        </is>
      </c>
      <c r="B5348" s="1" t="n">
        <v>44798</v>
      </c>
      <c r="C5348" s="1" t="n">
        <v>45212</v>
      </c>
      <c r="D5348" t="inlineStr">
        <is>
          <t>VÄSTERNORRLANDS LÄN</t>
        </is>
      </c>
      <c r="E5348" t="inlineStr">
        <is>
          <t>SUNDSVALL</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35497-2022</t>
        </is>
      </c>
      <c r="B5349" s="1" t="n">
        <v>44798</v>
      </c>
      <c r="C5349" s="1" t="n">
        <v>45212</v>
      </c>
      <c r="D5349" t="inlineStr">
        <is>
          <t>VÄSTERNORRLANDS LÄN</t>
        </is>
      </c>
      <c r="E5349" t="inlineStr">
        <is>
          <t>ÅNGE</t>
        </is>
      </c>
      <c r="F5349" t="inlineStr">
        <is>
          <t>SCA</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35509-2022</t>
        </is>
      </c>
      <c r="B5350" s="1" t="n">
        <v>44798</v>
      </c>
      <c r="C5350" s="1" t="n">
        <v>45212</v>
      </c>
      <c r="D5350" t="inlineStr">
        <is>
          <t>VÄSTERNORRLANDS LÄN</t>
        </is>
      </c>
      <c r="E5350" t="inlineStr">
        <is>
          <t>ÅNGE</t>
        </is>
      </c>
      <c r="F5350" t="inlineStr">
        <is>
          <t>SCA</t>
        </is>
      </c>
      <c r="G5350" t="n">
        <v>2.7</v>
      </c>
      <c r="H5350" t="n">
        <v>0</v>
      </c>
      <c r="I5350" t="n">
        <v>0</v>
      </c>
      <c r="J5350" t="n">
        <v>0</v>
      </c>
      <c r="K5350" t="n">
        <v>0</v>
      </c>
      <c r="L5350" t="n">
        <v>0</v>
      </c>
      <c r="M5350" t="n">
        <v>0</v>
      </c>
      <c r="N5350" t="n">
        <v>0</v>
      </c>
      <c r="O5350" t="n">
        <v>0</v>
      </c>
      <c r="P5350" t="n">
        <v>0</v>
      </c>
      <c r="Q5350" t="n">
        <v>0</v>
      </c>
      <c r="R5350" s="2" t="inlineStr"/>
    </row>
    <row r="5351" ht="15" customHeight="1">
      <c r="A5351" t="inlineStr">
        <is>
          <t>A 35269-2022</t>
        </is>
      </c>
      <c r="B5351" s="1" t="n">
        <v>44798</v>
      </c>
      <c r="C5351" s="1" t="n">
        <v>45212</v>
      </c>
      <c r="D5351" t="inlineStr">
        <is>
          <t>VÄSTERNORRLANDS LÄN</t>
        </is>
      </c>
      <c r="E5351" t="inlineStr">
        <is>
          <t>ÖRNSKÖLDSVIK</t>
        </is>
      </c>
      <c r="F5351" t="inlineStr">
        <is>
          <t>Kyrkan</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35415-2022</t>
        </is>
      </c>
      <c r="B5352" s="1" t="n">
        <v>44798</v>
      </c>
      <c r="C5352" s="1" t="n">
        <v>45212</v>
      </c>
      <c r="D5352" t="inlineStr">
        <is>
          <t>VÄSTERNORRLANDS LÄN</t>
        </is>
      </c>
      <c r="E5352" t="inlineStr">
        <is>
          <t>ÖRNSKÖLDSVIK</t>
        </is>
      </c>
      <c r="G5352" t="n">
        <v>0.2</v>
      </c>
      <c r="H5352" t="n">
        <v>0</v>
      </c>
      <c r="I5352" t="n">
        <v>0</v>
      </c>
      <c r="J5352" t="n">
        <v>0</v>
      </c>
      <c r="K5352" t="n">
        <v>0</v>
      </c>
      <c r="L5352" t="n">
        <v>0</v>
      </c>
      <c r="M5352" t="n">
        <v>0</v>
      </c>
      <c r="N5352" t="n">
        <v>0</v>
      </c>
      <c r="O5352" t="n">
        <v>0</v>
      </c>
      <c r="P5352" t="n">
        <v>0</v>
      </c>
      <c r="Q5352" t="n">
        <v>0</v>
      </c>
      <c r="R5352" s="2" t="inlineStr"/>
    </row>
    <row r="5353" ht="15" customHeight="1">
      <c r="A5353" t="inlineStr">
        <is>
          <t>A 35442-2022</t>
        </is>
      </c>
      <c r="B5353" s="1" t="n">
        <v>44798</v>
      </c>
      <c r="C5353" s="1" t="n">
        <v>45212</v>
      </c>
      <c r="D5353" t="inlineStr">
        <is>
          <t>VÄSTERNORRLANDS LÄN</t>
        </is>
      </c>
      <c r="E5353" t="inlineStr">
        <is>
          <t>KRAMFORS</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35451-2022</t>
        </is>
      </c>
      <c r="B5354" s="1" t="n">
        <v>44798</v>
      </c>
      <c r="C5354" s="1" t="n">
        <v>45212</v>
      </c>
      <c r="D5354" t="inlineStr">
        <is>
          <t>VÄSTERNORRLANDS LÄN</t>
        </is>
      </c>
      <c r="E5354" t="inlineStr">
        <is>
          <t>ÖRNSKÖLDSVIK</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35276-2022</t>
        </is>
      </c>
      <c r="B5355" s="1" t="n">
        <v>44798</v>
      </c>
      <c r="C5355" s="1" t="n">
        <v>45212</v>
      </c>
      <c r="D5355" t="inlineStr">
        <is>
          <t>VÄSTERNORRLANDS LÄN</t>
        </is>
      </c>
      <c r="E5355" t="inlineStr">
        <is>
          <t>ÅNGE</t>
        </is>
      </c>
      <c r="G5355" t="n">
        <v>15.2</v>
      </c>
      <c r="H5355" t="n">
        <v>0</v>
      </c>
      <c r="I5355" t="n">
        <v>0</v>
      </c>
      <c r="J5355" t="n">
        <v>0</v>
      </c>
      <c r="K5355" t="n">
        <v>0</v>
      </c>
      <c r="L5355" t="n">
        <v>0</v>
      </c>
      <c r="M5355" t="n">
        <v>0</v>
      </c>
      <c r="N5355" t="n">
        <v>0</v>
      </c>
      <c r="O5355" t="n">
        <v>0</v>
      </c>
      <c r="P5355" t="n">
        <v>0</v>
      </c>
      <c r="Q5355" t="n">
        <v>0</v>
      </c>
      <c r="R5355" s="2" t="inlineStr"/>
    </row>
    <row r="5356" ht="15" customHeight="1">
      <c r="A5356" t="inlineStr">
        <is>
          <t>A 35416-2022</t>
        </is>
      </c>
      <c r="B5356" s="1" t="n">
        <v>44798</v>
      </c>
      <c r="C5356" s="1" t="n">
        <v>45212</v>
      </c>
      <c r="D5356" t="inlineStr">
        <is>
          <t>VÄSTERNORRLANDS LÄN</t>
        </is>
      </c>
      <c r="E5356" t="inlineStr">
        <is>
          <t>ÖRNSKÖLDSVIK</t>
        </is>
      </c>
      <c r="F5356" t="inlineStr">
        <is>
          <t>Holmen skog AB</t>
        </is>
      </c>
      <c r="G5356" t="n">
        <v>1.4</v>
      </c>
      <c r="H5356" t="n">
        <v>0</v>
      </c>
      <c r="I5356" t="n">
        <v>0</v>
      </c>
      <c r="J5356" t="n">
        <v>0</v>
      </c>
      <c r="K5356" t="n">
        <v>0</v>
      </c>
      <c r="L5356" t="n">
        <v>0</v>
      </c>
      <c r="M5356" t="n">
        <v>0</v>
      </c>
      <c r="N5356" t="n">
        <v>0</v>
      </c>
      <c r="O5356" t="n">
        <v>0</v>
      </c>
      <c r="P5356" t="n">
        <v>0</v>
      </c>
      <c r="Q5356" t="n">
        <v>0</v>
      </c>
      <c r="R5356" s="2" t="inlineStr"/>
    </row>
    <row r="5357" ht="15" customHeight="1">
      <c r="A5357" t="inlineStr">
        <is>
          <t>A 35422-2022</t>
        </is>
      </c>
      <c r="B5357" s="1" t="n">
        <v>44798</v>
      </c>
      <c r="C5357" s="1" t="n">
        <v>45212</v>
      </c>
      <c r="D5357" t="inlineStr">
        <is>
          <t>VÄSTERNORRLANDS LÄN</t>
        </is>
      </c>
      <c r="E5357" t="inlineStr">
        <is>
          <t>TIMRÅ</t>
        </is>
      </c>
      <c r="G5357" t="n">
        <v>5.8</v>
      </c>
      <c r="H5357" t="n">
        <v>0</v>
      </c>
      <c r="I5357" t="n">
        <v>0</v>
      </c>
      <c r="J5357" t="n">
        <v>0</v>
      </c>
      <c r="K5357" t="n">
        <v>0</v>
      </c>
      <c r="L5357" t="n">
        <v>0</v>
      </c>
      <c r="M5357" t="n">
        <v>0</v>
      </c>
      <c r="N5357" t="n">
        <v>0</v>
      </c>
      <c r="O5357" t="n">
        <v>0</v>
      </c>
      <c r="P5357" t="n">
        <v>0</v>
      </c>
      <c r="Q5357" t="n">
        <v>0</v>
      </c>
      <c r="R5357" s="2" t="inlineStr"/>
    </row>
    <row r="5358" ht="15" customHeight="1">
      <c r="A5358" t="inlineStr">
        <is>
          <t>A 35507-2022</t>
        </is>
      </c>
      <c r="B5358" s="1" t="n">
        <v>44798</v>
      </c>
      <c r="C5358" s="1" t="n">
        <v>45212</v>
      </c>
      <c r="D5358" t="inlineStr">
        <is>
          <t>VÄSTERNORRLANDS LÄN</t>
        </is>
      </c>
      <c r="E5358" t="inlineStr">
        <is>
          <t>ÅNGE</t>
        </is>
      </c>
      <c r="F5358" t="inlineStr">
        <is>
          <t>SCA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35747-2022</t>
        </is>
      </c>
      <c r="B5359" s="1" t="n">
        <v>44799</v>
      </c>
      <c r="C5359" s="1" t="n">
        <v>45212</v>
      </c>
      <c r="D5359" t="inlineStr">
        <is>
          <t>VÄSTERNORRLANDS LÄN</t>
        </is>
      </c>
      <c r="E5359" t="inlineStr">
        <is>
          <t>SOLLEFTEÅ</t>
        </is>
      </c>
      <c r="F5359" t="inlineStr">
        <is>
          <t>SCA</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35758-2022</t>
        </is>
      </c>
      <c r="B5360" s="1" t="n">
        <v>44799</v>
      </c>
      <c r="C5360" s="1" t="n">
        <v>45212</v>
      </c>
      <c r="D5360" t="inlineStr">
        <is>
          <t>VÄSTERNORRLANDS LÄN</t>
        </is>
      </c>
      <c r="E5360" t="inlineStr">
        <is>
          <t>TIMRÅ</t>
        </is>
      </c>
      <c r="F5360" t="inlineStr">
        <is>
          <t>SCA</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35786-2022</t>
        </is>
      </c>
      <c r="B5361" s="1" t="n">
        <v>44801</v>
      </c>
      <c r="C5361" s="1" t="n">
        <v>45212</v>
      </c>
      <c r="D5361" t="inlineStr">
        <is>
          <t>VÄSTERNORRLANDS LÄN</t>
        </is>
      </c>
      <c r="E5361" t="inlineStr">
        <is>
          <t>ÖRNSKÖLDSVIK</t>
        </is>
      </c>
      <c r="G5361" t="n">
        <v>8.9</v>
      </c>
      <c r="H5361" t="n">
        <v>0</v>
      </c>
      <c r="I5361" t="n">
        <v>0</v>
      </c>
      <c r="J5361" t="n">
        <v>0</v>
      </c>
      <c r="K5361" t="n">
        <v>0</v>
      </c>
      <c r="L5361" t="n">
        <v>0</v>
      </c>
      <c r="M5361" t="n">
        <v>0</v>
      </c>
      <c r="N5361" t="n">
        <v>0</v>
      </c>
      <c r="O5361" t="n">
        <v>0</v>
      </c>
      <c r="P5361" t="n">
        <v>0</v>
      </c>
      <c r="Q5361" t="n">
        <v>0</v>
      </c>
      <c r="R5361" s="2" t="inlineStr"/>
    </row>
    <row r="5362" ht="15" customHeight="1">
      <c r="A5362" t="inlineStr">
        <is>
          <t>A 35923-2022</t>
        </is>
      </c>
      <c r="B5362" s="1" t="n">
        <v>44802</v>
      </c>
      <c r="C5362" s="1" t="n">
        <v>45212</v>
      </c>
      <c r="D5362" t="inlineStr">
        <is>
          <t>VÄSTERNORRLANDS LÄN</t>
        </is>
      </c>
      <c r="E5362" t="inlineStr">
        <is>
          <t>SUNDSVALL</t>
        </is>
      </c>
      <c r="G5362" t="n">
        <v>8.1</v>
      </c>
      <c r="H5362" t="n">
        <v>0</v>
      </c>
      <c r="I5362" t="n">
        <v>0</v>
      </c>
      <c r="J5362" t="n">
        <v>0</v>
      </c>
      <c r="K5362" t="n">
        <v>0</v>
      </c>
      <c r="L5362" t="n">
        <v>0</v>
      </c>
      <c r="M5362" t="n">
        <v>0</v>
      </c>
      <c r="N5362" t="n">
        <v>0</v>
      </c>
      <c r="O5362" t="n">
        <v>0</v>
      </c>
      <c r="P5362" t="n">
        <v>0</v>
      </c>
      <c r="Q5362" t="n">
        <v>0</v>
      </c>
      <c r="R5362" s="2" t="inlineStr"/>
    </row>
    <row r="5363" ht="15" customHeight="1">
      <c r="A5363" t="inlineStr">
        <is>
          <t>A 36089-2022</t>
        </is>
      </c>
      <c r="B5363" s="1" t="n">
        <v>44802</v>
      </c>
      <c r="C5363" s="1" t="n">
        <v>45212</v>
      </c>
      <c r="D5363" t="inlineStr">
        <is>
          <t>VÄSTERNORRLANDS LÄN</t>
        </is>
      </c>
      <c r="E5363" t="inlineStr">
        <is>
          <t>KRAMFORS</t>
        </is>
      </c>
      <c r="F5363" t="inlineStr">
        <is>
          <t>SCA</t>
        </is>
      </c>
      <c r="G5363" t="n">
        <v>2.5</v>
      </c>
      <c r="H5363" t="n">
        <v>0</v>
      </c>
      <c r="I5363" t="n">
        <v>0</v>
      </c>
      <c r="J5363" t="n">
        <v>0</v>
      </c>
      <c r="K5363" t="n">
        <v>0</v>
      </c>
      <c r="L5363" t="n">
        <v>0</v>
      </c>
      <c r="M5363" t="n">
        <v>0</v>
      </c>
      <c r="N5363" t="n">
        <v>0</v>
      </c>
      <c r="O5363" t="n">
        <v>0</v>
      </c>
      <c r="P5363" t="n">
        <v>0</v>
      </c>
      <c r="Q5363" t="n">
        <v>0</v>
      </c>
      <c r="R5363" s="2" t="inlineStr"/>
    </row>
    <row r="5364" ht="15" customHeight="1">
      <c r="A5364" t="inlineStr">
        <is>
          <t>A 36110-2022</t>
        </is>
      </c>
      <c r="B5364" s="1" t="n">
        <v>44802</v>
      </c>
      <c r="C5364" s="1" t="n">
        <v>45212</v>
      </c>
      <c r="D5364" t="inlineStr">
        <is>
          <t>VÄSTERNORRLANDS LÄN</t>
        </is>
      </c>
      <c r="E5364" t="inlineStr">
        <is>
          <t>SUNDSVALL</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36088-2022</t>
        </is>
      </c>
      <c r="B5365" s="1" t="n">
        <v>44802</v>
      </c>
      <c r="C5365" s="1" t="n">
        <v>45212</v>
      </c>
      <c r="D5365" t="inlineStr">
        <is>
          <t>VÄSTERNORRLANDS LÄN</t>
        </is>
      </c>
      <c r="E5365" t="inlineStr">
        <is>
          <t>HÄRNÖSAND</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35344-2022</t>
        </is>
      </c>
      <c r="B5366" s="1" t="n">
        <v>44802</v>
      </c>
      <c r="C5366" s="1" t="n">
        <v>45212</v>
      </c>
      <c r="D5366" t="inlineStr">
        <is>
          <t>VÄSTERNORRLANDS LÄN</t>
        </is>
      </c>
      <c r="E5366" t="inlineStr">
        <is>
          <t>KRAMFORS</t>
        </is>
      </c>
      <c r="G5366" t="n">
        <v>19.3</v>
      </c>
      <c r="H5366" t="n">
        <v>0</v>
      </c>
      <c r="I5366" t="n">
        <v>0</v>
      </c>
      <c r="J5366" t="n">
        <v>0</v>
      </c>
      <c r="K5366" t="n">
        <v>0</v>
      </c>
      <c r="L5366" t="n">
        <v>0</v>
      </c>
      <c r="M5366" t="n">
        <v>0</v>
      </c>
      <c r="N5366" t="n">
        <v>0</v>
      </c>
      <c r="O5366" t="n">
        <v>0</v>
      </c>
      <c r="P5366" t="n">
        <v>0</v>
      </c>
      <c r="Q5366" t="n">
        <v>0</v>
      </c>
      <c r="R5366" s="2" t="inlineStr"/>
    </row>
    <row r="5367" ht="15" customHeight="1">
      <c r="A5367" t="inlineStr">
        <is>
          <t>A 35867-2022</t>
        </is>
      </c>
      <c r="B5367" s="1" t="n">
        <v>44802</v>
      </c>
      <c r="C5367" s="1" t="n">
        <v>45212</v>
      </c>
      <c r="D5367" t="inlineStr">
        <is>
          <t>VÄSTERNORRLANDS LÄN</t>
        </is>
      </c>
      <c r="E5367" t="inlineStr">
        <is>
          <t>KRAMFORS</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36212-2022</t>
        </is>
      </c>
      <c r="B5368" s="1" t="n">
        <v>44803</v>
      </c>
      <c r="C5368" s="1" t="n">
        <v>45212</v>
      </c>
      <c r="D5368" t="inlineStr">
        <is>
          <t>VÄSTERNORRLANDS LÄN</t>
        </is>
      </c>
      <c r="E5368" t="inlineStr">
        <is>
          <t>KRAMFORS</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36363-2022</t>
        </is>
      </c>
      <c r="B5369" s="1" t="n">
        <v>44803</v>
      </c>
      <c r="C5369" s="1" t="n">
        <v>45212</v>
      </c>
      <c r="D5369" t="inlineStr">
        <is>
          <t>VÄSTERNORRLANDS LÄN</t>
        </is>
      </c>
      <c r="E5369" t="inlineStr">
        <is>
          <t>KRAMFORS</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36209-2022</t>
        </is>
      </c>
      <c r="B5370" s="1" t="n">
        <v>44803</v>
      </c>
      <c r="C5370" s="1" t="n">
        <v>45212</v>
      </c>
      <c r="D5370" t="inlineStr">
        <is>
          <t>VÄSTERNORRLANDS LÄN</t>
        </is>
      </c>
      <c r="E5370" t="inlineStr">
        <is>
          <t>KRAMFORS</t>
        </is>
      </c>
      <c r="G5370" t="n">
        <v>3.6</v>
      </c>
      <c r="H5370" t="n">
        <v>0</v>
      </c>
      <c r="I5370" t="n">
        <v>0</v>
      </c>
      <c r="J5370" t="n">
        <v>0</v>
      </c>
      <c r="K5370" t="n">
        <v>0</v>
      </c>
      <c r="L5370" t="n">
        <v>0</v>
      </c>
      <c r="M5370" t="n">
        <v>0</v>
      </c>
      <c r="N5370" t="n">
        <v>0</v>
      </c>
      <c r="O5370" t="n">
        <v>0</v>
      </c>
      <c r="P5370" t="n">
        <v>0</v>
      </c>
      <c r="Q5370" t="n">
        <v>0</v>
      </c>
      <c r="R5370" s="2" t="inlineStr"/>
    </row>
    <row r="5371" ht="15" customHeight="1">
      <c r="A5371" t="inlineStr">
        <is>
          <t>A 36323-2022</t>
        </is>
      </c>
      <c r="B5371" s="1" t="n">
        <v>44803</v>
      </c>
      <c r="C5371" s="1" t="n">
        <v>45212</v>
      </c>
      <c r="D5371" t="inlineStr">
        <is>
          <t>VÄSTERNORRLANDS LÄN</t>
        </is>
      </c>
      <c r="E5371" t="inlineStr">
        <is>
          <t>ÖRNSKÖLDSVIK</t>
        </is>
      </c>
      <c r="F5371" t="inlineStr">
        <is>
          <t>Holmen skog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36649-2022</t>
        </is>
      </c>
      <c r="B5372" s="1" t="n">
        <v>44804</v>
      </c>
      <c r="C5372" s="1" t="n">
        <v>45212</v>
      </c>
      <c r="D5372" t="inlineStr">
        <is>
          <t>VÄSTERNORRLANDS LÄN</t>
        </is>
      </c>
      <c r="E5372" t="inlineStr">
        <is>
          <t>HÄRNÖSAND</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36681-2022</t>
        </is>
      </c>
      <c r="B5373" s="1" t="n">
        <v>44804</v>
      </c>
      <c r="C5373" s="1" t="n">
        <v>45212</v>
      </c>
      <c r="D5373" t="inlineStr">
        <is>
          <t>VÄSTERNORRLANDS LÄN</t>
        </is>
      </c>
      <c r="E5373" t="inlineStr">
        <is>
          <t>SOLLEFTEÅ</t>
        </is>
      </c>
      <c r="F5373" t="inlineStr">
        <is>
          <t>SCA</t>
        </is>
      </c>
      <c r="G5373" t="n">
        <v>2.1</v>
      </c>
      <c r="H5373" t="n">
        <v>0</v>
      </c>
      <c r="I5373" t="n">
        <v>0</v>
      </c>
      <c r="J5373" t="n">
        <v>0</v>
      </c>
      <c r="K5373" t="n">
        <v>0</v>
      </c>
      <c r="L5373" t="n">
        <v>0</v>
      </c>
      <c r="M5373" t="n">
        <v>0</v>
      </c>
      <c r="N5373" t="n">
        <v>0</v>
      </c>
      <c r="O5373" t="n">
        <v>0</v>
      </c>
      <c r="P5373" t="n">
        <v>0</v>
      </c>
      <c r="Q5373" t="n">
        <v>0</v>
      </c>
      <c r="R5373" s="2" t="inlineStr"/>
    </row>
    <row r="5374" ht="15" customHeight="1">
      <c r="A5374" t="inlineStr">
        <is>
          <t>A 36564-2022</t>
        </is>
      </c>
      <c r="B5374" s="1" t="n">
        <v>44804</v>
      </c>
      <c r="C5374" s="1" t="n">
        <v>45212</v>
      </c>
      <c r="D5374" t="inlineStr">
        <is>
          <t>VÄSTERNORRLANDS LÄN</t>
        </is>
      </c>
      <c r="E5374" t="inlineStr">
        <is>
          <t>TIMRÅ</t>
        </is>
      </c>
      <c r="G5374" t="n">
        <v>16.6</v>
      </c>
      <c r="H5374" t="n">
        <v>0</v>
      </c>
      <c r="I5374" t="n">
        <v>0</v>
      </c>
      <c r="J5374" t="n">
        <v>0</v>
      </c>
      <c r="K5374" t="n">
        <v>0</v>
      </c>
      <c r="L5374" t="n">
        <v>0</v>
      </c>
      <c r="M5374" t="n">
        <v>0</v>
      </c>
      <c r="N5374" t="n">
        <v>0</v>
      </c>
      <c r="O5374" t="n">
        <v>0</v>
      </c>
      <c r="P5374" t="n">
        <v>0</v>
      </c>
      <c r="Q5374" t="n">
        <v>0</v>
      </c>
      <c r="R5374" s="2" t="inlineStr"/>
    </row>
    <row r="5375" ht="15" customHeight="1">
      <c r="A5375" t="inlineStr">
        <is>
          <t>A 36605-2022</t>
        </is>
      </c>
      <c r="B5375" s="1" t="n">
        <v>44804</v>
      </c>
      <c r="C5375" s="1" t="n">
        <v>45212</v>
      </c>
      <c r="D5375" t="inlineStr">
        <is>
          <t>VÄSTERNORRLANDS LÄN</t>
        </is>
      </c>
      <c r="E5375" t="inlineStr">
        <is>
          <t>KRAMFORS</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36688-2022</t>
        </is>
      </c>
      <c r="B5376" s="1" t="n">
        <v>44804</v>
      </c>
      <c r="C5376" s="1" t="n">
        <v>45212</v>
      </c>
      <c r="D5376" t="inlineStr">
        <is>
          <t>VÄSTERNORRLANDS LÄN</t>
        </is>
      </c>
      <c r="E5376" t="inlineStr">
        <is>
          <t>SOLLEFTEÅ</t>
        </is>
      </c>
      <c r="F5376" t="inlineStr">
        <is>
          <t>SCA</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36704-2022</t>
        </is>
      </c>
      <c r="B5377" s="1" t="n">
        <v>44804</v>
      </c>
      <c r="C5377" s="1" t="n">
        <v>45212</v>
      </c>
      <c r="D5377" t="inlineStr">
        <is>
          <t>VÄSTERNORRLANDS LÄN</t>
        </is>
      </c>
      <c r="E5377" t="inlineStr">
        <is>
          <t>ÖRNSKÖLDSVIK</t>
        </is>
      </c>
      <c r="G5377" t="n">
        <v>7.4</v>
      </c>
      <c r="H5377" t="n">
        <v>0</v>
      </c>
      <c r="I5377" t="n">
        <v>0</v>
      </c>
      <c r="J5377" t="n">
        <v>0</v>
      </c>
      <c r="K5377" t="n">
        <v>0</v>
      </c>
      <c r="L5377" t="n">
        <v>0</v>
      </c>
      <c r="M5377" t="n">
        <v>0</v>
      </c>
      <c r="N5377" t="n">
        <v>0</v>
      </c>
      <c r="O5377" t="n">
        <v>0</v>
      </c>
      <c r="P5377" t="n">
        <v>0</v>
      </c>
      <c r="Q5377" t="n">
        <v>0</v>
      </c>
      <c r="R5377" s="2" t="inlineStr"/>
    </row>
    <row r="5378" ht="15" customHeight="1">
      <c r="A5378" t="inlineStr">
        <is>
          <t>A 36554-2022</t>
        </is>
      </c>
      <c r="B5378" s="1" t="n">
        <v>44804</v>
      </c>
      <c r="C5378" s="1" t="n">
        <v>45212</v>
      </c>
      <c r="D5378" t="inlineStr">
        <is>
          <t>VÄSTERNORRLANDS LÄN</t>
        </is>
      </c>
      <c r="E5378" t="inlineStr">
        <is>
          <t>ÖRNSKÖLDSVIK</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36596-2022</t>
        </is>
      </c>
      <c r="B5379" s="1" t="n">
        <v>44804</v>
      </c>
      <c r="C5379" s="1" t="n">
        <v>45212</v>
      </c>
      <c r="D5379" t="inlineStr">
        <is>
          <t>VÄSTERNORRLANDS LÄN</t>
        </is>
      </c>
      <c r="E5379" t="inlineStr">
        <is>
          <t>KRAMFORS</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36671-2022</t>
        </is>
      </c>
      <c r="B5380" s="1" t="n">
        <v>44804</v>
      </c>
      <c r="C5380" s="1" t="n">
        <v>45212</v>
      </c>
      <c r="D5380" t="inlineStr">
        <is>
          <t>VÄSTERNORRLANDS LÄN</t>
        </is>
      </c>
      <c r="E5380" t="inlineStr">
        <is>
          <t>KRAMFORS</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36936-2022</t>
        </is>
      </c>
      <c r="B5381" s="1" t="n">
        <v>44805</v>
      </c>
      <c r="C5381" s="1" t="n">
        <v>45212</v>
      </c>
      <c r="D5381" t="inlineStr">
        <is>
          <t>VÄSTERNORRLANDS LÄN</t>
        </is>
      </c>
      <c r="E5381" t="inlineStr">
        <is>
          <t>ÅNGE</t>
        </is>
      </c>
      <c r="F5381" t="inlineStr">
        <is>
          <t>SCA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36924-2022</t>
        </is>
      </c>
      <c r="B5382" s="1" t="n">
        <v>44805</v>
      </c>
      <c r="C5382" s="1" t="n">
        <v>45212</v>
      </c>
      <c r="D5382" t="inlineStr">
        <is>
          <t>VÄSTERNORRLANDS LÄN</t>
        </is>
      </c>
      <c r="E5382" t="inlineStr">
        <is>
          <t>ÅNGE</t>
        </is>
      </c>
      <c r="F5382" t="inlineStr">
        <is>
          <t>SCA</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36796-2022</t>
        </is>
      </c>
      <c r="B5383" s="1" t="n">
        <v>44805</v>
      </c>
      <c r="C5383" s="1" t="n">
        <v>45212</v>
      </c>
      <c r="D5383" t="inlineStr">
        <is>
          <t>VÄSTERNORRLANDS LÄN</t>
        </is>
      </c>
      <c r="E5383" t="inlineStr">
        <is>
          <t>ÖRNSKÖLDSVIK</t>
        </is>
      </c>
      <c r="F5383" t="inlineStr">
        <is>
          <t>Holmen skog AB</t>
        </is>
      </c>
      <c r="G5383" t="n">
        <v>3.6</v>
      </c>
      <c r="H5383" t="n">
        <v>0</v>
      </c>
      <c r="I5383" t="n">
        <v>0</v>
      </c>
      <c r="J5383" t="n">
        <v>0</v>
      </c>
      <c r="K5383" t="n">
        <v>0</v>
      </c>
      <c r="L5383" t="n">
        <v>0</v>
      </c>
      <c r="M5383" t="n">
        <v>0</v>
      </c>
      <c r="N5383" t="n">
        <v>0</v>
      </c>
      <c r="O5383" t="n">
        <v>0</v>
      </c>
      <c r="P5383" t="n">
        <v>0</v>
      </c>
      <c r="Q5383" t="n">
        <v>0</v>
      </c>
      <c r="R5383" s="2" t="inlineStr"/>
    </row>
    <row r="5384" ht="15" customHeight="1">
      <c r="A5384" t="inlineStr">
        <is>
          <t>A 37083-2022</t>
        </is>
      </c>
      <c r="B5384" s="1" t="n">
        <v>44805</v>
      </c>
      <c r="C5384" s="1" t="n">
        <v>45212</v>
      </c>
      <c r="D5384" t="inlineStr">
        <is>
          <t>VÄSTERNORRLANDS LÄN</t>
        </is>
      </c>
      <c r="E5384" t="inlineStr">
        <is>
          <t>ÖRNSKÖLDSVIK</t>
        </is>
      </c>
      <c r="G5384" t="n">
        <v>10.8</v>
      </c>
      <c r="H5384" t="n">
        <v>0</v>
      </c>
      <c r="I5384" t="n">
        <v>0</v>
      </c>
      <c r="J5384" t="n">
        <v>0</v>
      </c>
      <c r="K5384" t="n">
        <v>0</v>
      </c>
      <c r="L5384" t="n">
        <v>0</v>
      </c>
      <c r="M5384" t="n">
        <v>0</v>
      </c>
      <c r="N5384" t="n">
        <v>0</v>
      </c>
      <c r="O5384" t="n">
        <v>0</v>
      </c>
      <c r="P5384" t="n">
        <v>0</v>
      </c>
      <c r="Q5384" t="n">
        <v>0</v>
      </c>
      <c r="R5384" s="2" t="inlineStr"/>
    </row>
    <row r="5385" ht="15" customHeight="1">
      <c r="A5385" t="inlineStr">
        <is>
          <t>A 37015-2022</t>
        </is>
      </c>
      <c r="B5385" s="1" t="n">
        <v>44806</v>
      </c>
      <c r="C5385" s="1" t="n">
        <v>45212</v>
      </c>
      <c r="D5385" t="inlineStr">
        <is>
          <t>VÄSTERNORRLANDS LÄN</t>
        </is>
      </c>
      <c r="E5385" t="inlineStr">
        <is>
          <t>ÖRNSKÖLDSVIK</t>
        </is>
      </c>
      <c r="F5385" t="inlineStr">
        <is>
          <t>Holmen skog AB</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37054-2022</t>
        </is>
      </c>
      <c r="B5386" s="1" t="n">
        <v>44806</v>
      </c>
      <c r="C5386" s="1" t="n">
        <v>45212</v>
      </c>
      <c r="D5386" t="inlineStr">
        <is>
          <t>VÄSTERNORRLANDS LÄN</t>
        </is>
      </c>
      <c r="E5386" t="inlineStr">
        <is>
          <t>ÖRNSKÖLDSVIK</t>
        </is>
      </c>
      <c r="F5386" t="inlineStr">
        <is>
          <t>Holmen skog AB</t>
        </is>
      </c>
      <c r="G5386" t="n">
        <v>5.1</v>
      </c>
      <c r="H5386" t="n">
        <v>0</v>
      </c>
      <c r="I5386" t="n">
        <v>0</v>
      </c>
      <c r="J5386" t="n">
        <v>0</v>
      </c>
      <c r="K5386" t="n">
        <v>0</v>
      </c>
      <c r="L5386" t="n">
        <v>0</v>
      </c>
      <c r="M5386" t="n">
        <v>0</v>
      </c>
      <c r="N5386" t="n">
        <v>0</v>
      </c>
      <c r="O5386" t="n">
        <v>0</v>
      </c>
      <c r="P5386" t="n">
        <v>0</v>
      </c>
      <c r="Q5386" t="n">
        <v>0</v>
      </c>
      <c r="R5386" s="2" t="inlineStr"/>
    </row>
    <row r="5387" ht="15" customHeight="1">
      <c r="A5387" t="inlineStr">
        <is>
          <t>A 37190-2022</t>
        </is>
      </c>
      <c r="B5387" s="1" t="n">
        <v>44806</v>
      </c>
      <c r="C5387" s="1" t="n">
        <v>45212</v>
      </c>
      <c r="D5387" t="inlineStr">
        <is>
          <t>VÄSTERNORRLANDS LÄN</t>
        </is>
      </c>
      <c r="E5387" t="inlineStr">
        <is>
          <t>HÄRNÖSAND</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37225-2022</t>
        </is>
      </c>
      <c r="B5388" s="1" t="n">
        <v>44806</v>
      </c>
      <c r="C5388" s="1" t="n">
        <v>45212</v>
      </c>
      <c r="D5388" t="inlineStr">
        <is>
          <t>VÄSTERNORRLANDS LÄN</t>
        </is>
      </c>
      <c r="E5388" t="inlineStr">
        <is>
          <t>SUNDSVALL</t>
        </is>
      </c>
      <c r="F5388" t="inlineStr">
        <is>
          <t>SCA</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37238-2022</t>
        </is>
      </c>
      <c r="B5389" s="1" t="n">
        <v>44806</v>
      </c>
      <c r="C5389" s="1" t="n">
        <v>45212</v>
      </c>
      <c r="D5389" t="inlineStr">
        <is>
          <t>VÄSTERNORRLANDS LÄN</t>
        </is>
      </c>
      <c r="E5389" t="inlineStr">
        <is>
          <t>SUNDSVALL</t>
        </is>
      </c>
      <c r="F5389" t="inlineStr">
        <is>
          <t>SCA</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37149-2022</t>
        </is>
      </c>
      <c r="B5390" s="1" t="n">
        <v>44806</v>
      </c>
      <c r="C5390" s="1" t="n">
        <v>45212</v>
      </c>
      <c r="D5390" t="inlineStr">
        <is>
          <t>VÄSTERNORRLANDS LÄN</t>
        </is>
      </c>
      <c r="E5390" t="inlineStr">
        <is>
          <t>HÄRNÖSAND</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37240-2022</t>
        </is>
      </c>
      <c r="B5391" s="1" t="n">
        <v>44806</v>
      </c>
      <c r="C5391" s="1" t="n">
        <v>45212</v>
      </c>
      <c r="D5391" t="inlineStr">
        <is>
          <t>VÄSTERNORRLANDS LÄN</t>
        </is>
      </c>
      <c r="E5391" t="inlineStr">
        <is>
          <t>SUNDSVALL</t>
        </is>
      </c>
      <c r="F5391" t="inlineStr">
        <is>
          <t>SCA</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36998-2022</t>
        </is>
      </c>
      <c r="B5392" s="1" t="n">
        <v>44806</v>
      </c>
      <c r="C5392" s="1" t="n">
        <v>45212</v>
      </c>
      <c r="D5392" t="inlineStr">
        <is>
          <t>VÄSTERNORRLANDS LÄN</t>
        </is>
      </c>
      <c r="E5392" t="inlineStr">
        <is>
          <t>ÖRNSKÖLDSVIK</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37172-2022</t>
        </is>
      </c>
      <c r="B5393" s="1" t="n">
        <v>44806</v>
      </c>
      <c r="C5393" s="1" t="n">
        <v>45212</v>
      </c>
      <c r="D5393" t="inlineStr">
        <is>
          <t>VÄSTERNORRLANDS LÄN</t>
        </is>
      </c>
      <c r="E5393" t="inlineStr">
        <is>
          <t>HÄRNÖSAND</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37541-2022</t>
        </is>
      </c>
      <c r="B5394" s="1" t="n">
        <v>44809</v>
      </c>
      <c r="C5394" s="1" t="n">
        <v>45212</v>
      </c>
      <c r="D5394" t="inlineStr">
        <is>
          <t>VÄSTERNORRLANDS LÄN</t>
        </is>
      </c>
      <c r="E5394" t="inlineStr">
        <is>
          <t>SUNDSVALL</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37596-2022</t>
        </is>
      </c>
      <c r="B5395" s="1" t="n">
        <v>44810</v>
      </c>
      <c r="C5395" s="1" t="n">
        <v>45212</v>
      </c>
      <c r="D5395" t="inlineStr">
        <is>
          <t>VÄSTERNORRLANDS LÄN</t>
        </is>
      </c>
      <c r="E5395" t="inlineStr">
        <is>
          <t>SOLLEFTEÅ</t>
        </is>
      </c>
      <c r="F5395" t="inlineStr">
        <is>
          <t>Holmen skog AB</t>
        </is>
      </c>
      <c r="G5395" t="n">
        <v>2.6</v>
      </c>
      <c r="H5395" t="n">
        <v>0</v>
      </c>
      <c r="I5395" t="n">
        <v>0</v>
      </c>
      <c r="J5395" t="n">
        <v>0</v>
      </c>
      <c r="K5395" t="n">
        <v>0</v>
      </c>
      <c r="L5395" t="n">
        <v>0</v>
      </c>
      <c r="M5395" t="n">
        <v>0</v>
      </c>
      <c r="N5395" t="n">
        <v>0</v>
      </c>
      <c r="O5395" t="n">
        <v>0</v>
      </c>
      <c r="P5395" t="n">
        <v>0</v>
      </c>
      <c r="Q5395" t="n">
        <v>0</v>
      </c>
      <c r="R5395" s="2" t="inlineStr"/>
    </row>
    <row r="5396" ht="15" customHeight="1">
      <c r="A5396" t="inlineStr">
        <is>
          <t>A 37840-2022</t>
        </is>
      </c>
      <c r="B5396" s="1" t="n">
        <v>44810</v>
      </c>
      <c r="C5396" s="1" t="n">
        <v>45212</v>
      </c>
      <c r="D5396" t="inlineStr">
        <is>
          <t>VÄSTERNORRLANDS LÄN</t>
        </is>
      </c>
      <c r="E5396" t="inlineStr">
        <is>
          <t>SOLLEFTEÅ</t>
        </is>
      </c>
      <c r="F5396" t="inlineStr">
        <is>
          <t>SCA</t>
        </is>
      </c>
      <c r="G5396" t="n">
        <v>2.1</v>
      </c>
      <c r="H5396" t="n">
        <v>0</v>
      </c>
      <c r="I5396" t="n">
        <v>0</v>
      </c>
      <c r="J5396" t="n">
        <v>0</v>
      </c>
      <c r="K5396" t="n">
        <v>0</v>
      </c>
      <c r="L5396" t="n">
        <v>0</v>
      </c>
      <c r="M5396" t="n">
        <v>0</v>
      </c>
      <c r="N5396" t="n">
        <v>0</v>
      </c>
      <c r="O5396" t="n">
        <v>0</v>
      </c>
      <c r="P5396" t="n">
        <v>0</v>
      </c>
      <c r="Q5396" t="n">
        <v>0</v>
      </c>
      <c r="R5396" s="2" t="inlineStr"/>
    </row>
    <row r="5397" ht="15" customHeight="1">
      <c r="A5397" t="inlineStr">
        <is>
          <t>A 37597-2022</t>
        </is>
      </c>
      <c r="B5397" s="1" t="n">
        <v>44810</v>
      </c>
      <c r="C5397" s="1" t="n">
        <v>45212</v>
      </c>
      <c r="D5397" t="inlineStr">
        <is>
          <t>VÄSTERNORRLANDS LÄN</t>
        </is>
      </c>
      <c r="E5397" t="inlineStr">
        <is>
          <t>SOLLEFTEÅ</t>
        </is>
      </c>
      <c r="F5397" t="inlineStr">
        <is>
          <t>Holmen skog AB</t>
        </is>
      </c>
      <c r="G5397" t="n">
        <v>2.3</v>
      </c>
      <c r="H5397" t="n">
        <v>0</v>
      </c>
      <c r="I5397" t="n">
        <v>0</v>
      </c>
      <c r="J5397" t="n">
        <v>0</v>
      </c>
      <c r="K5397" t="n">
        <v>0</v>
      </c>
      <c r="L5397" t="n">
        <v>0</v>
      </c>
      <c r="M5397" t="n">
        <v>0</v>
      </c>
      <c r="N5397" t="n">
        <v>0</v>
      </c>
      <c r="O5397" t="n">
        <v>0</v>
      </c>
      <c r="P5397" t="n">
        <v>0</v>
      </c>
      <c r="Q5397" t="n">
        <v>0</v>
      </c>
      <c r="R5397" s="2" t="inlineStr"/>
    </row>
    <row r="5398" ht="15" customHeight="1">
      <c r="A5398" t="inlineStr">
        <is>
          <t>A 37619-2022</t>
        </is>
      </c>
      <c r="B5398" s="1" t="n">
        <v>44810</v>
      </c>
      <c r="C5398" s="1" t="n">
        <v>45212</v>
      </c>
      <c r="D5398" t="inlineStr">
        <is>
          <t>VÄSTERNORRLANDS LÄN</t>
        </is>
      </c>
      <c r="E5398" t="inlineStr">
        <is>
          <t>ÖRNSKÖLDSVIK</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37716-2022</t>
        </is>
      </c>
      <c r="B5399" s="1" t="n">
        <v>44810</v>
      </c>
      <c r="C5399" s="1" t="n">
        <v>45212</v>
      </c>
      <c r="D5399" t="inlineStr">
        <is>
          <t>VÄSTERNORRLANDS LÄN</t>
        </is>
      </c>
      <c r="E5399" t="inlineStr">
        <is>
          <t>ÖRNSKÖLDSVIK</t>
        </is>
      </c>
      <c r="G5399" t="n">
        <v>2.4</v>
      </c>
      <c r="H5399" t="n">
        <v>0</v>
      </c>
      <c r="I5399" t="n">
        <v>0</v>
      </c>
      <c r="J5399" t="n">
        <v>0</v>
      </c>
      <c r="K5399" t="n">
        <v>0</v>
      </c>
      <c r="L5399" t="n">
        <v>0</v>
      </c>
      <c r="M5399" t="n">
        <v>0</v>
      </c>
      <c r="N5399" t="n">
        <v>0</v>
      </c>
      <c r="O5399" t="n">
        <v>0</v>
      </c>
      <c r="P5399" t="n">
        <v>0</v>
      </c>
      <c r="Q5399" t="n">
        <v>0</v>
      </c>
      <c r="R5399" s="2" t="inlineStr"/>
    </row>
    <row r="5400" ht="15" customHeight="1">
      <c r="A5400" t="inlineStr">
        <is>
          <t>A 37787-2022</t>
        </is>
      </c>
      <c r="B5400" s="1" t="n">
        <v>44810</v>
      </c>
      <c r="C5400" s="1" t="n">
        <v>45212</v>
      </c>
      <c r="D5400" t="inlineStr">
        <is>
          <t>VÄSTERNORRLANDS LÄN</t>
        </is>
      </c>
      <c r="E5400" t="inlineStr">
        <is>
          <t>ÖRNSKÖLDSVIK</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37835-2022</t>
        </is>
      </c>
      <c r="B5401" s="1" t="n">
        <v>44810</v>
      </c>
      <c r="C5401" s="1" t="n">
        <v>45212</v>
      </c>
      <c r="D5401" t="inlineStr">
        <is>
          <t>VÄSTERNORRLANDS LÄN</t>
        </is>
      </c>
      <c r="E5401" t="inlineStr">
        <is>
          <t>SOLLEFTEÅ</t>
        </is>
      </c>
      <c r="F5401" t="inlineStr">
        <is>
          <t>SCA</t>
        </is>
      </c>
      <c r="G5401" t="n">
        <v>8.5</v>
      </c>
      <c r="H5401" t="n">
        <v>0</v>
      </c>
      <c r="I5401" t="n">
        <v>0</v>
      </c>
      <c r="J5401" t="n">
        <v>0</v>
      </c>
      <c r="K5401" t="n">
        <v>0</v>
      </c>
      <c r="L5401" t="n">
        <v>0</v>
      </c>
      <c r="M5401" t="n">
        <v>0</v>
      </c>
      <c r="N5401" t="n">
        <v>0</v>
      </c>
      <c r="O5401" t="n">
        <v>0</v>
      </c>
      <c r="P5401" t="n">
        <v>0</v>
      </c>
      <c r="Q5401" t="n">
        <v>0</v>
      </c>
      <c r="R5401" s="2" t="inlineStr"/>
    </row>
    <row r="5402" ht="15" customHeight="1">
      <c r="A5402" t="inlineStr">
        <is>
          <t>A 37839-2022</t>
        </is>
      </c>
      <c r="B5402" s="1" t="n">
        <v>44810</v>
      </c>
      <c r="C5402" s="1" t="n">
        <v>45212</v>
      </c>
      <c r="D5402" t="inlineStr">
        <is>
          <t>VÄSTERNORRLANDS LÄN</t>
        </is>
      </c>
      <c r="E5402" t="inlineStr">
        <is>
          <t>SUNDSVALL</t>
        </is>
      </c>
      <c r="F5402" t="inlineStr">
        <is>
          <t>SCA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37954-2022</t>
        </is>
      </c>
      <c r="B5403" s="1" t="n">
        <v>44811</v>
      </c>
      <c r="C5403" s="1" t="n">
        <v>45212</v>
      </c>
      <c r="D5403" t="inlineStr">
        <is>
          <t>VÄSTERNORRLANDS LÄN</t>
        </is>
      </c>
      <c r="E5403" t="inlineStr">
        <is>
          <t>ÖRNSKÖLDSVIK</t>
        </is>
      </c>
      <c r="F5403" t="inlineStr">
        <is>
          <t>Holmen skog AB</t>
        </is>
      </c>
      <c r="G5403" t="n">
        <v>5.2</v>
      </c>
      <c r="H5403" t="n">
        <v>0</v>
      </c>
      <c r="I5403" t="n">
        <v>0</v>
      </c>
      <c r="J5403" t="n">
        <v>0</v>
      </c>
      <c r="K5403" t="n">
        <v>0</v>
      </c>
      <c r="L5403" t="n">
        <v>0</v>
      </c>
      <c r="M5403" t="n">
        <v>0</v>
      </c>
      <c r="N5403" t="n">
        <v>0</v>
      </c>
      <c r="O5403" t="n">
        <v>0</v>
      </c>
      <c r="P5403" t="n">
        <v>0</v>
      </c>
      <c r="Q5403" t="n">
        <v>0</v>
      </c>
      <c r="R5403" s="2" t="inlineStr"/>
    </row>
    <row r="5404" ht="15" customHeight="1">
      <c r="A5404" t="inlineStr">
        <is>
          <t>A 37977-2022</t>
        </is>
      </c>
      <c r="B5404" s="1" t="n">
        <v>44811</v>
      </c>
      <c r="C5404" s="1" t="n">
        <v>45212</v>
      </c>
      <c r="D5404" t="inlineStr">
        <is>
          <t>VÄSTERNORRLANDS LÄN</t>
        </is>
      </c>
      <c r="E5404" t="inlineStr">
        <is>
          <t>SOLLEFTEÅ</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38095-2022</t>
        </is>
      </c>
      <c r="B5405" s="1" t="n">
        <v>44811</v>
      </c>
      <c r="C5405" s="1" t="n">
        <v>45212</v>
      </c>
      <c r="D5405" t="inlineStr">
        <is>
          <t>VÄSTERNORRLANDS LÄN</t>
        </is>
      </c>
      <c r="E5405" t="inlineStr">
        <is>
          <t>SOLLEFTEÅ</t>
        </is>
      </c>
      <c r="F5405" t="inlineStr">
        <is>
          <t>SCA</t>
        </is>
      </c>
      <c r="G5405" t="n">
        <v>4.4</v>
      </c>
      <c r="H5405" t="n">
        <v>0</v>
      </c>
      <c r="I5405" t="n">
        <v>0</v>
      </c>
      <c r="J5405" t="n">
        <v>0</v>
      </c>
      <c r="K5405" t="n">
        <v>0</v>
      </c>
      <c r="L5405" t="n">
        <v>0</v>
      </c>
      <c r="M5405" t="n">
        <v>0</v>
      </c>
      <c r="N5405" t="n">
        <v>0</v>
      </c>
      <c r="O5405" t="n">
        <v>0</v>
      </c>
      <c r="P5405" t="n">
        <v>0</v>
      </c>
      <c r="Q5405" t="n">
        <v>0</v>
      </c>
      <c r="R5405" s="2" t="inlineStr"/>
    </row>
    <row r="5406" ht="15" customHeight="1">
      <c r="A5406" t="inlineStr">
        <is>
          <t>A 38116-2022</t>
        </is>
      </c>
      <c r="B5406" s="1" t="n">
        <v>44811</v>
      </c>
      <c r="C5406" s="1" t="n">
        <v>45212</v>
      </c>
      <c r="D5406" t="inlineStr">
        <is>
          <t>VÄSTERNORRLANDS LÄN</t>
        </is>
      </c>
      <c r="E5406" t="inlineStr">
        <is>
          <t>ÖRNSKÖLDSVIK</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37987-2022</t>
        </is>
      </c>
      <c r="B5407" s="1" t="n">
        <v>44811</v>
      </c>
      <c r="C5407" s="1" t="n">
        <v>45212</v>
      </c>
      <c r="D5407" t="inlineStr">
        <is>
          <t>VÄSTERNORRLANDS LÄN</t>
        </is>
      </c>
      <c r="E5407" t="inlineStr">
        <is>
          <t>KRAMFORS</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38117-2022</t>
        </is>
      </c>
      <c r="B5408" s="1" t="n">
        <v>44811</v>
      </c>
      <c r="C5408" s="1" t="n">
        <v>45212</v>
      </c>
      <c r="D5408" t="inlineStr">
        <is>
          <t>VÄSTERNORRLANDS LÄN</t>
        </is>
      </c>
      <c r="E5408" t="inlineStr">
        <is>
          <t>ÖRNSKÖLDSVIK</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37891-2022</t>
        </is>
      </c>
      <c r="B5409" s="1" t="n">
        <v>44811</v>
      </c>
      <c r="C5409" s="1" t="n">
        <v>45212</v>
      </c>
      <c r="D5409" t="inlineStr">
        <is>
          <t>VÄSTERNORRLANDS LÄN</t>
        </is>
      </c>
      <c r="E5409" t="inlineStr">
        <is>
          <t>ÖRNSKÖLDSVIK</t>
        </is>
      </c>
      <c r="F5409" t="inlineStr">
        <is>
          <t>Holmen skog AB</t>
        </is>
      </c>
      <c r="G5409" t="n">
        <v>2.2</v>
      </c>
      <c r="H5409" t="n">
        <v>0</v>
      </c>
      <c r="I5409" t="n">
        <v>0</v>
      </c>
      <c r="J5409" t="n">
        <v>0</v>
      </c>
      <c r="K5409" t="n">
        <v>0</v>
      </c>
      <c r="L5409" t="n">
        <v>0</v>
      </c>
      <c r="M5409" t="n">
        <v>0</v>
      </c>
      <c r="N5409" t="n">
        <v>0</v>
      </c>
      <c r="O5409" t="n">
        <v>0</v>
      </c>
      <c r="P5409" t="n">
        <v>0</v>
      </c>
      <c r="Q5409" t="n">
        <v>0</v>
      </c>
      <c r="R5409" s="2" t="inlineStr"/>
    </row>
    <row r="5410" ht="15" customHeight="1">
      <c r="A5410" t="inlineStr">
        <is>
          <t>A 37914-2022</t>
        </is>
      </c>
      <c r="B5410" s="1" t="n">
        <v>44811</v>
      </c>
      <c r="C5410" s="1" t="n">
        <v>45212</v>
      </c>
      <c r="D5410" t="inlineStr">
        <is>
          <t>VÄSTERNORRLANDS LÄN</t>
        </is>
      </c>
      <c r="E5410" t="inlineStr">
        <is>
          <t>ÖRNSKÖLDSVIK</t>
        </is>
      </c>
      <c r="F5410" t="inlineStr">
        <is>
          <t>Holmen skog AB</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38102-2022</t>
        </is>
      </c>
      <c r="B5411" s="1" t="n">
        <v>44811</v>
      </c>
      <c r="C5411" s="1" t="n">
        <v>45212</v>
      </c>
      <c r="D5411" t="inlineStr">
        <is>
          <t>VÄSTERNORRLANDS LÄN</t>
        </is>
      </c>
      <c r="E5411" t="inlineStr">
        <is>
          <t>SOLLEFTEÅ</t>
        </is>
      </c>
      <c r="F5411" t="inlineStr">
        <is>
          <t>SCA</t>
        </is>
      </c>
      <c r="G5411" t="n">
        <v>4.9</v>
      </c>
      <c r="H5411" t="n">
        <v>0</v>
      </c>
      <c r="I5411" t="n">
        <v>0</v>
      </c>
      <c r="J5411" t="n">
        <v>0</v>
      </c>
      <c r="K5411" t="n">
        <v>0</v>
      </c>
      <c r="L5411" t="n">
        <v>0</v>
      </c>
      <c r="M5411" t="n">
        <v>0</v>
      </c>
      <c r="N5411" t="n">
        <v>0</v>
      </c>
      <c r="O5411" t="n">
        <v>0</v>
      </c>
      <c r="P5411" t="n">
        <v>0</v>
      </c>
      <c r="Q5411" t="n">
        <v>0</v>
      </c>
      <c r="R5411" s="2" t="inlineStr"/>
      <c r="U5411">
        <f>HYPERLINK("https://klasma.github.io/Logging_2283/knärot/A 38102-2022 knärot.png", "A 38102-2022")</f>
        <v/>
      </c>
      <c r="V5411">
        <f>HYPERLINK("https://klasma.github.io/Logging_2283/klagomål/A 38102-2022 klagomål.docx", "A 38102-2022")</f>
        <v/>
      </c>
      <c r="W5411">
        <f>HYPERLINK("https://klasma.github.io/Logging_2283/klagomålsmail/A 38102-2022 klagomålsmail.docx", "A 38102-2022")</f>
        <v/>
      </c>
      <c r="X5411">
        <f>HYPERLINK("https://klasma.github.io/Logging_2283/tillsyn/A 38102-2022 tillsyn.docx", "A 38102-2022")</f>
        <v/>
      </c>
      <c r="Y5411">
        <f>HYPERLINK("https://klasma.github.io/Logging_2283/tillsynsmail/A 38102-2022 tillsynsmail.docx", "A 38102-2022")</f>
        <v/>
      </c>
    </row>
    <row r="5412" ht="15" customHeight="1">
      <c r="A5412" t="inlineStr">
        <is>
          <t>A 38118-2022</t>
        </is>
      </c>
      <c r="B5412" s="1" t="n">
        <v>44811</v>
      </c>
      <c r="C5412" s="1" t="n">
        <v>45212</v>
      </c>
      <c r="D5412" t="inlineStr">
        <is>
          <t>VÄSTERNORRLANDS LÄN</t>
        </is>
      </c>
      <c r="E5412" t="inlineStr">
        <is>
          <t>ÖRNSKÖLDSVIK</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38230-2022</t>
        </is>
      </c>
      <c r="B5413" s="1" t="n">
        <v>44812</v>
      </c>
      <c r="C5413" s="1" t="n">
        <v>45212</v>
      </c>
      <c r="D5413" t="inlineStr">
        <is>
          <t>VÄSTERNORRLANDS LÄN</t>
        </is>
      </c>
      <c r="E5413" t="inlineStr">
        <is>
          <t>SOLLEFTEÅ</t>
        </is>
      </c>
      <c r="F5413" t="inlineStr">
        <is>
          <t>Kommuner</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38428-2022</t>
        </is>
      </c>
      <c r="B5414" s="1" t="n">
        <v>44812</v>
      </c>
      <c r="C5414" s="1" t="n">
        <v>45212</v>
      </c>
      <c r="D5414" t="inlineStr">
        <is>
          <t>VÄSTERNORRLANDS LÄN</t>
        </is>
      </c>
      <c r="E5414" t="inlineStr">
        <is>
          <t>SOLLEFTEÅ</t>
        </is>
      </c>
      <c r="F5414" t="inlineStr">
        <is>
          <t>SCA</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38433-2022</t>
        </is>
      </c>
      <c r="B5415" s="1" t="n">
        <v>44812</v>
      </c>
      <c r="C5415" s="1" t="n">
        <v>45212</v>
      </c>
      <c r="D5415" t="inlineStr">
        <is>
          <t>VÄSTERNORRLANDS LÄN</t>
        </is>
      </c>
      <c r="E5415" t="inlineStr">
        <is>
          <t>SOLLEFTEÅ</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38432-2022</t>
        </is>
      </c>
      <c r="B5416" s="1" t="n">
        <v>44812</v>
      </c>
      <c r="C5416" s="1" t="n">
        <v>45212</v>
      </c>
      <c r="D5416" t="inlineStr">
        <is>
          <t>VÄSTERNORRLANDS LÄN</t>
        </is>
      </c>
      <c r="E5416" t="inlineStr">
        <is>
          <t>SOLLEFTEÅ</t>
        </is>
      </c>
      <c r="G5416" t="n">
        <v>2.9</v>
      </c>
      <c r="H5416" t="n">
        <v>0</v>
      </c>
      <c r="I5416" t="n">
        <v>0</v>
      </c>
      <c r="J5416" t="n">
        <v>0</v>
      </c>
      <c r="K5416" t="n">
        <v>0</v>
      </c>
      <c r="L5416" t="n">
        <v>0</v>
      </c>
      <c r="M5416" t="n">
        <v>0</v>
      </c>
      <c r="N5416" t="n">
        <v>0</v>
      </c>
      <c r="O5416" t="n">
        <v>0</v>
      </c>
      <c r="P5416" t="n">
        <v>0</v>
      </c>
      <c r="Q5416" t="n">
        <v>0</v>
      </c>
      <c r="R5416" s="2" t="inlineStr"/>
    </row>
    <row r="5417" ht="15" customHeight="1">
      <c r="A5417" t="inlineStr">
        <is>
          <t>A 38199-2022</t>
        </is>
      </c>
      <c r="B5417" s="1" t="n">
        <v>44812</v>
      </c>
      <c r="C5417" s="1" t="n">
        <v>45212</v>
      </c>
      <c r="D5417" t="inlineStr">
        <is>
          <t>VÄSTERNORRLANDS LÄN</t>
        </is>
      </c>
      <c r="E5417" t="inlineStr">
        <is>
          <t>KRAMFORS</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38430-2022</t>
        </is>
      </c>
      <c r="B5418" s="1" t="n">
        <v>44812</v>
      </c>
      <c r="C5418" s="1" t="n">
        <v>45212</v>
      </c>
      <c r="D5418" t="inlineStr">
        <is>
          <t>VÄSTERNORRLANDS LÄN</t>
        </is>
      </c>
      <c r="E5418" t="inlineStr">
        <is>
          <t>SOLLEFTEÅ</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39995-2022</t>
        </is>
      </c>
      <c r="B5419" s="1" t="n">
        <v>44812</v>
      </c>
      <c r="C5419" s="1" t="n">
        <v>45212</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38445-2022</t>
        </is>
      </c>
      <c r="B5420" s="1" t="n">
        <v>44813</v>
      </c>
      <c r="C5420" s="1" t="n">
        <v>45212</v>
      </c>
      <c r="D5420" t="inlineStr">
        <is>
          <t>VÄSTERNORRLANDS LÄN</t>
        </is>
      </c>
      <c r="E5420" t="inlineStr">
        <is>
          <t>TIMRÅ</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38665-2022</t>
        </is>
      </c>
      <c r="B5421" s="1" t="n">
        <v>44813</v>
      </c>
      <c r="C5421" s="1" t="n">
        <v>45212</v>
      </c>
      <c r="D5421" t="inlineStr">
        <is>
          <t>VÄSTERNORRLANDS LÄN</t>
        </is>
      </c>
      <c r="E5421" t="inlineStr">
        <is>
          <t>SUNDSVALL</t>
        </is>
      </c>
      <c r="F5421" t="inlineStr">
        <is>
          <t>SCA</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38536-2022</t>
        </is>
      </c>
      <c r="B5422" s="1" t="n">
        <v>44813</v>
      </c>
      <c r="C5422" s="1" t="n">
        <v>45212</v>
      </c>
      <c r="D5422" t="inlineStr">
        <is>
          <t>VÄSTERNORRLANDS LÄN</t>
        </is>
      </c>
      <c r="E5422" t="inlineStr">
        <is>
          <t>KRAMFORS</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38623-2022</t>
        </is>
      </c>
      <c r="B5423" s="1" t="n">
        <v>44813</v>
      </c>
      <c r="C5423" s="1" t="n">
        <v>45212</v>
      </c>
      <c r="D5423" t="inlineStr">
        <is>
          <t>VÄSTERNORRLANDS LÄN</t>
        </is>
      </c>
      <c r="E5423" t="inlineStr">
        <is>
          <t>KRAMFORS</t>
        </is>
      </c>
      <c r="G5423" t="n">
        <v>78.7</v>
      </c>
      <c r="H5423" t="n">
        <v>0</v>
      </c>
      <c r="I5423" t="n">
        <v>0</v>
      </c>
      <c r="J5423" t="n">
        <v>0</v>
      </c>
      <c r="K5423" t="n">
        <v>0</v>
      </c>
      <c r="L5423" t="n">
        <v>0</v>
      </c>
      <c r="M5423" t="n">
        <v>0</v>
      </c>
      <c r="N5423" t="n">
        <v>0</v>
      </c>
      <c r="O5423" t="n">
        <v>0</v>
      </c>
      <c r="P5423" t="n">
        <v>0</v>
      </c>
      <c r="Q5423" t="n">
        <v>0</v>
      </c>
      <c r="R5423" s="2" t="inlineStr"/>
    </row>
    <row r="5424" ht="15" customHeight="1">
      <c r="A5424" t="inlineStr">
        <is>
          <t>A 38680-2022</t>
        </is>
      </c>
      <c r="B5424" s="1" t="n">
        <v>44813</v>
      </c>
      <c r="C5424" s="1" t="n">
        <v>45212</v>
      </c>
      <c r="D5424" t="inlineStr">
        <is>
          <t>VÄSTERNORRLANDS LÄN</t>
        </is>
      </c>
      <c r="E5424" t="inlineStr">
        <is>
          <t>ÅNGE</t>
        </is>
      </c>
      <c r="F5424" t="inlineStr">
        <is>
          <t>SCA</t>
        </is>
      </c>
      <c r="G5424" t="n">
        <v>12.3</v>
      </c>
      <c r="H5424" t="n">
        <v>0</v>
      </c>
      <c r="I5424" t="n">
        <v>0</v>
      </c>
      <c r="J5424" t="n">
        <v>0</v>
      </c>
      <c r="K5424" t="n">
        <v>0</v>
      </c>
      <c r="L5424" t="n">
        <v>0</v>
      </c>
      <c r="M5424" t="n">
        <v>0</v>
      </c>
      <c r="N5424" t="n">
        <v>0</v>
      </c>
      <c r="O5424" t="n">
        <v>0</v>
      </c>
      <c r="P5424" t="n">
        <v>0</v>
      </c>
      <c r="Q5424" t="n">
        <v>0</v>
      </c>
      <c r="R5424" s="2" t="inlineStr"/>
    </row>
    <row r="5425" ht="15" customHeight="1">
      <c r="A5425" t="inlineStr">
        <is>
          <t>A 38679-2022</t>
        </is>
      </c>
      <c r="B5425" s="1" t="n">
        <v>44813</v>
      </c>
      <c r="C5425" s="1" t="n">
        <v>45212</v>
      </c>
      <c r="D5425" t="inlineStr">
        <is>
          <t>VÄSTERNORRLANDS LÄN</t>
        </is>
      </c>
      <c r="E5425" t="inlineStr">
        <is>
          <t>ÅNGE</t>
        </is>
      </c>
      <c r="F5425" t="inlineStr">
        <is>
          <t>SCA</t>
        </is>
      </c>
      <c r="G5425" t="n">
        <v>5.7</v>
      </c>
      <c r="H5425" t="n">
        <v>0</v>
      </c>
      <c r="I5425" t="n">
        <v>0</v>
      </c>
      <c r="J5425" t="n">
        <v>0</v>
      </c>
      <c r="K5425" t="n">
        <v>0</v>
      </c>
      <c r="L5425" t="n">
        <v>0</v>
      </c>
      <c r="M5425" t="n">
        <v>0</v>
      </c>
      <c r="N5425" t="n">
        <v>0</v>
      </c>
      <c r="O5425" t="n">
        <v>0</v>
      </c>
      <c r="P5425" t="n">
        <v>0</v>
      </c>
      <c r="Q5425" t="n">
        <v>0</v>
      </c>
      <c r="R5425" s="2" t="inlineStr"/>
    </row>
    <row r="5426" ht="15" customHeight="1">
      <c r="A5426" t="inlineStr">
        <is>
          <t>A 38776-2022</t>
        </is>
      </c>
      <c r="B5426" s="1" t="n">
        <v>44816</v>
      </c>
      <c r="C5426" s="1" t="n">
        <v>45212</v>
      </c>
      <c r="D5426" t="inlineStr">
        <is>
          <t>VÄSTERNORRLANDS LÄN</t>
        </is>
      </c>
      <c r="E5426" t="inlineStr">
        <is>
          <t>KRAMFORS</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38821-2022</t>
        </is>
      </c>
      <c r="B5427" s="1" t="n">
        <v>44816</v>
      </c>
      <c r="C5427" s="1" t="n">
        <v>45212</v>
      </c>
      <c r="D5427" t="inlineStr">
        <is>
          <t>VÄSTERNORRLANDS LÄN</t>
        </is>
      </c>
      <c r="E5427" t="inlineStr">
        <is>
          <t>ÖRNSKÖLDSVIK</t>
        </is>
      </c>
      <c r="F5427" t="inlineStr">
        <is>
          <t>Holmen skog AB</t>
        </is>
      </c>
      <c r="G5427" t="n">
        <v>13.7</v>
      </c>
      <c r="H5427" t="n">
        <v>0</v>
      </c>
      <c r="I5427" t="n">
        <v>0</v>
      </c>
      <c r="J5427" t="n">
        <v>0</v>
      </c>
      <c r="K5427" t="n">
        <v>0</v>
      </c>
      <c r="L5427" t="n">
        <v>0</v>
      </c>
      <c r="M5427" t="n">
        <v>0</v>
      </c>
      <c r="N5427" t="n">
        <v>0</v>
      </c>
      <c r="O5427" t="n">
        <v>0</v>
      </c>
      <c r="P5427" t="n">
        <v>0</v>
      </c>
      <c r="Q5427" t="n">
        <v>0</v>
      </c>
      <c r="R5427" s="2" t="inlineStr"/>
    </row>
    <row r="5428" ht="15" customHeight="1">
      <c r="A5428" t="inlineStr">
        <is>
          <t>A 38933-2022</t>
        </is>
      </c>
      <c r="B5428" s="1" t="n">
        <v>44816</v>
      </c>
      <c r="C5428" s="1" t="n">
        <v>45212</v>
      </c>
      <c r="D5428" t="inlineStr">
        <is>
          <t>VÄSTERNORRLANDS LÄN</t>
        </is>
      </c>
      <c r="E5428" t="inlineStr">
        <is>
          <t>ÖRNSKÖLDSVIK</t>
        </is>
      </c>
      <c r="F5428" t="inlineStr">
        <is>
          <t>Holmen skog AB</t>
        </is>
      </c>
      <c r="G5428" t="n">
        <v>3.4</v>
      </c>
      <c r="H5428" t="n">
        <v>0</v>
      </c>
      <c r="I5428" t="n">
        <v>0</v>
      </c>
      <c r="J5428" t="n">
        <v>0</v>
      </c>
      <c r="K5428" t="n">
        <v>0</v>
      </c>
      <c r="L5428" t="n">
        <v>0</v>
      </c>
      <c r="M5428" t="n">
        <v>0</v>
      </c>
      <c r="N5428" t="n">
        <v>0</v>
      </c>
      <c r="O5428" t="n">
        <v>0</v>
      </c>
      <c r="P5428" t="n">
        <v>0</v>
      </c>
      <c r="Q5428" t="n">
        <v>0</v>
      </c>
      <c r="R5428" s="2" t="inlineStr"/>
    </row>
    <row r="5429" ht="15" customHeight="1">
      <c r="A5429" t="inlineStr">
        <is>
          <t>A 38756-2022</t>
        </is>
      </c>
      <c r="B5429" s="1" t="n">
        <v>44816</v>
      </c>
      <c r="C5429" s="1" t="n">
        <v>45212</v>
      </c>
      <c r="D5429" t="inlineStr">
        <is>
          <t>VÄSTERNORRLANDS LÄN</t>
        </is>
      </c>
      <c r="E5429" t="inlineStr">
        <is>
          <t>ÖRNSKÖLDSVIK</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38777-2022</t>
        </is>
      </c>
      <c r="B5430" s="1" t="n">
        <v>44816</v>
      </c>
      <c r="C5430" s="1" t="n">
        <v>45212</v>
      </c>
      <c r="D5430" t="inlineStr">
        <is>
          <t>VÄSTERNORRLANDS LÄN</t>
        </is>
      </c>
      <c r="E5430" t="inlineStr">
        <is>
          <t>KRAMFORS</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38830-2022</t>
        </is>
      </c>
      <c r="B5431" s="1" t="n">
        <v>44816</v>
      </c>
      <c r="C5431" s="1" t="n">
        <v>45212</v>
      </c>
      <c r="D5431" t="inlineStr">
        <is>
          <t>VÄSTERNORRLANDS LÄN</t>
        </is>
      </c>
      <c r="E5431" t="inlineStr">
        <is>
          <t>HÄRNÖSAND</t>
        </is>
      </c>
      <c r="G5431" t="n">
        <v>10.8</v>
      </c>
      <c r="H5431" t="n">
        <v>0</v>
      </c>
      <c r="I5431" t="n">
        <v>0</v>
      </c>
      <c r="J5431" t="n">
        <v>0</v>
      </c>
      <c r="K5431" t="n">
        <v>0</v>
      </c>
      <c r="L5431" t="n">
        <v>0</v>
      </c>
      <c r="M5431" t="n">
        <v>0</v>
      </c>
      <c r="N5431" t="n">
        <v>0</v>
      </c>
      <c r="O5431" t="n">
        <v>0</v>
      </c>
      <c r="P5431" t="n">
        <v>0</v>
      </c>
      <c r="Q5431" t="n">
        <v>0</v>
      </c>
      <c r="R5431" s="2" t="inlineStr"/>
    </row>
    <row r="5432" ht="15" customHeight="1">
      <c r="A5432" t="inlineStr">
        <is>
          <t>A 38888-2022</t>
        </is>
      </c>
      <c r="B5432" s="1" t="n">
        <v>44816</v>
      </c>
      <c r="C5432" s="1" t="n">
        <v>45212</v>
      </c>
      <c r="D5432" t="inlineStr">
        <is>
          <t>VÄSTERNORRLANDS LÄN</t>
        </is>
      </c>
      <c r="E5432" t="inlineStr">
        <is>
          <t>SUNDSVALL</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38923-2022</t>
        </is>
      </c>
      <c r="B5433" s="1" t="n">
        <v>44816</v>
      </c>
      <c r="C5433" s="1" t="n">
        <v>45212</v>
      </c>
      <c r="D5433" t="inlineStr">
        <is>
          <t>VÄSTERNORRLANDS LÄN</t>
        </is>
      </c>
      <c r="E5433" t="inlineStr">
        <is>
          <t>ÖRNSKÖLDSVIK</t>
        </is>
      </c>
      <c r="F5433" t="inlineStr">
        <is>
          <t>Holmen skog AB</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39012-2022</t>
        </is>
      </c>
      <c r="B5434" s="1" t="n">
        <v>44816</v>
      </c>
      <c r="C5434" s="1" t="n">
        <v>45212</v>
      </c>
      <c r="D5434" t="inlineStr">
        <is>
          <t>VÄSTERNORRLANDS LÄN</t>
        </is>
      </c>
      <c r="E5434" t="inlineStr">
        <is>
          <t>SOLLEFTEÅ</t>
        </is>
      </c>
      <c r="F5434" t="inlineStr">
        <is>
          <t>SCA</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38774-2022</t>
        </is>
      </c>
      <c r="B5435" s="1" t="n">
        <v>44816</v>
      </c>
      <c r="C5435" s="1" t="n">
        <v>45212</v>
      </c>
      <c r="D5435" t="inlineStr">
        <is>
          <t>VÄSTERNORRLANDS LÄN</t>
        </is>
      </c>
      <c r="E5435" t="inlineStr">
        <is>
          <t>SUNDSVALL</t>
        </is>
      </c>
      <c r="G5435" t="n">
        <v>3.6</v>
      </c>
      <c r="H5435" t="n">
        <v>0</v>
      </c>
      <c r="I5435" t="n">
        <v>0</v>
      </c>
      <c r="J5435" t="n">
        <v>0</v>
      </c>
      <c r="K5435" t="n">
        <v>0</v>
      </c>
      <c r="L5435" t="n">
        <v>0</v>
      </c>
      <c r="M5435" t="n">
        <v>0</v>
      </c>
      <c r="N5435" t="n">
        <v>0</v>
      </c>
      <c r="O5435" t="n">
        <v>0</v>
      </c>
      <c r="P5435" t="n">
        <v>0</v>
      </c>
      <c r="Q5435" t="n">
        <v>0</v>
      </c>
      <c r="R5435" s="2" t="inlineStr"/>
    </row>
    <row r="5436" ht="15" customHeight="1">
      <c r="A5436" t="inlineStr">
        <is>
          <t>A 38811-2022</t>
        </is>
      </c>
      <c r="B5436" s="1" t="n">
        <v>44816</v>
      </c>
      <c r="C5436" s="1" t="n">
        <v>45212</v>
      </c>
      <c r="D5436" t="inlineStr">
        <is>
          <t>VÄSTERNORRLANDS LÄN</t>
        </is>
      </c>
      <c r="E5436" t="inlineStr">
        <is>
          <t>ÖRNSKÖLDSVIK</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39374-2022</t>
        </is>
      </c>
      <c r="B5437" s="1" t="n">
        <v>44817</v>
      </c>
      <c r="C5437" s="1" t="n">
        <v>45212</v>
      </c>
      <c r="D5437" t="inlineStr">
        <is>
          <t>VÄSTERNORRLANDS LÄN</t>
        </is>
      </c>
      <c r="E5437" t="inlineStr">
        <is>
          <t>ÅNGE</t>
        </is>
      </c>
      <c r="F5437" t="inlineStr">
        <is>
          <t>SCA</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39364-2022</t>
        </is>
      </c>
      <c r="B5438" s="1" t="n">
        <v>44817</v>
      </c>
      <c r="C5438" s="1" t="n">
        <v>45212</v>
      </c>
      <c r="D5438" t="inlineStr">
        <is>
          <t>VÄSTERNORRLANDS LÄN</t>
        </is>
      </c>
      <c r="E5438" t="inlineStr">
        <is>
          <t>KRAMFORS</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39393-2022</t>
        </is>
      </c>
      <c r="B5439" s="1" t="n">
        <v>44817</v>
      </c>
      <c r="C5439" s="1" t="n">
        <v>45212</v>
      </c>
      <c r="D5439" t="inlineStr">
        <is>
          <t>VÄSTERNORRLANDS LÄN</t>
        </is>
      </c>
      <c r="E5439" t="inlineStr">
        <is>
          <t>ÅNGE</t>
        </is>
      </c>
      <c r="F5439" t="inlineStr">
        <is>
          <t>SCA</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39108-2022</t>
        </is>
      </c>
      <c r="B5440" s="1" t="n">
        <v>44817</v>
      </c>
      <c r="C5440" s="1" t="n">
        <v>45212</v>
      </c>
      <c r="D5440" t="inlineStr">
        <is>
          <t>VÄSTERNORRLANDS LÄN</t>
        </is>
      </c>
      <c r="E5440" t="inlineStr">
        <is>
          <t>TIMRÅ</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39365-2022</t>
        </is>
      </c>
      <c r="B5441" s="1" t="n">
        <v>44817</v>
      </c>
      <c r="C5441" s="1" t="n">
        <v>45212</v>
      </c>
      <c r="D5441" t="inlineStr">
        <is>
          <t>VÄSTERNORRLANDS LÄN</t>
        </is>
      </c>
      <c r="E5441" t="inlineStr">
        <is>
          <t>KRAMFORS</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39594-2022</t>
        </is>
      </c>
      <c r="B5442" s="1" t="n">
        <v>44818</v>
      </c>
      <c r="C5442" s="1" t="n">
        <v>45212</v>
      </c>
      <c r="D5442" t="inlineStr">
        <is>
          <t>VÄSTERNORRLANDS LÄN</t>
        </is>
      </c>
      <c r="E5442" t="inlineStr">
        <is>
          <t>ÅNGE</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39681-2022</t>
        </is>
      </c>
      <c r="B5443" s="1" t="n">
        <v>44818</v>
      </c>
      <c r="C5443" s="1" t="n">
        <v>45212</v>
      </c>
      <c r="D5443" t="inlineStr">
        <is>
          <t>VÄSTERNORRLANDS LÄN</t>
        </is>
      </c>
      <c r="E5443" t="inlineStr">
        <is>
          <t>ÅNGE</t>
        </is>
      </c>
      <c r="F5443" t="inlineStr">
        <is>
          <t>SCA</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40216-2022</t>
        </is>
      </c>
      <c r="B5444" s="1" t="n">
        <v>44818</v>
      </c>
      <c r="C5444" s="1" t="n">
        <v>45212</v>
      </c>
      <c r="D5444" t="inlineStr">
        <is>
          <t>VÄSTERNORRLANDS LÄN</t>
        </is>
      </c>
      <c r="E5444" t="inlineStr">
        <is>
          <t>ÖRNSKÖLDSVIK</t>
        </is>
      </c>
      <c r="G5444" t="n">
        <v>2.5</v>
      </c>
      <c r="H5444" t="n">
        <v>0</v>
      </c>
      <c r="I5444" t="n">
        <v>0</v>
      </c>
      <c r="J5444" t="n">
        <v>0</v>
      </c>
      <c r="K5444" t="n">
        <v>0</v>
      </c>
      <c r="L5444" t="n">
        <v>0</v>
      </c>
      <c r="M5444" t="n">
        <v>0</v>
      </c>
      <c r="N5444" t="n">
        <v>0</v>
      </c>
      <c r="O5444" t="n">
        <v>0</v>
      </c>
      <c r="P5444" t="n">
        <v>0</v>
      </c>
      <c r="Q5444" t="n">
        <v>0</v>
      </c>
      <c r="R5444" s="2" t="inlineStr"/>
    </row>
    <row r="5445" ht="15" customHeight="1">
      <c r="A5445" t="inlineStr">
        <is>
          <t>A 39491-2022</t>
        </is>
      </c>
      <c r="B5445" s="1" t="n">
        <v>44818</v>
      </c>
      <c r="C5445" s="1" t="n">
        <v>45212</v>
      </c>
      <c r="D5445" t="inlineStr">
        <is>
          <t>VÄSTERNORRLANDS LÄN</t>
        </is>
      </c>
      <c r="E5445" t="inlineStr">
        <is>
          <t>ÖRNSKÖLDSVIK</t>
        </is>
      </c>
      <c r="F5445" t="inlineStr">
        <is>
          <t>Holmen skog AB</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39688-2022</t>
        </is>
      </c>
      <c r="B5446" s="1" t="n">
        <v>44818</v>
      </c>
      <c r="C5446" s="1" t="n">
        <v>45212</v>
      </c>
      <c r="D5446" t="inlineStr">
        <is>
          <t>VÄSTERNORRLANDS LÄN</t>
        </is>
      </c>
      <c r="E5446" t="inlineStr">
        <is>
          <t>SOLLEFTEÅ</t>
        </is>
      </c>
      <c r="F5446" t="inlineStr">
        <is>
          <t>SCA</t>
        </is>
      </c>
      <c r="G5446" t="n">
        <v>4.9</v>
      </c>
      <c r="H5446" t="n">
        <v>0</v>
      </c>
      <c r="I5446" t="n">
        <v>0</v>
      </c>
      <c r="J5446" t="n">
        <v>0</v>
      </c>
      <c r="K5446" t="n">
        <v>0</v>
      </c>
      <c r="L5446" t="n">
        <v>0</v>
      </c>
      <c r="M5446" t="n">
        <v>0</v>
      </c>
      <c r="N5446" t="n">
        <v>0</v>
      </c>
      <c r="O5446" t="n">
        <v>0</v>
      </c>
      <c r="P5446" t="n">
        <v>0</v>
      </c>
      <c r="Q5446" t="n">
        <v>0</v>
      </c>
      <c r="R5446" s="2" t="inlineStr"/>
    </row>
    <row r="5447" ht="15" customHeight="1">
      <c r="A5447" t="inlineStr">
        <is>
          <t>A 39500-2022</t>
        </is>
      </c>
      <c r="B5447" s="1" t="n">
        <v>44818</v>
      </c>
      <c r="C5447" s="1" t="n">
        <v>45212</v>
      </c>
      <c r="D5447" t="inlineStr">
        <is>
          <t>VÄSTERNORRLANDS LÄN</t>
        </is>
      </c>
      <c r="E5447" t="inlineStr">
        <is>
          <t>ÖRNSKÖLDSVIK</t>
        </is>
      </c>
      <c r="F5447" t="inlineStr">
        <is>
          <t>Holmen skog AB</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39589-2022</t>
        </is>
      </c>
      <c r="B5448" s="1" t="n">
        <v>44818</v>
      </c>
      <c r="C5448" s="1" t="n">
        <v>45212</v>
      </c>
      <c r="D5448" t="inlineStr">
        <is>
          <t>VÄSTERNORRLANDS LÄN</t>
        </is>
      </c>
      <c r="E5448" t="inlineStr">
        <is>
          <t>ÅNGE</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39685-2022</t>
        </is>
      </c>
      <c r="B5449" s="1" t="n">
        <v>44818</v>
      </c>
      <c r="C5449" s="1" t="n">
        <v>45212</v>
      </c>
      <c r="D5449" t="inlineStr">
        <is>
          <t>VÄSTERNORRLANDS LÄN</t>
        </is>
      </c>
      <c r="E5449" t="inlineStr">
        <is>
          <t>ÅNGE</t>
        </is>
      </c>
      <c r="F5449" t="inlineStr">
        <is>
          <t>SCA</t>
        </is>
      </c>
      <c r="G5449" t="n">
        <v>7.2</v>
      </c>
      <c r="H5449" t="n">
        <v>0</v>
      </c>
      <c r="I5449" t="n">
        <v>0</v>
      </c>
      <c r="J5449" t="n">
        <v>0</v>
      </c>
      <c r="K5449" t="n">
        <v>0</v>
      </c>
      <c r="L5449" t="n">
        <v>0</v>
      </c>
      <c r="M5449" t="n">
        <v>0</v>
      </c>
      <c r="N5449" t="n">
        <v>0</v>
      </c>
      <c r="O5449" t="n">
        <v>0</v>
      </c>
      <c r="P5449" t="n">
        <v>0</v>
      </c>
      <c r="Q5449" t="n">
        <v>0</v>
      </c>
      <c r="R5449" s="2" t="inlineStr"/>
    </row>
    <row r="5450" ht="15" customHeight="1">
      <c r="A5450" t="inlineStr">
        <is>
          <t>A 40197-2022</t>
        </is>
      </c>
      <c r="B5450" s="1" t="n">
        <v>44818</v>
      </c>
      <c r="C5450" s="1" t="n">
        <v>45212</v>
      </c>
      <c r="D5450" t="inlineStr">
        <is>
          <t>VÄSTERNORRLANDS LÄN</t>
        </is>
      </c>
      <c r="E5450" t="inlineStr">
        <is>
          <t>ÖRNSKÖLDSVIK</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40226-2022</t>
        </is>
      </c>
      <c r="B5451" s="1" t="n">
        <v>44818</v>
      </c>
      <c r="C5451" s="1" t="n">
        <v>45212</v>
      </c>
      <c r="D5451" t="inlineStr">
        <is>
          <t>VÄSTERNORRLANDS LÄN</t>
        </is>
      </c>
      <c r="E5451" t="inlineStr">
        <is>
          <t>ÖRNSKÖLDSVIK</t>
        </is>
      </c>
      <c r="G5451" t="n">
        <v>0.4</v>
      </c>
      <c r="H5451" t="n">
        <v>0</v>
      </c>
      <c r="I5451" t="n">
        <v>0</v>
      </c>
      <c r="J5451" t="n">
        <v>0</v>
      </c>
      <c r="K5451" t="n">
        <v>0</v>
      </c>
      <c r="L5451" t="n">
        <v>0</v>
      </c>
      <c r="M5451" t="n">
        <v>0</v>
      </c>
      <c r="N5451" t="n">
        <v>0</v>
      </c>
      <c r="O5451" t="n">
        <v>0</v>
      </c>
      <c r="P5451" t="n">
        <v>0</v>
      </c>
      <c r="Q5451" t="n">
        <v>0</v>
      </c>
      <c r="R5451" s="2" t="inlineStr"/>
    </row>
    <row r="5452" ht="15" customHeight="1">
      <c r="A5452" t="inlineStr">
        <is>
          <t>A 39907-2022</t>
        </is>
      </c>
      <c r="B5452" s="1" t="n">
        <v>44819</v>
      </c>
      <c r="C5452" s="1" t="n">
        <v>45212</v>
      </c>
      <c r="D5452" t="inlineStr">
        <is>
          <t>VÄSTERNORRLANDS LÄN</t>
        </is>
      </c>
      <c r="E5452" t="inlineStr">
        <is>
          <t>ÅNGE</t>
        </is>
      </c>
      <c r="F5452" t="inlineStr">
        <is>
          <t>Kyrkan</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39947-2022</t>
        </is>
      </c>
      <c r="B5453" s="1" t="n">
        <v>44819</v>
      </c>
      <c r="C5453" s="1" t="n">
        <v>45212</v>
      </c>
      <c r="D5453" t="inlineStr">
        <is>
          <t>VÄSTERNORRLANDS LÄN</t>
        </is>
      </c>
      <c r="E5453" t="inlineStr">
        <is>
          <t>SOLLEFTEÅ</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40416-2022</t>
        </is>
      </c>
      <c r="B5454" s="1" t="n">
        <v>44819</v>
      </c>
      <c r="C5454" s="1" t="n">
        <v>45212</v>
      </c>
      <c r="D5454" t="inlineStr">
        <is>
          <t>VÄSTERNORRLANDS LÄN</t>
        </is>
      </c>
      <c r="E5454" t="inlineStr">
        <is>
          <t>KRAMFORS</t>
        </is>
      </c>
      <c r="G5454" t="n">
        <v>11.6</v>
      </c>
      <c r="H5454" t="n">
        <v>0</v>
      </c>
      <c r="I5454" t="n">
        <v>0</v>
      </c>
      <c r="J5454" t="n">
        <v>0</v>
      </c>
      <c r="K5454" t="n">
        <v>0</v>
      </c>
      <c r="L5454" t="n">
        <v>0</v>
      </c>
      <c r="M5454" t="n">
        <v>0</v>
      </c>
      <c r="N5454" t="n">
        <v>0</v>
      </c>
      <c r="O5454" t="n">
        <v>0</v>
      </c>
      <c r="P5454" t="n">
        <v>0</v>
      </c>
      <c r="Q5454" t="n">
        <v>0</v>
      </c>
      <c r="R5454" s="2" t="inlineStr"/>
    </row>
    <row r="5455" ht="15" customHeight="1">
      <c r="A5455" t="inlineStr">
        <is>
          <t>A 39739-2022</t>
        </is>
      </c>
      <c r="B5455" s="1" t="n">
        <v>44819</v>
      </c>
      <c r="C5455" s="1" t="n">
        <v>45212</v>
      </c>
      <c r="D5455" t="inlineStr">
        <is>
          <t>VÄSTERNORRLANDS LÄN</t>
        </is>
      </c>
      <c r="E5455" t="inlineStr">
        <is>
          <t>ÖRNSKÖLDSVIK</t>
        </is>
      </c>
      <c r="G5455" t="n">
        <v>3.4</v>
      </c>
      <c r="H5455" t="n">
        <v>0</v>
      </c>
      <c r="I5455" t="n">
        <v>0</v>
      </c>
      <c r="J5455" t="n">
        <v>0</v>
      </c>
      <c r="K5455" t="n">
        <v>0</v>
      </c>
      <c r="L5455" t="n">
        <v>0</v>
      </c>
      <c r="M5455" t="n">
        <v>0</v>
      </c>
      <c r="N5455" t="n">
        <v>0</v>
      </c>
      <c r="O5455" t="n">
        <v>0</v>
      </c>
      <c r="P5455" t="n">
        <v>0</v>
      </c>
      <c r="Q5455" t="n">
        <v>0</v>
      </c>
      <c r="R5455" s="2" t="inlineStr"/>
    </row>
    <row r="5456" ht="15" customHeight="1">
      <c r="A5456" t="inlineStr">
        <is>
          <t>A 39913-2022</t>
        </is>
      </c>
      <c r="B5456" s="1" t="n">
        <v>44819</v>
      </c>
      <c r="C5456" s="1" t="n">
        <v>45212</v>
      </c>
      <c r="D5456" t="inlineStr">
        <is>
          <t>VÄSTERNORRLANDS LÄN</t>
        </is>
      </c>
      <c r="E5456" t="inlineStr">
        <is>
          <t>SUNDSVALL</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39946-2022</t>
        </is>
      </c>
      <c r="B5457" s="1" t="n">
        <v>44819</v>
      </c>
      <c r="C5457" s="1" t="n">
        <v>45212</v>
      </c>
      <c r="D5457" t="inlineStr">
        <is>
          <t>VÄSTERNORRLANDS LÄN</t>
        </is>
      </c>
      <c r="E5457" t="inlineStr">
        <is>
          <t>SOLLEFTEÅ</t>
        </is>
      </c>
      <c r="F5457" t="inlineStr">
        <is>
          <t>SCA</t>
        </is>
      </c>
      <c r="G5457" t="n">
        <v>8.9</v>
      </c>
      <c r="H5457" t="n">
        <v>0</v>
      </c>
      <c r="I5457" t="n">
        <v>0</v>
      </c>
      <c r="J5457" t="n">
        <v>0</v>
      </c>
      <c r="K5457" t="n">
        <v>0</v>
      </c>
      <c r="L5457" t="n">
        <v>0</v>
      </c>
      <c r="M5457" t="n">
        <v>0</v>
      </c>
      <c r="N5457" t="n">
        <v>0</v>
      </c>
      <c r="O5457" t="n">
        <v>0</v>
      </c>
      <c r="P5457" t="n">
        <v>0</v>
      </c>
      <c r="Q5457" t="n">
        <v>0</v>
      </c>
      <c r="R5457" s="2" t="inlineStr"/>
    </row>
    <row r="5458" ht="15" customHeight="1">
      <c r="A5458" t="inlineStr">
        <is>
          <t>A 39952-2022</t>
        </is>
      </c>
      <c r="B5458" s="1" t="n">
        <v>44819</v>
      </c>
      <c r="C5458" s="1" t="n">
        <v>45212</v>
      </c>
      <c r="D5458" t="inlineStr">
        <is>
          <t>VÄSTERNORRLANDS LÄN</t>
        </is>
      </c>
      <c r="E5458" t="inlineStr">
        <is>
          <t>SUNDSVALL</t>
        </is>
      </c>
      <c r="F5458" t="inlineStr">
        <is>
          <t>SCA</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40434-2022</t>
        </is>
      </c>
      <c r="B5459" s="1" t="n">
        <v>44819</v>
      </c>
      <c r="C5459" s="1" t="n">
        <v>45212</v>
      </c>
      <c r="D5459" t="inlineStr">
        <is>
          <t>VÄSTERNORRLANDS LÄN</t>
        </is>
      </c>
      <c r="E5459" t="inlineStr">
        <is>
          <t>KRAMFORS</t>
        </is>
      </c>
      <c r="G5459" t="n">
        <v>3.4</v>
      </c>
      <c r="H5459" t="n">
        <v>0</v>
      </c>
      <c r="I5459" t="n">
        <v>0</v>
      </c>
      <c r="J5459" t="n">
        <v>0</v>
      </c>
      <c r="K5459" t="n">
        <v>0</v>
      </c>
      <c r="L5459" t="n">
        <v>0</v>
      </c>
      <c r="M5459" t="n">
        <v>0</v>
      </c>
      <c r="N5459" t="n">
        <v>0</v>
      </c>
      <c r="O5459" t="n">
        <v>0</v>
      </c>
      <c r="P5459" t="n">
        <v>0</v>
      </c>
      <c r="Q5459" t="n">
        <v>0</v>
      </c>
      <c r="R5459" s="2" t="inlineStr"/>
    </row>
    <row r="5460" ht="15" customHeight="1">
      <c r="A5460" t="inlineStr">
        <is>
          <t>A 39944-2022</t>
        </is>
      </c>
      <c r="B5460" s="1" t="n">
        <v>44819</v>
      </c>
      <c r="C5460" s="1" t="n">
        <v>45212</v>
      </c>
      <c r="D5460" t="inlineStr">
        <is>
          <t>VÄSTERNORRLANDS LÄN</t>
        </is>
      </c>
      <c r="E5460" t="inlineStr">
        <is>
          <t>SOLLEFTEÅ</t>
        </is>
      </c>
      <c r="F5460" t="inlineStr">
        <is>
          <t>SCA</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40016-2022</t>
        </is>
      </c>
      <c r="B5461" s="1" t="n">
        <v>44820</v>
      </c>
      <c r="C5461" s="1" t="n">
        <v>45212</v>
      </c>
      <c r="D5461" t="inlineStr">
        <is>
          <t>VÄSTERNORRLANDS LÄN</t>
        </is>
      </c>
      <c r="E5461" t="inlineStr">
        <is>
          <t>SUNDSVALL</t>
        </is>
      </c>
      <c r="F5461" t="inlineStr">
        <is>
          <t>Holmen skog AB</t>
        </is>
      </c>
      <c r="G5461" t="n">
        <v>3.6</v>
      </c>
      <c r="H5461" t="n">
        <v>0</v>
      </c>
      <c r="I5461" t="n">
        <v>0</v>
      </c>
      <c r="J5461" t="n">
        <v>0</v>
      </c>
      <c r="K5461" t="n">
        <v>0</v>
      </c>
      <c r="L5461" t="n">
        <v>0</v>
      </c>
      <c r="M5461" t="n">
        <v>0</v>
      </c>
      <c r="N5461" t="n">
        <v>0</v>
      </c>
      <c r="O5461" t="n">
        <v>0</v>
      </c>
      <c r="P5461" t="n">
        <v>0</v>
      </c>
      <c r="Q5461" t="n">
        <v>0</v>
      </c>
      <c r="R5461" s="2" t="inlineStr"/>
    </row>
    <row r="5462" ht="15" customHeight="1">
      <c r="A5462" t="inlineStr">
        <is>
          <t>A 40102-2022</t>
        </is>
      </c>
      <c r="B5462" s="1" t="n">
        <v>44820</v>
      </c>
      <c r="C5462" s="1" t="n">
        <v>45212</v>
      </c>
      <c r="D5462" t="inlineStr">
        <is>
          <t>VÄSTERNORRLANDS LÄN</t>
        </is>
      </c>
      <c r="E5462" t="inlineStr">
        <is>
          <t>ÖRNSKÖLDSVIK</t>
        </is>
      </c>
      <c r="F5462" t="inlineStr">
        <is>
          <t>Holmen skog AB</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40046-2022</t>
        </is>
      </c>
      <c r="B5463" s="1" t="n">
        <v>44820</v>
      </c>
      <c r="C5463" s="1" t="n">
        <v>45212</v>
      </c>
      <c r="D5463" t="inlineStr">
        <is>
          <t>VÄSTERNORRLANDS LÄN</t>
        </is>
      </c>
      <c r="E5463" t="inlineStr">
        <is>
          <t>ÖRNSKÖLDSVIK</t>
        </is>
      </c>
      <c r="F5463" t="inlineStr">
        <is>
          <t>Holmen skog AB</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40279-2022</t>
        </is>
      </c>
      <c r="B5464" s="1" t="n">
        <v>44820</v>
      </c>
      <c r="C5464" s="1" t="n">
        <v>45212</v>
      </c>
      <c r="D5464" t="inlineStr">
        <is>
          <t>VÄSTERNORRLANDS LÄN</t>
        </is>
      </c>
      <c r="E5464" t="inlineStr">
        <is>
          <t>SUNDSVALL</t>
        </is>
      </c>
      <c r="F5464" t="inlineStr">
        <is>
          <t>SCA</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40413-2022</t>
        </is>
      </c>
      <c r="B5465" s="1" t="n">
        <v>44823</v>
      </c>
      <c r="C5465" s="1" t="n">
        <v>45212</v>
      </c>
      <c r="D5465" t="inlineStr">
        <is>
          <t>VÄSTERNORRLANDS LÄN</t>
        </is>
      </c>
      <c r="E5465" t="inlineStr">
        <is>
          <t>ÖRNSKÖLDSVIK</t>
        </is>
      </c>
      <c r="F5465" t="inlineStr">
        <is>
          <t>Holmen skog AB</t>
        </is>
      </c>
      <c r="G5465" t="n">
        <v>23.3</v>
      </c>
      <c r="H5465" t="n">
        <v>0</v>
      </c>
      <c r="I5465" t="n">
        <v>0</v>
      </c>
      <c r="J5465" t="n">
        <v>0</v>
      </c>
      <c r="K5465" t="n">
        <v>0</v>
      </c>
      <c r="L5465" t="n">
        <v>0</v>
      </c>
      <c r="M5465" t="n">
        <v>0</v>
      </c>
      <c r="N5465" t="n">
        <v>0</v>
      </c>
      <c r="O5465" t="n">
        <v>0</v>
      </c>
      <c r="P5465" t="n">
        <v>0</v>
      </c>
      <c r="Q5465" t="n">
        <v>0</v>
      </c>
      <c r="R5465" s="2" t="inlineStr"/>
    </row>
    <row r="5466" ht="15" customHeight="1">
      <c r="A5466" t="inlineStr">
        <is>
          <t>A 40946-2022</t>
        </is>
      </c>
      <c r="B5466" s="1" t="n">
        <v>44823</v>
      </c>
      <c r="C5466" s="1" t="n">
        <v>45212</v>
      </c>
      <c r="D5466" t="inlineStr">
        <is>
          <t>VÄSTERNORRLANDS LÄN</t>
        </is>
      </c>
      <c r="E5466" t="inlineStr">
        <is>
          <t>SUNDSVALL</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40591-2022</t>
        </is>
      </c>
      <c r="B5467" s="1" t="n">
        <v>44823</v>
      </c>
      <c r="C5467" s="1" t="n">
        <v>45212</v>
      </c>
      <c r="D5467" t="inlineStr">
        <is>
          <t>VÄSTERNORRLANDS LÄN</t>
        </is>
      </c>
      <c r="E5467" t="inlineStr">
        <is>
          <t>SUNDSVALL</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40950-2022</t>
        </is>
      </c>
      <c r="B5468" s="1" t="n">
        <v>44823</v>
      </c>
      <c r="C5468" s="1" t="n">
        <v>45212</v>
      </c>
      <c r="D5468" t="inlineStr">
        <is>
          <t>VÄSTERNORRLANDS LÄN</t>
        </is>
      </c>
      <c r="E5468" t="inlineStr">
        <is>
          <t>SUNDSVALL</t>
        </is>
      </c>
      <c r="G5468" t="n">
        <v>0.1</v>
      </c>
      <c r="H5468" t="n">
        <v>0</v>
      </c>
      <c r="I5468" t="n">
        <v>0</v>
      </c>
      <c r="J5468" t="n">
        <v>0</v>
      </c>
      <c r="K5468" t="n">
        <v>0</v>
      </c>
      <c r="L5468" t="n">
        <v>0</v>
      </c>
      <c r="M5468" t="n">
        <v>0</v>
      </c>
      <c r="N5468" t="n">
        <v>0</v>
      </c>
      <c r="O5468" t="n">
        <v>0</v>
      </c>
      <c r="P5468" t="n">
        <v>0</v>
      </c>
      <c r="Q5468" t="n">
        <v>0</v>
      </c>
      <c r="R5468" s="2" t="inlineStr"/>
    </row>
    <row r="5469" ht="15" customHeight="1">
      <c r="A5469" t="inlineStr">
        <is>
          <t>A 41000-2022</t>
        </is>
      </c>
      <c r="B5469" s="1" t="n">
        <v>44824</v>
      </c>
      <c r="C5469" s="1" t="n">
        <v>45212</v>
      </c>
      <c r="D5469" t="inlineStr">
        <is>
          <t>VÄSTERNORRLANDS LÄN</t>
        </is>
      </c>
      <c r="E5469" t="inlineStr">
        <is>
          <t>HÄRNÖSAND</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40734-2022</t>
        </is>
      </c>
      <c r="B5470" s="1" t="n">
        <v>44824</v>
      </c>
      <c r="C5470" s="1" t="n">
        <v>45212</v>
      </c>
      <c r="D5470" t="inlineStr">
        <is>
          <t>VÄSTERNORRLANDS LÄN</t>
        </is>
      </c>
      <c r="E5470" t="inlineStr">
        <is>
          <t>ÖRNSKÖLDSVIK</t>
        </is>
      </c>
      <c r="F5470" t="inlineStr">
        <is>
          <t>Holmen skog AB</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41019-2022</t>
        </is>
      </c>
      <c r="B5471" s="1" t="n">
        <v>44824</v>
      </c>
      <c r="C5471" s="1" t="n">
        <v>45212</v>
      </c>
      <c r="D5471" t="inlineStr">
        <is>
          <t>VÄSTERNORRLANDS LÄN</t>
        </is>
      </c>
      <c r="E5471" t="inlineStr">
        <is>
          <t>HÄRNÖSAND</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40698-2022</t>
        </is>
      </c>
      <c r="B5472" s="1" t="n">
        <v>44824</v>
      </c>
      <c r="C5472" s="1" t="n">
        <v>45212</v>
      </c>
      <c r="D5472" t="inlineStr">
        <is>
          <t>VÄSTERNORRLANDS LÄN</t>
        </is>
      </c>
      <c r="E5472" t="inlineStr">
        <is>
          <t>KRAMFORS</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40827-2022</t>
        </is>
      </c>
      <c r="B5473" s="1" t="n">
        <v>44824</v>
      </c>
      <c r="C5473" s="1" t="n">
        <v>45212</v>
      </c>
      <c r="D5473" t="inlineStr">
        <is>
          <t>VÄSTERNORRLANDS LÄN</t>
        </is>
      </c>
      <c r="E5473" t="inlineStr">
        <is>
          <t>SUNDSVALL</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40837-2022</t>
        </is>
      </c>
      <c r="B5474" s="1" t="n">
        <v>44824</v>
      </c>
      <c r="C5474" s="1" t="n">
        <v>45212</v>
      </c>
      <c r="D5474" t="inlineStr">
        <is>
          <t>VÄSTERNORRLANDS LÄN</t>
        </is>
      </c>
      <c r="E5474" t="inlineStr">
        <is>
          <t>ÖRNSKÖLDSVIK</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41036-2022</t>
        </is>
      </c>
      <c r="B5475" s="1" t="n">
        <v>44825</v>
      </c>
      <c r="C5475" s="1" t="n">
        <v>45212</v>
      </c>
      <c r="D5475" t="inlineStr">
        <is>
          <t>VÄSTERNORRLANDS LÄN</t>
        </is>
      </c>
      <c r="E5475" t="inlineStr">
        <is>
          <t>ÖRNSKÖLDSVIK</t>
        </is>
      </c>
      <c r="F5475" t="inlineStr">
        <is>
          <t>Holmen skog AB</t>
        </is>
      </c>
      <c r="G5475" t="n">
        <v>7.1</v>
      </c>
      <c r="H5475" t="n">
        <v>0</v>
      </c>
      <c r="I5475" t="n">
        <v>0</v>
      </c>
      <c r="J5475" t="n">
        <v>0</v>
      </c>
      <c r="K5475" t="n">
        <v>0</v>
      </c>
      <c r="L5475" t="n">
        <v>0</v>
      </c>
      <c r="M5475" t="n">
        <v>0</v>
      </c>
      <c r="N5475" t="n">
        <v>0</v>
      </c>
      <c r="O5475" t="n">
        <v>0</v>
      </c>
      <c r="P5475" t="n">
        <v>0</v>
      </c>
      <c r="Q5475" t="n">
        <v>0</v>
      </c>
      <c r="R5475" s="2" t="inlineStr"/>
    </row>
    <row r="5476" ht="15" customHeight="1">
      <c r="A5476" t="inlineStr">
        <is>
          <t>A 41184-2022</t>
        </is>
      </c>
      <c r="B5476" s="1" t="n">
        <v>44825</v>
      </c>
      <c r="C5476" s="1" t="n">
        <v>45212</v>
      </c>
      <c r="D5476" t="inlineStr">
        <is>
          <t>VÄSTERNORRLANDS LÄN</t>
        </is>
      </c>
      <c r="E5476" t="inlineStr">
        <is>
          <t>ÖRNSKÖLDSVIK</t>
        </is>
      </c>
      <c r="F5476" t="inlineStr">
        <is>
          <t>SCA</t>
        </is>
      </c>
      <c r="G5476" t="n">
        <v>5.5</v>
      </c>
      <c r="H5476" t="n">
        <v>0</v>
      </c>
      <c r="I5476" t="n">
        <v>0</v>
      </c>
      <c r="J5476" t="n">
        <v>0</v>
      </c>
      <c r="K5476" t="n">
        <v>0</v>
      </c>
      <c r="L5476" t="n">
        <v>0</v>
      </c>
      <c r="M5476" t="n">
        <v>0</v>
      </c>
      <c r="N5476" t="n">
        <v>0</v>
      </c>
      <c r="O5476" t="n">
        <v>0</v>
      </c>
      <c r="P5476" t="n">
        <v>0</v>
      </c>
      <c r="Q5476" t="n">
        <v>0</v>
      </c>
      <c r="R5476" s="2" t="inlineStr"/>
    </row>
    <row r="5477" ht="15" customHeight="1">
      <c r="A5477" t="inlineStr">
        <is>
          <t>A 41222-2022</t>
        </is>
      </c>
      <c r="B5477" s="1" t="n">
        <v>44825</v>
      </c>
      <c r="C5477" s="1" t="n">
        <v>45212</v>
      </c>
      <c r="D5477" t="inlineStr">
        <is>
          <t>VÄSTERNORRLANDS LÄN</t>
        </is>
      </c>
      <c r="E5477" t="inlineStr">
        <is>
          <t>SUNDSVALL</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41253-2022</t>
        </is>
      </c>
      <c r="B5478" s="1" t="n">
        <v>44825</v>
      </c>
      <c r="C5478" s="1" t="n">
        <v>45212</v>
      </c>
      <c r="D5478" t="inlineStr">
        <is>
          <t>VÄSTERNORRLANDS LÄN</t>
        </is>
      </c>
      <c r="E5478" t="inlineStr">
        <is>
          <t>ÖRNSKÖLDSVIK</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41188-2022</t>
        </is>
      </c>
      <c r="B5479" s="1" t="n">
        <v>44825</v>
      </c>
      <c r="C5479" s="1" t="n">
        <v>45212</v>
      </c>
      <c r="D5479" t="inlineStr">
        <is>
          <t>VÄSTERNORRLANDS LÄN</t>
        </is>
      </c>
      <c r="E5479" t="inlineStr">
        <is>
          <t>ÖRNSKÖLDSVIK</t>
        </is>
      </c>
      <c r="F5479" t="inlineStr">
        <is>
          <t>SCA</t>
        </is>
      </c>
      <c r="G5479" t="n">
        <v>8.4</v>
      </c>
      <c r="H5479" t="n">
        <v>0</v>
      </c>
      <c r="I5479" t="n">
        <v>0</v>
      </c>
      <c r="J5479" t="n">
        <v>0</v>
      </c>
      <c r="K5479" t="n">
        <v>0</v>
      </c>
      <c r="L5479" t="n">
        <v>0</v>
      </c>
      <c r="M5479" t="n">
        <v>0</v>
      </c>
      <c r="N5479" t="n">
        <v>0</v>
      </c>
      <c r="O5479" t="n">
        <v>0</v>
      </c>
      <c r="P5479" t="n">
        <v>0</v>
      </c>
      <c r="Q5479" t="n">
        <v>0</v>
      </c>
      <c r="R5479" s="2" t="inlineStr"/>
    </row>
    <row r="5480" ht="15" customHeight="1">
      <c r="A5480" t="inlineStr">
        <is>
          <t>A 41191-2022</t>
        </is>
      </c>
      <c r="B5480" s="1" t="n">
        <v>44825</v>
      </c>
      <c r="C5480" s="1" t="n">
        <v>45212</v>
      </c>
      <c r="D5480" t="inlineStr">
        <is>
          <t>VÄSTERNORRLANDS LÄN</t>
        </is>
      </c>
      <c r="E5480" t="inlineStr">
        <is>
          <t>ÖRNSKÖLDSVIK</t>
        </is>
      </c>
      <c r="F5480" t="inlineStr">
        <is>
          <t>SCA</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41261-2022</t>
        </is>
      </c>
      <c r="B5481" s="1" t="n">
        <v>44825</v>
      </c>
      <c r="C5481" s="1" t="n">
        <v>45212</v>
      </c>
      <c r="D5481" t="inlineStr">
        <is>
          <t>VÄSTERNORRLANDS LÄN</t>
        </is>
      </c>
      <c r="E5481" t="inlineStr">
        <is>
          <t>ÅNGE</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41339-2022</t>
        </is>
      </c>
      <c r="B5482" s="1" t="n">
        <v>44826</v>
      </c>
      <c r="C5482" s="1" t="n">
        <v>45212</v>
      </c>
      <c r="D5482" t="inlineStr">
        <is>
          <t>VÄSTERNORRLANDS LÄN</t>
        </is>
      </c>
      <c r="E5482" t="inlineStr">
        <is>
          <t>ÖRNSKÖLDSVIK</t>
        </is>
      </c>
      <c r="F5482" t="inlineStr">
        <is>
          <t>Holmen skog AB</t>
        </is>
      </c>
      <c r="G5482" t="n">
        <v>56.2</v>
      </c>
      <c r="H5482" t="n">
        <v>0</v>
      </c>
      <c r="I5482" t="n">
        <v>0</v>
      </c>
      <c r="J5482" t="n">
        <v>0</v>
      </c>
      <c r="K5482" t="n">
        <v>0</v>
      </c>
      <c r="L5482" t="n">
        <v>0</v>
      </c>
      <c r="M5482" t="n">
        <v>0</v>
      </c>
      <c r="N5482" t="n">
        <v>0</v>
      </c>
      <c r="O5482" t="n">
        <v>0</v>
      </c>
      <c r="P5482" t="n">
        <v>0</v>
      </c>
      <c r="Q5482" t="n">
        <v>0</v>
      </c>
      <c r="R5482" s="2" t="inlineStr"/>
    </row>
    <row r="5483" ht="15" customHeight="1">
      <c r="A5483" t="inlineStr">
        <is>
          <t>A 41455-2022</t>
        </is>
      </c>
      <c r="B5483" s="1" t="n">
        <v>44826</v>
      </c>
      <c r="C5483" s="1" t="n">
        <v>45212</v>
      </c>
      <c r="D5483" t="inlineStr">
        <is>
          <t>VÄSTERNORRLANDS LÄN</t>
        </is>
      </c>
      <c r="E5483" t="inlineStr">
        <is>
          <t>SOLLEFTEÅ</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41467-2022</t>
        </is>
      </c>
      <c r="B5484" s="1" t="n">
        <v>44826</v>
      </c>
      <c r="C5484" s="1" t="n">
        <v>45212</v>
      </c>
      <c r="D5484" t="inlineStr">
        <is>
          <t>VÄSTERNORRLANDS LÄN</t>
        </is>
      </c>
      <c r="E5484" t="inlineStr">
        <is>
          <t>TIMRÅ</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41392-2022</t>
        </is>
      </c>
      <c r="B5485" s="1" t="n">
        <v>44826</v>
      </c>
      <c r="C5485" s="1" t="n">
        <v>45212</v>
      </c>
      <c r="D5485" t="inlineStr">
        <is>
          <t>VÄSTERNORRLANDS LÄN</t>
        </is>
      </c>
      <c r="E5485" t="inlineStr">
        <is>
          <t>KRAMFORS</t>
        </is>
      </c>
      <c r="G5485" t="n">
        <v>12.1</v>
      </c>
      <c r="H5485" t="n">
        <v>0</v>
      </c>
      <c r="I5485" t="n">
        <v>0</v>
      </c>
      <c r="J5485" t="n">
        <v>0</v>
      </c>
      <c r="K5485" t="n">
        <v>0</v>
      </c>
      <c r="L5485" t="n">
        <v>0</v>
      </c>
      <c r="M5485" t="n">
        <v>0</v>
      </c>
      <c r="N5485" t="n">
        <v>0</v>
      </c>
      <c r="O5485" t="n">
        <v>0</v>
      </c>
      <c r="P5485" t="n">
        <v>0</v>
      </c>
      <c r="Q5485" t="n">
        <v>0</v>
      </c>
      <c r="R5485" s="2" t="inlineStr"/>
    </row>
    <row r="5486" ht="15" customHeight="1">
      <c r="A5486" t="inlineStr">
        <is>
          <t>A 41488-2022</t>
        </is>
      </c>
      <c r="B5486" s="1" t="n">
        <v>44826</v>
      </c>
      <c r="C5486" s="1" t="n">
        <v>45212</v>
      </c>
      <c r="D5486" t="inlineStr">
        <is>
          <t>VÄSTERNORRLANDS LÄN</t>
        </is>
      </c>
      <c r="E5486" t="inlineStr">
        <is>
          <t>SOLLEFTEÅ</t>
        </is>
      </c>
      <c r="F5486" t="inlineStr">
        <is>
          <t>SCA</t>
        </is>
      </c>
      <c r="G5486" t="n">
        <v>14.7</v>
      </c>
      <c r="H5486" t="n">
        <v>0</v>
      </c>
      <c r="I5486" t="n">
        <v>0</v>
      </c>
      <c r="J5486" t="n">
        <v>0</v>
      </c>
      <c r="K5486" t="n">
        <v>0</v>
      </c>
      <c r="L5486" t="n">
        <v>0</v>
      </c>
      <c r="M5486" t="n">
        <v>0</v>
      </c>
      <c r="N5486" t="n">
        <v>0</v>
      </c>
      <c r="O5486" t="n">
        <v>0</v>
      </c>
      <c r="P5486" t="n">
        <v>0</v>
      </c>
      <c r="Q5486" t="n">
        <v>0</v>
      </c>
      <c r="R5486" s="2" t="inlineStr"/>
    </row>
    <row r="5487" ht="15" customHeight="1">
      <c r="A5487" t="inlineStr">
        <is>
          <t>A 41265-2022</t>
        </is>
      </c>
      <c r="B5487" s="1" t="n">
        <v>44826</v>
      </c>
      <c r="C5487" s="1" t="n">
        <v>45212</v>
      </c>
      <c r="D5487" t="inlineStr">
        <is>
          <t>VÄSTERNORRLANDS LÄN</t>
        </is>
      </c>
      <c r="E5487" t="inlineStr">
        <is>
          <t>SOLLEFTEÅ</t>
        </is>
      </c>
      <c r="G5487" t="n">
        <v>3.4</v>
      </c>
      <c r="H5487" t="n">
        <v>0</v>
      </c>
      <c r="I5487" t="n">
        <v>0</v>
      </c>
      <c r="J5487" t="n">
        <v>0</v>
      </c>
      <c r="K5487" t="n">
        <v>0</v>
      </c>
      <c r="L5487" t="n">
        <v>0</v>
      </c>
      <c r="M5487" t="n">
        <v>0</v>
      </c>
      <c r="N5487" t="n">
        <v>0</v>
      </c>
      <c r="O5487" t="n">
        <v>0</v>
      </c>
      <c r="P5487" t="n">
        <v>0</v>
      </c>
      <c r="Q5487" t="n">
        <v>0</v>
      </c>
      <c r="R5487" s="2" t="inlineStr"/>
    </row>
    <row r="5488" ht="15" customHeight="1">
      <c r="A5488" t="inlineStr">
        <is>
          <t>A 41457-2022</t>
        </is>
      </c>
      <c r="B5488" s="1" t="n">
        <v>44826</v>
      </c>
      <c r="C5488" s="1" t="n">
        <v>45212</v>
      </c>
      <c r="D5488" t="inlineStr">
        <is>
          <t>VÄSTERNORRLANDS LÄN</t>
        </is>
      </c>
      <c r="E5488" t="inlineStr">
        <is>
          <t>TIMRÅ</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41469-2022</t>
        </is>
      </c>
      <c r="B5489" s="1" t="n">
        <v>44826</v>
      </c>
      <c r="C5489" s="1" t="n">
        <v>45212</v>
      </c>
      <c r="D5489" t="inlineStr">
        <is>
          <t>VÄSTERNORRLANDS LÄN</t>
        </is>
      </c>
      <c r="E5489" t="inlineStr">
        <is>
          <t>ÖRNSKÖLDSVIK</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41495-2022</t>
        </is>
      </c>
      <c r="B5490" s="1" t="n">
        <v>44826</v>
      </c>
      <c r="C5490" s="1" t="n">
        <v>45212</v>
      </c>
      <c r="D5490" t="inlineStr">
        <is>
          <t>VÄSTERNORRLANDS LÄN</t>
        </is>
      </c>
      <c r="E5490" t="inlineStr">
        <is>
          <t>SUNDSVALL</t>
        </is>
      </c>
      <c r="F5490" t="inlineStr">
        <is>
          <t>SCA</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41310-2022</t>
        </is>
      </c>
      <c r="B5491" s="1" t="n">
        <v>44826</v>
      </c>
      <c r="C5491" s="1" t="n">
        <v>45212</v>
      </c>
      <c r="D5491" t="inlineStr">
        <is>
          <t>VÄSTERNORRLANDS LÄN</t>
        </is>
      </c>
      <c r="E5491" t="inlineStr">
        <is>
          <t>ÖRNSKÖLDSVIK</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41381-2022</t>
        </is>
      </c>
      <c r="B5492" s="1" t="n">
        <v>44826</v>
      </c>
      <c r="C5492" s="1" t="n">
        <v>45212</v>
      </c>
      <c r="D5492" t="inlineStr">
        <is>
          <t>VÄSTERNORRLANDS LÄN</t>
        </is>
      </c>
      <c r="E5492" t="inlineStr">
        <is>
          <t>KRAMFORS</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41456-2022</t>
        </is>
      </c>
      <c r="B5493" s="1" t="n">
        <v>44826</v>
      </c>
      <c r="C5493" s="1" t="n">
        <v>45212</v>
      </c>
      <c r="D5493" t="inlineStr">
        <is>
          <t>VÄSTERNORRLANDS LÄN</t>
        </is>
      </c>
      <c r="E5493" t="inlineStr">
        <is>
          <t>SOLLEFTEÅ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41475-2022</t>
        </is>
      </c>
      <c r="B5494" s="1" t="n">
        <v>44826</v>
      </c>
      <c r="C5494" s="1" t="n">
        <v>45212</v>
      </c>
      <c r="D5494" t="inlineStr">
        <is>
          <t>VÄSTERNORRLANDS LÄN</t>
        </is>
      </c>
      <c r="E5494" t="inlineStr">
        <is>
          <t>SOLLEFTEÅ</t>
        </is>
      </c>
      <c r="F5494" t="inlineStr">
        <is>
          <t>SCA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41804-2022</t>
        </is>
      </c>
      <c r="B5495" s="1" t="n">
        <v>44827</v>
      </c>
      <c r="C5495" s="1" t="n">
        <v>45212</v>
      </c>
      <c r="D5495" t="inlineStr">
        <is>
          <t>VÄSTERNORRLANDS LÄN</t>
        </is>
      </c>
      <c r="E5495" t="inlineStr">
        <is>
          <t>SUNDSVALL</t>
        </is>
      </c>
      <c r="G5495" t="n">
        <v>9.800000000000001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41805-2022</t>
        </is>
      </c>
      <c r="B5496" s="1" t="n">
        <v>44827</v>
      </c>
      <c r="C5496" s="1" t="n">
        <v>45212</v>
      </c>
      <c r="D5496" t="inlineStr">
        <is>
          <t>VÄSTERNORRLANDS LÄN</t>
        </is>
      </c>
      <c r="E5496" t="inlineStr">
        <is>
          <t>SUNDSVALL</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41600-2022</t>
        </is>
      </c>
      <c r="B5497" s="1" t="n">
        <v>44827</v>
      </c>
      <c r="C5497" s="1" t="n">
        <v>45212</v>
      </c>
      <c r="D5497" t="inlineStr">
        <is>
          <t>VÄSTERNORRLANDS LÄN</t>
        </is>
      </c>
      <c r="E5497" t="inlineStr">
        <is>
          <t>ÖRNSKÖLDSVIK</t>
        </is>
      </c>
      <c r="G5497" t="n">
        <v>2.7</v>
      </c>
      <c r="H5497" t="n">
        <v>0</v>
      </c>
      <c r="I5497" t="n">
        <v>0</v>
      </c>
      <c r="J5497" t="n">
        <v>0</v>
      </c>
      <c r="K5497" t="n">
        <v>0</v>
      </c>
      <c r="L5497" t="n">
        <v>0</v>
      </c>
      <c r="M5497" t="n">
        <v>0</v>
      </c>
      <c r="N5497" t="n">
        <v>0</v>
      </c>
      <c r="O5497" t="n">
        <v>0</v>
      </c>
      <c r="P5497" t="n">
        <v>0</v>
      </c>
      <c r="Q5497" t="n">
        <v>0</v>
      </c>
      <c r="R5497" s="2" t="inlineStr"/>
    </row>
    <row r="5498" ht="15" customHeight="1">
      <c r="A5498" t="inlineStr">
        <is>
          <t>A 41825-2022</t>
        </is>
      </c>
      <c r="B5498" s="1" t="n">
        <v>44827</v>
      </c>
      <c r="C5498" s="1" t="n">
        <v>45212</v>
      </c>
      <c r="D5498" t="inlineStr">
        <is>
          <t>VÄSTERNORRLANDS LÄN</t>
        </is>
      </c>
      <c r="E5498" t="inlineStr">
        <is>
          <t>ÅNGE</t>
        </is>
      </c>
      <c r="F5498" t="inlineStr">
        <is>
          <t>SCA</t>
        </is>
      </c>
      <c r="G5498" t="n">
        <v>3.3</v>
      </c>
      <c r="H5498" t="n">
        <v>0</v>
      </c>
      <c r="I5498" t="n">
        <v>0</v>
      </c>
      <c r="J5498" t="n">
        <v>0</v>
      </c>
      <c r="K5498" t="n">
        <v>0</v>
      </c>
      <c r="L5498" t="n">
        <v>0</v>
      </c>
      <c r="M5498" t="n">
        <v>0</v>
      </c>
      <c r="N5498" t="n">
        <v>0</v>
      </c>
      <c r="O5498" t="n">
        <v>0</v>
      </c>
      <c r="P5498" t="n">
        <v>0</v>
      </c>
      <c r="Q5498" t="n">
        <v>0</v>
      </c>
      <c r="R5498" s="2" t="inlineStr"/>
      <c r="U5498">
        <f>HYPERLINK("https://klasma.github.io/Logging_2260/knärot/A 41825-2022 knärot.png", "A 41825-2022")</f>
        <v/>
      </c>
      <c r="V5498">
        <f>HYPERLINK("https://klasma.github.io/Logging_2260/klagomål/A 41825-2022 klagomål.docx", "A 41825-2022")</f>
        <v/>
      </c>
      <c r="W5498">
        <f>HYPERLINK("https://klasma.github.io/Logging_2260/klagomålsmail/A 41825-2022 klagomålsmail.docx", "A 41825-2022")</f>
        <v/>
      </c>
      <c r="X5498">
        <f>HYPERLINK("https://klasma.github.io/Logging_2260/tillsyn/A 41825-2022 tillsyn.docx", "A 41825-2022")</f>
        <v/>
      </c>
      <c r="Y5498">
        <f>HYPERLINK("https://klasma.github.io/Logging_2260/tillsynsmail/A 41825-2022 tillsynsmail.docx", "A 41825-2022")</f>
        <v/>
      </c>
    </row>
    <row r="5499" ht="15" customHeight="1">
      <c r="A5499" t="inlineStr">
        <is>
          <t>A 42010-2022</t>
        </is>
      </c>
      <c r="B5499" s="1" t="n">
        <v>44827</v>
      </c>
      <c r="C5499" s="1" t="n">
        <v>45212</v>
      </c>
      <c r="D5499" t="inlineStr">
        <is>
          <t>VÄSTERNORRLANDS LÄN</t>
        </is>
      </c>
      <c r="E5499" t="inlineStr">
        <is>
          <t>SUNDSVALL</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41847-2022</t>
        </is>
      </c>
      <c r="B5500" s="1" t="n">
        <v>44828</v>
      </c>
      <c r="C5500" s="1" t="n">
        <v>45212</v>
      </c>
      <c r="D5500" t="inlineStr">
        <is>
          <t>VÄSTERNORRLANDS LÄN</t>
        </is>
      </c>
      <c r="E5500" t="inlineStr">
        <is>
          <t>ÖRNSKÖLDSVIK</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42063-2022</t>
        </is>
      </c>
      <c r="B5501" s="1" t="n">
        <v>44830</v>
      </c>
      <c r="C5501" s="1" t="n">
        <v>45212</v>
      </c>
      <c r="D5501" t="inlineStr">
        <is>
          <t>VÄSTERNORRLANDS LÄN</t>
        </is>
      </c>
      <c r="E5501" t="inlineStr">
        <is>
          <t>KRAMFORS</t>
        </is>
      </c>
      <c r="G5501" t="n">
        <v>4.6</v>
      </c>
      <c r="H5501" t="n">
        <v>0</v>
      </c>
      <c r="I5501" t="n">
        <v>0</v>
      </c>
      <c r="J5501" t="n">
        <v>0</v>
      </c>
      <c r="K5501" t="n">
        <v>0</v>
      </c>
      <c r="L5501" t="n">
        <v>0</v>
      </c>
      <c r="M5501" t="n">
        <v>0</v>
      </c>
      <c r="N5501" t="n">
        <v>0</v>
      </c>
      <c r="O5501" t="n">
        <v>0</v>
      </c>
      <c r="P5501" t="n">
        <v>0</v>
      </c>
      <c r="Q5501" t="n">
        <v>0</v>
      </c>
      <c r="R5501" s="2" t="inlineStr"/>
    </row>
    <row r="5502" ht="15" customHeight="1">
      <c r="A5502" t="inlineStr">
        <is>
          <t>A 42302-2022</t>
        </is>
      </c>
      <c r="B5502" s="1" t="n">
        <v>44830</v>
      </c>
      <c r="C5502" s="1" t="n">
        <v>45212</v>
      </c>
      <c r="D5502" t="inlineStr">
        <is>
          <t>VÄSTERNORRLANDS LÄN</t>
        </is>
      </c>
      <c r="E5502" t="inlineStr">
        <is>
          <t>SOLLEFTEÅ</t>
        </is>
      </c>
      <c r="F5502" t="inlineStr">
        <is>
          <t>SCA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42143-2022</t>
        </is>
      </c>
      <c r="B5503" s="1" t="n">
        <v>44830</v>
      </c>
      <c r="C5503" s="1" t="n">
        <v>45212</v>
      </c>
      <c r="D5503" t="inlineStr">
        <is>
          <t>VÄSTERNORRLANDS LÄN</t>
        </is>
      </c>
      <c r="E5503" t="inlineStr">
        <is>
          <t>KRAMFORS</t>
        </is>
      </c>
      <c r="G5503" t="n">
        <v>6.2</v>
      </c>
      <c r="H5503" t="n">
        <v>0</v>
      </c>
      <c r="I5503" t="n">
        <v>0</v>
      </c>
      <c r="J5503" t="n">
        <v>0</v>
      </c>
      <c r="K5503" t="n">
        <v>0</v>
      </c>
      <c r="L5503" t="n">
        <v>0</v>
      </c>
      <c r="M5503" t="n">
        <v>0</v>
      </c>
      <c r="N5503" t="n">
        <v>0</v>
      </c>
      <c r="O5503" t="n">
        <v>0</v>
      </c>
      <c r="P5503" t="n">
        <v>0</v>
      </c>
      <c r="Q5503" t="n">
        <v>0</v>
      </c>
      <c r="R5503" s="2" t="inlineStr"/>
    </row>
    <row r="5504" ht="15" customHeight="1">
      <c r="A5504" t="inlineStr">
        <is>
          <t>A 42275-2022</t>
        </is>
      </c>
      <c r="B5504" s="1" t="n">
        <v>44830</v>
      </c>
      <c r="C5504" s="1" t="n">
        <v>45212</v>
      </c>
      <c r="D5504" t="inlineStr">
        <is>
          <t>VÄSTERNORRLANDS LÄN</t>
        </is>
      </c>
      <c r="E5504" t="inlineStr">
        <is>
          <t>SOLLEFTEÅ</t>
        </is>
      </c>
      <c r="F5504" t="inlineStr">
        <is>
          <t>SCA</t>
        </is>
      </c>
      <c r="G5504" t="n">
        <v>26.9</v>
      </c>
      <c r="H5504" t="n">
        <v>0</v>
      </c>
      <c r="I5504" t="n">
        <v>0</v>
      </c>
      <c r="J5504" t="n">
        <v>0</v>
      </c>
      <c r="K5504" t="n">
        <v>0</v>
      </c>
      <c r="L5504" t="n">
        <v>0</v>
      </c>
      <c r="M5504" t="n">
        <v>0</v>
      </c>
      <c r="N5504" t="n">
        <v>0</v>
      </c>
      <c r="O5504" t="n">
        <v>0</v>
      </c>
      <c r="P5504" t="n">
        <v>0</v>
      </c>
      <c r="Q5504" t="n">
        <v>0</v>
      </c>
      <c r="R5504" s="2" t="inlineStr"/>
    </row>
    <row r="5505" ht="15" customHeight="1">
      <c r="A5505" t="inlineStr">
        <is>
          <t>A 42299-2022</t>
        </is>
      </c>
      <c r="B5505" s="1" t="n">
        <v>44830</v>
      </c>
      <c r="C5505" s="1" t="n">
        <v>45212</v>
      </c>
      <c r="D5505" t="inlineStr">
        <is>
          <t>VÄSTERNORRLANDS LÄN</t>
        </is>
      </c>
      <c r="E5505" t="inlineStr">
        <is>
          <t>SOLLEFTEÅ</t>
        </is>
      </c>
      <c r="F5505" t="inlineStr">
        <is>
          <t>SCA</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42281-2022</t>
        </is>
      </c>
      <c r="B5506" s="1" t="n">
        <v>44830</v>
      </c>
      <c r="C5506" s="1" t="n">
        <v>45212</v>
      </c>
      <c r="D5506" t="inlineStr">
        <is>
          <t>VÄSTERNORRLANDS LÄN</t>
        </is>
      </c>
      <c r="E5506" t="inlineStr">
        <is>
          <t>TIMRÅ</t>
        </is>
      </c>
      <c r="F5506" t="inlineStr">
        <is>
          <t>SCA</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42344-2022</t>
        </is>
      </c>
      <c r="B5507" s="1" t="n">
        <v>44831</v>
      </c>
      <c r="C5507" s="1" t="n">
        <v>45212</v>
      </c>
      <c r="D5507" t="inlineStr">
        <is>
          <t>VÄSTERNORRLANDS LÄN</t>
        </is>
      </c>
      <c r="E5507" t="inlineStr">
        <is>
          <t>ÖRNSKÖLDSVIK</t>
        </is>
      </c>
      <c r="F5507" t="inlineStr">
        <is>
          <t>Holmen skog AB</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42365-2022</t>
        </is>
      </c>
      <c r="B5508" s="1" t="n">
        <v>44831</v>
      </c>
      <c r="C5508" s="1" t="n">
        <v>45212</v>
      </c>
      <c r="D5508" t="inlineStr">
        <is>
          <t>VÄSTERNORRLANDS LÄN</t>
        </is>
      </c>
      <c r="E5508" t="inlineStr">
        <is>
          <t>ÖRNSKÖLDSVIK</t>
        </is>
      </c>
      <c r="F5508" t="inlineStr">
        <is>
          <t>Holmen skog AB</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42320-2022</t>
        </is>
      </c>
      <c r="B5509" s="1" t="n">
        <v>44831</v>
      </c>
      <c r="C5509" s="1" t="n">
        <v>45212</v>
      </c>
      <c r="D5509" t="inlineStr">
        <is>
          <t>VÄSTERNORRLANDS LÄN</t>
        </is>
      </c>
      <c r="E5509" t="inlineStr">
        <is>
          <t>ÖRNSKÖLDSVIK</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42363-2022</t>
        </is>
      </c>
      <c r="B5510" s="1" t="n">
        <v>44831</v>
      </c>
      <c r="C5510" s="1" t="n">
        <v>45212</v>
      </c>
      <c r="D5510" t="inlineStr">
        <is>
          <t>VÄSTERNORRLANDS LÄN</t>
        </is>
      </c>
      <c r="E5510" t="inlineStr">
        <is>
          <t>ÖRNSKÖLDSVIK</t>
        </is>
      </c>
      <c r="F5510" t="inlineStr">
        <is>
          <t>Holmen skog AB</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42664-2022</t>
        </is>
      </c>
      <c r="B5511" s="1" t="n">
        <v>44831</v>
      </c>
      <c r="C5511" s="1" t="n">
        <v>45212</v>
      </c>
      <c r="D5511" t="inlineStr">
        <is>
          <t>VÄSTERNORRLANDS LÄN</t>
        </is>
      </c>
      <c r="E5511" t="inlineStr">
        <is>
          <t>SOLLEFTEÅ</t>
        </is>
      </c>
      <c r="F5511" t="inlineStr">
        <is>
          <t>SCA</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42628-2022</t>
        </is>
      </c>
      <c r="B5512" s="1" t="n">
        <v>44831</v>
      </c>
      <c r="C5512" s="1" t="n">
        <v>45212</v>
      </c>
      <c r="D5512" t="inlineStr">
        <is>
          <t>VÄSTERNORRLANDS LÄN</t>
        </is>
      </c>
      <c r="E5512" t="inlineStr">
        <is>
          <t>HÄRNÖSAND</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42663-2022</t>
        </is>
      </c>
      <c r="B5513" s="1" t="n">
        <v>44831</v>
      </c>
      <c r="C5513" s="1" t="n">
        <v>45212</v>
      </c>
      <c r="D5513" t="inlineStr">
        <is>
          <t>VÄSTERNORRLANDS LÄN</t>
        </is>
      </c>
      <c r="E5513" t="inlineStr">
        <is>
          <t>SOLLEFTEÅ</t>
        </is>
      </c>
      <c r="F5513" t="inlineStr">
        <is>
          <t>SCA</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42482-2022</t>
        </is>
      </c>
      <c r="B5514" s="1" t="n">
        <v>44831</v>
      </c>
      <c r="C5514" s="1" t="n">
        <v>45212</v>
      </c>
      <c r="D5514" t="inlineStr">
        <is>
          <t>VÄSTERNORRLANDS LÄN</t>
        </is>
      </c>
      <c r="E5514" t="inlineStr">
        <is>
          <t>SOLLEFTEÅ</t>
        </is>
      </c>
      <c r="F5514" t="inlineStr">
        <is>
          <t>Holmen skog AB</t>
        </is>
      </c>
      <c r="G5514" t="n">
        <v>7</v>
      </c>
      <c r="H5514" t="n">
        <v>0</v>
      </c>
      <c r="I5514" t="n">
        <v>0</v>
      </c>
      <c r="J5514" t="n">
        <v>0</v>
      </c>
      <c r="K5514" t="n">
        <v>0</v>
      </c>
      <c r="L5514" t="n">
        <v>0</v>
      </c>
      <c r="M5514" t="n">
        <v>0</v>
      </c>
      <c r="N5514" t="n">
        <v>0</v>
      </c>
      <c r="O5514" t="n">
        <v>0</v>
      </c>
      <c r="P5514" t="n">
        <v>0</v>
      </c>
      <c r="Q5514" t="n">
        <v>0</v>
      </c>
      <c r="R5514" s="2" t="inlineStr"/>
    </row>
    <row r="5515" ht="15" customHeight="1">
      <c r="A5515" t="inlineStr">
        <is>
          <t>A 42771-2022</t>
        </is>
      </c>
      <c r="B5515" s="1" t="n">
        <v>44832</v>
      </c>
      <c r="C5515" s="1" t="n">
        <v>45212</v>
      </c>
      <c r="D5515" t="inlineStr">
        <is>
          <t>VÄSTERNORRLANDS LÄN</t>
        </is>
      </c>
      <c r="E5515" t="inlineStr">
        <is>
          <t>SOLLEFTEÅ</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42726-2022</t>
        </is>
      </c>
      <c r="B5516" s="1" t="n">
        <v>44832</v>
      </c>
      <c r="C5516" s="1" t="n">
        <v>45212</v>
      </c>
      <c r="D5516" t="inlineStr">
        <is>
          <t>VÄSTERNORRLANDS LÄN</t>
        </is>
      </c>
      <c r="E5516" t="inlineStr">
        <is>
          <t>SUNDSVALL</t>
        </is>
      </c>
      <c r="G5516" t="n">
        <v>7.4</v>
      </c>
      <c r="H5516" t="n">
        <v>0</v>
      </c>
      <c r="I5516" t="n">
        <v>0</v>
      </c>
      <c r="J5516" t="n">
        <v>0</v>
      </c>
      <c r="K5516" t="n">
        <v>0</v>
      </c>
      <c r="L5516" t="n">
        <v>0</v>
      </c>
      <c r="M5516" t="n">
        <v>0</v>
      </c>
      <c r="N5516" t="n">
        <v>0</v>
      </c>
      <c r="O5516" t="n">
        <v>0</v>
      </c>
      <c r="P5516" t="n">
        <v>0</v>
      </c>
      <c r="Q5516" t="n">
        <v>0</v>
      </c>
      <c r="R5516" s="2" t="inlineStr"/>
    </row>
    <row r="5517" ht="15" customHeight="1">
      <c r="A5517" t="inlineStr">
        <is>
          <t>A 42857-2022</t>
        </is>
      </c>
      <c r="B5517" s="1" t="n">
        <v>44832</v>
      </c>
      <c r="C5517" s="1" t="n">
        <v>45212</v>
      </c>
      <c r="D5517" t="inlineStr">
        <is>
          <t>VÄSTERNORRLANDS LÄN</t>
        </is>
      </c>
      <c r="E5517" t="inlineStr">
        <is>
          <t>ÅNGE</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42715-2022</t>
        </is>
      </c>
      <c r="B5518" s="1" t="n">
        <v>44832</v>
      </c>
      <c r="C5518" s="1" t="n">
        <v>45212</v>
      </c>
      <c r="D5518" t="inlineStr">
        <is>
          <t>VÄSTERNORRLANDS LÄN</t>
        </is>
      </c>
      <c r="E5518" t="inlineStr">
        <is>
          <t>ÖRNSKÖLDSVIK</t>
        </is>
      </c>
      <c r="F5518" t="inlineStr">
        <is>
          <t>Holmen skog AB</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42879-2022</t>
        </is>
      </c>
      <c r="B5519" s="1" t="n">
        <v>44832</v>
      </c>
      <c r="C5519" s="1" t="n">
        <v>45212</v>
      </c>
      <c r="D5519" t="inlineStr">
        <is>
          <t>VÄSTERNORRLANDS LÄN</t>
        </is>
      </c>
      <c r="E5519" t="inlineStr">
        <is>
          <t>SUNDSVALL</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42730-2022</t>
        </is>
      </c>
      <c r="B5520" s="1" t="n">
        <v>44832</v>
      </c>
      <c r="C5520" s="1" t="n">
        <v>45212</v>
      </c>
      <c r="D5520" t="inlineStr">
        <is>
          <t>VÄSTERNORRLANDS LÄN</t>
        </is>
      </c>
      <c r="E5520" t="inlineStr">
        <is>
          <t>ÖRNSKÖLDSVIK</t>
        </is>
      </c>
      <c r="F5520" t="inlineStr">
        <is>
          <t>Holmen skog AB</t>
        </is>
      </c>
      <c r="G5520" t="n">
        <v>1.5</v>
      </c>
      <c r="H5520" t="n">
        <v>0</v>
      </c>
      <c r="I5520" t="n">
        <v>0</v>
      </c>
      <c r="J5520" t="n">
        <v>0</v>
      </c>
      <c r="K5520" t="n">
        <v>0</v>
      </c>
      <c r="L5520" t="n">
        <v>0</v>
      </c>
      <c r="M5520" t="n">
        <v>0</v>
      </c>
      <c r="N5520" t="n">
        <v>0</v>
      </c>
      <c r="O5520" t="n">
        <v>0</v>
      </c>
      <c r="P5520" t="n">
        <v>0</v>
      </c>
      <c r="Q5520" t="n">
        <v>0</v>
      </c>
      <c r="R5520" s="2" t="inlineStr"/>
    </row>
    <row r="5521" ht="15" customHeight="1">
      <c r="A5521" t="inlineStr">
        <is>
          <t>A 42755-2022</t>
        </is>
      </c>
      <c r="B5521" s="1" t="n">
        <v>44832</v>
      </c>
      <c r="C5521" s="1" t="n">
        <v>45212</v>
      </c>
      <c r="D5521" t="inlineStr">
        <is>
          <t>VÄSTERNORRLANDS LÄN</t>
        </is>
      </c>
      <c r="E5521" t="inlineStr">
        <is>
          <t>SOLLEFTEÅ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42818-2022</t>
        </is>
      </c>
      <c r="B5522" s="1" t="n">
        <v>44832</v>
      </c>
      <c r="C5522" s="1" t="n">
        <v>45212</v>
      </c>
      <c r="D5522" t="inlineStr">
        <is>
          <t>VÄSTERNORRLANDS LÄN</t>
        </is>
      </c>
      <c r="E5522" t="inlineStr">
        <is>
          <t>SUNDSVALL</t>
        </is>
      </c>
      <c r="G5522" t="n">
        <v>7.9</v>
      </c>
      <c r="H5522" t="n">
        <v>0</v>
      </c>
      <c r="I5522" t="n">
        <v>0</v>
      </c>
      <c r="J5522" t="n">
        <v>0</v>
      </c>
      <c r="K5522" t="n">
        <v>0</v>
      </c>
      <c r="L5522" t="n">
        <v>0</v>
      </c>
      <c r="M5522" t="n">
        <v>0</v>
      </c>
      <c r="N5522" t="n">
        <v>0</v>
      </c>
      <c r="O5522" t="n">
        <v>0</v>
      </c>
      <c r="P5522" t="n">
        <v>0</v>
      </c>
      <c r="Q5522" t="n">
        <v>0</v>
      </c>
      <c r="R5522" s="2" t="inlineStr"/>
    </row>
    <row r="5523" ht="15" customHeight="1">
      <c r="A5523" t="inlineStr">
        <is>
          <t>A 42904-2022</t>
        </is>
      </c>
      <c r="B5523" s="1" t="n">
        <v>44832</v>
      </c>
      <c r="C5523" s="1" t="n">
        <v>45212</v>
      </c>
      <c r="D5523" t="inlineStr">
        <is>
          <t>VÄSTERNORRLANDS LÄN</t>
        </is>
      </c>
      <c r="E5523" t="inlineStr">
        <is>
          <t>SUNDSVALL</t>
        </is>
      </c>
      <c r="F5523" t="inlineStr">
        <is>
          <t>SCA</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43066-2022</t>
        </is>
      </c>
      <c r="B5524" s="1" t="n">
        <v>44833</v>
      </c>
      <c r="C5524" s="1" t="n">
        <v>45212</v>
      </c>
      <c r="D5524" t="inlineStr">
        <is>
          <t>VÄSTERNORRLANDS LÄN</t>
        </is>
      </c>
      <c r="E5524" t="inlineStr">
        <is>
          <t>ÅNGE</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43112-2022</t>
        </is>
      </c>
      <c r="B5525" s="1" t="n">
        <v>44833</v>
      </c>
      <c r="C5525" s="1" t="n">
        <v>45212</v>
      </c>
      <c r="D5525" t="inlineStr">
        <is>
          <t>VÄSTERNORRLANDS LÄN</t>
        </is>
      </c>
      <c r="E5525" t="inlineStr">
        <is>
          <t>SUNDSVALL</t>
        </is>
      </c>
      <c r="F5525" t="inlineStr">
        <is>
          <t>Kyrkan</t>
        </is>
      </c>
      <c r="G5525" t="n">
        <v>19.4</v>
      </c>
      <c r="H5525" t="n">
        <v>0</v>
      </c>
      <c r="I5525" t="n">
        <v>0</v>
      </c>
      <c r="J5525" t="n">
        <v>0</v>
      </c>
      <c r="K5525" t="n">
        <v>0</v>
      </c>
      <c r="L5525" t="n">
        <v>0</v>
      </c>
      <c r="M5525" t="n">
        <v>0</v>
      </c>
      <c r="N5525" t="n">
        <v>0</v>
      </c>
      <c r="O5525" t="n">
        <v>0</v>
      </c>
      <c r="P5525" t="n">
        <v>0</v>
      </c>
      <c r="Q5525" t="n">
        <v>0</v>
      </c>
      <c r="R5525" s="2" t="inlineStr"/>
    </row>
    <row r="5526" ht="15" customHeight="1">
      <c r="A5526" t="inlineStr">
        <is>
          <t>A 43233-2022</t>
        </is>
      </c>
      <c r="B5526" s="1" t="n">
        <v>44833</v>
      </c>
      <c r="C5526" s="1" t="n">
        <v>45212</v>
      </c>
      <c r="D5526" t="inlineStr">
        <is>
          <t>VÄSTERNORRLANDS LÄN</t>
        </is>
      </c>
      <c r="E5526" t="inlineStr">
        <is>
          <t>TIMRÅ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43340-2022</t>
        </is>
      </c>
      <c r="B5527" s="1" t="n">
        <v>44833</v>
      </c>
      <c r="C5527" s="1" t="n">
        <v>45212</v>
      </c>
      <c r="D5527" t="inlineStr">
        <is>
          <t>VÄSTERNORRLANDS LÄN</t>
        </is>
      </c>
      <c r="E5527" t="inlineStr">
        <is>
          <t>KRAMFORS</t>
        </is>
      </c>
      <c r="G5527" t="n">
        <v>2.4</v>
      </c>
      <c r="H5527" t="n">
        <v>0</v>
      </c>
      <c r="I5527" t="n">
        <v>0</v>
      </c>
      <c r="J5527" t="n">
        <v>0</v>
      </c>
      <c r="K5527" t="n">
        <v>0</v>
      </c>
      <c r="L5527" t="n">
        <v>0</v>
      </c>
      <c r="M5527" t="n">
        <v>0</v>
      </c>
      <c r="N5527" t="n">
        <v>0</v>
      </c>
      <c r="O5527" t="n">
        <v>0</v>
      </c>
      <c r="P5527" t="n">
        <v>0</v>
      </c>
      <c r="Q5527" t="n">
        <v>0</v>
      </c>
      <c r="R5527" s="2" t="inlineStr"/>
    </row>
    <row r="5528" ht="15" customHeight="1">
      <c r="A5528" t="inlineStr">
        <is>
          <t>A 43035-2022</t>
        </is>
      </c>
      <c r="B5528" s="1" t="n">
        <v>44833</v>
      </c>
      <c r="C5528" s="1" t="n">
        <v>45212</v>
      </c>
      <c r="D5528" t="inlineStr">
        <is>
          <t>VÄSTERNORRLANDS LÄN</t>
        </is>
      </c>
      <c r="E5528" t="inlineStr">
        <is>
          <t>SOLLEFTEÅ</t>
        </is>
      </c>
      <c r="F5528" t="inlineStr">
        <is>
          <t>Kommuner</t>
        </is>
      </c>
      <c r="G5528" t="n">
        <v>19.8</v>
      </c>
      <c r="H5528" t="n">
        <v>0</v>
      </c>
      <c r="I5528" t="n">
        <v>0</v>
      </c>
      <c r="J5528" t="n">
        <v>0</v>
      </c>
      <c r="K5528" t="n">
        <v>0</v>
      </c>
      <c r="L5528" t="n">
        <v>0</v>
      </c>
      <c r="M5528" t="n">
        <v>0</v>
      </c>
      <c r="N5528" t="n">
        <v>0</v>
      </c>
      <c r="O5528" t="n">
        <v>0</v>
      </c>
      <c r="P5528" t="n">
        <v>0</v>
      </c>
      <c r="Q5528" t="n">
        <v>0</v>
      </c>
      <c r="R5528" s="2" t="inlineStr"/>
    </row>
    <row r="5529" ht="15" customHeight="1">
      <c r="A5529" t="inlineStr">
        <is>
          <t>A 43130-2022</t>
        </is>
      </c>
      <c r="B5529" s="1" t="n">
        <v>44833</v>
      </c>
      <c r="C5529" s="1" t="n">
        <v>45212</v>
      </c>
      <c r="D5529" t="inlineStr">
        <is>
          <t>VÄSTERNORRLANDS LÄN</t>
        </is>
      </c>
      <c r="E5529" t="inlineStr">
        <is>
          <t>SOLLEFTEÅ</t>
        </is>
      </c>
      <c r="G5529" t="n">
        <v>4.3</v>
      </c>
      <c r="H5529" t="n">
        <v>0</v>
      </c>
      <c r="I5529" t="n">
        <v>0</v>
      </c>
      <c r="J5529" t="n">
        <v>0</v>
      </c>
      <c r="K5529" t="n">
        <v>0</v>
      </c>
      <c r="L5529" t="n">
        <v>0</v>
      </c>
      <c r="M5529" t="n">
        <v>0</v>
      </c>
      <c r="N5529" t="n">
        <v>0</v>
      </c>
      <c r="O5529" t="n">
        <v>0</v>
      </c>
      <c r="P5529" t="n">
        <v>0</v>
      </c>
      <c r="Q5529" t="n">
        <v>0</v>
      </c>
      <c r="R5529" s="2" t="inlineStr"/>
    </row>
    <row r="5530" ht="15" customHeight="1">
      <c r="A5530" t="inlineStr">
        <is>
          <t>A 43262-2022</t>
        </is>
      </c>
      <c r="B5530" s="1" t="n">
        <v>44833</v>
      </c>
      <c r="C5530" s="1" t="n">
        <v>45212</v>
      </c>
      <c r="D5530" t="inlineStr">
        <is>
          <t>VÄSTERNORRLANDS LÄN</t>
        </is>
      </c>
      <c r="E5530" t="inlineStr">
        <is>
          <t>HÄRNÖSAND</t>
        </is>
      </c>
      <c r="G5530" t="n">
        <v>12.8</v>
      </c>
      <c r="H5530" t="n">
        <v>0</v>
      </c>
      <c r="I5530" t="n">
        <v>0</v>
      </c>
      <c r="J5530" t="n">
        <v>0</v>
      </c>
      <c r="K5530" t="n">
        <v>0</v>
      </c>
      <c r="L5530" t="n">
        <v>0</v>
      </c>
      <c r="M5530" t="n">
        <v>0</v>
      </c>
      <c r="N5530" t="n">
        <v>0</v>
      </c>
      <c r="O5530" t="n">
        <v>0</v>
      </c>
      <c r="P5530" t="n">
        <v>0</v>
      </c>
      <c r="Q5530" t="n">
        <v>0</v>
      </c>
      <c r="R5530" s="2" t="inlineStr"/>
    </row>
    <row r="5531" ht="15" customHeight="1">
      <c r="A5531" t="inlineStr">
        <is>
          <t>A 43135-2022</t>
        </is>
      </c>
      <c r="B5531" s="1" t="n">
        <v>44833</v>
      </c>
      <c r="C5531" s="1" t="n">
        <v>45212</v>
      </c>
      <c r="D5531" t="inlineStr">
        <is>
          <t>VÄSTERNORRLANDS LÄN</t>
        </is>
      </c>
      <c r="E5531" t="inlineStr">
        <is>
          <t>TIMRÅ</t>
        </is>
      </c>
      <c r="F5531" t="inlineStr">
        <is>
          <t>SCA</t>
        </is>
      </c>
      <c r="G5531" t="n">
        <v>3</v>
      </c>
      <c r="H5531" t="n">
        <v>0</v>
      </c>
      <c r="I5531" t="n">
        <v>0</v>
      </c>
      <c r="J5531" t="n">
        <v>0</v>
      </c>
      <c r="K5531" t="n">
        <v>0</v>
      </c>
      <c r="L5531" t="n">
        <v>0</v>
      </c>
      <c r="M5531" t="n">
        <v>0</v>
      </c>
      <c r="N5531" t="n">
        <v>0</v>
      </c>
      <c r="O5531" t="n">
        <v>0</v>
      </c>
      <c r="P5531" t="n">
        <v>0</v>
      </c>
      <c r="Q5531" t="n">
        <v>0</v>
      </c>
      <c r="R5531" s="2" t="inlineStr"/>
    </row>
    <row r="5532" ht="15" customHeight="1">
      <c r="A5532" t="inlineStr">
        <is>
          <t>A 43238-2022</t>
        </is>
      </c>
      <c r="B5532" s="1" t="n">
        <v>44833</v>
      </c>
      <c r="C5532" s="1" t="n">
        <v>45212</v>
      </c>
      <c r="D5532" t="inlineStr">
        <is>
          <t>VÄSTERNORRLANDS LÄN</t>
        </is>
      </c>
      <c r="E5532" t="inlineStr">
        <is>
          <t>KRAMFORS</t>
        </is>
      </c>
      <c r="G5532" t="n">
        <v>1.2</v>
      </c>
      <c r="H5532" t="n">
        <v>0</v>
      </c>
      <c r="I5532" t="n">
        <v>0</v>
      </c>
      <c r="J5532" t="n">
        <v>0</v>
      </c>
      <c r="K5532" t="n">
        <v>0</v>
      </c>
      <c r="L5532" t="n">
        <v>0</v>
      </c>
      <c r="M5532" t="n">
        <v>0</v>
      </c>
      <c r="N5532" t="n">
        <v>0</v>
      </c>
      <c r="O5532" t="n">
        <v>0</v>
      </c>
      <c r="P5532" t="n">
        <v>0</v>
      </c>
      <c r="Q5532" t="n">
        <v>0</v>
      </c>
      <c r="R5532" s="2" t="inlineStr"/>
    </row>
    <row r="5533" ht="15" customHeight="1">
      <c r="A5533" t="inlineStr">
        <is>
          <t>A 43237-2022</t>
        </is>
      </c>
      <c r="B5533" s="1" t="n">
        <v>44833</v>
      </c>
      <c r="C5533" s="1" t="n">
        <v>45212</v>
      </c>
      <c r="D5533" t="inlineStr">
        <is>
          <t>VÄSTERNORRLANDS LÄN</t>
        </is>
      </c>
      <c r="E5533" t="inlineStr">
        <is>
          <t>TIMRÅ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43419-2022</t>
        </is>
      </c>
      <c r="B5534" s="1" t="n">
        <v>44834</v>
      </c>
      <c r="C5534" s="1" t="n">
        <v>45212</v>
      </c>
      <c r="D5534" t="inlineStr">
        <is>
          <t>VÄSTERNORRLANDS LÄN</t>
        </is>
      </c>
      <c r="E5534" t="inlineStr">
        <is>
          <t>HÄRNÖSAND</t>
        </is>
      </c>
      <c r="F5534" t="inlineStr">
        <is>
          <t>SCA</t>
        </is>
      </c>
      <c r="G5534" t="n">
        <v>3.4</v>
      </c>
      <c r="H5534" t="n">
        <v>0</v>
      </c>
      <c r="I5534" t="n">
        <v>0</v>
      </c>
      <c r="J5534" t="n">
        <v>0</v>
      </c>
      <c r="K5534" t="n">
        <v>0</v>
      </c>
      <c r="L5534" t="n">
        <v>0</v>
      </c>
      <c r="M5534" t="n">
        <v>0</v>
      </c>
      <c r="N5534" t="n">
        <v>0</v>
      </c>
      <c r="O5534" t="n">
        <v>0</v>
      </c>
      <c r="P5534" t="n">
        <v>0</v>
      </c>
      <c r="Q5534" t="n">
        <v>0</v>
      </c>
      <c r="R5534" s="2" t="inlineStr"/>
    </row>
    <row r="5535" ht="15" customHeight="1">
      <c r="A5535" t="inlineStr">
        <is>
          <t>A 43435-2022</t>
        </is>
      </c>
      <c r="B5535" s="1" t="n">
        <v>44834</v>
      </c>
      <c r="C5535" s="1" t="n">
        <v>45212</v>
      </c>
      <c r="D5535" t="inlineStr">
        <is>
          <t>VÄSTERNORRLANDS LÄN</t>
        </is>
      </c>
      <c r="E5535" t="inlineStr">
        <is>
          <t>KRAMFORS</t>
        </is>
      </c>
      <c r="F5535" t="inlineStr">
        <is>
          <t>SCA</t>
        </is>
      </c>
      <c r="G5535" t="n">
        <v>0.7</v>
      </c>
      <c r="H5535" t="n">
        <v>0</v>
      </c>
      <c r="I5535" t="n">
        <v>0</v>
      </c>
      <c r="J5535" t="n">
        <v>0</v>
      </c>
      <c r="K5535" t="n">
        <v>0</v>
      </c>
      <c r="L5535" t="n">
        <v>0</v>
      </c>
      <c r="M5535" t="n">
        <v>0</v>
      </c>
      <c r="N5535" t="n">
        <v>0</v>
      </c>
      <c r="O5535" t="n">
        <v>0</v>
      </c>
      <c r="P5535" t="n">
        <v>0</v>
      </c>
      <c r="Q5535" t="n">
        <v>0</v>
      </c>
      <c r="R5535" s="2" t="inlineStr"/>
    </row>
    <row r="5536" ht="15" customHeight="1">
      <c r="A5536" t="inlineStr">
        <is>
          <t>A 43176-2022</t>
        </is>
      </c>
      <c r="B5536" s="1" t="n">
        <v>44834</v>
      </c>
      <c r="C5536" s="1" t="n">
        <v>45212</v>
      </c>
      <c r="D5536" t="inlineStr">
        <is>
          <t>VÄSTERNORRLANDS LÄN</t>
        </is>
      </c>
      <c r="E5536" t="inlineStr">
        <is>
          <t>ÖRNSKÖLDSVIK</t>
        </is>
      </c>
      <c r="F5536" t="inlineStr">
        <is>
          <t>Holmen skog AB</t>
        </is>
      </c>
      <c r="G5536" t="n">
        <v>19.8</v>
      </c>
      <c r="H5536" t="n">
        <v>0</v>
      </c>
      <c r="I5536" t="n">
        <v>0</v>
      </c>
      <c r="J5536" t="n">
        <v>0</v>
      </c>
      <c r="K5536" t="n">
        <v>0</v>
      </c>
      <c r="L5536" t="n">
        <v>0</v>
      </c>
      <c r="M5536" t="n">
        <v>0</v>
      </c>
      <c r="N5536" t="n">
        <v>0</v>
      </c>
      <c r="O5536" t="n">
        <v>0</v>
      </c>
      <c r="P5536" t="n">
        <v>0</v>
      </c>
      <c r="Q5536" t="n">
        <v>0</v>
      </c>
      <c r="R5536" s="2" t="inlineStr"/>
    </row>
    <row r="5537" ht="15" customHeight="1">
      <c r="A5537" t="inlineStr">
        <is>
          <t>A 43415-2022</t>
        </is>
      </c>
      <c r="B5537" s="1" t="n">
        <v>44834</v>
      </c>
      <c r="C5537" s="1" t="n">
        <v>45212</v>
      </c>
      <c r="D5537" t="inlineStr">
        <is>
          <t>VÄSTERNORRLANDS LÄN</t>
        </is>
      </c>
      <c r="E5537" t="inlineStr">
        <is>
          <t>HÄRNÖSAND</t>
        </is>
      </c>
      <c r="G5537" t="n">
        <v>6.6</v>
      </c>
      <c r="H5537" t="n">
        <v>0</v>
      </c>
      <c r="I5537" t="n">
        <v>0</v>
      </c>
      <c r="J5537" t="n">
        <v>0</v>
      </c>
      <c r="K5537" t="n">
        <v>0</v>
      </c>
      <c r="L5537" t="n">
        <v>0</v>
      </c>
      <c r="M5537" t="n">
        <v>0</v>
      </c>
      <c r="N5537" t="n">
        <v>0</v>
      </c>
      <c r="O5537" t="n">
        <v>0</v>
      </c>
      <c r="P5537" t="n">
        <v>0</v>
      </c>
      <c r="Q5537" t="n">
        <v>0</v>
      </c>
      <c r="R5537" s="2" t="inlineStr"/>
    </row>
    <row r="5538" ht="15" customHeight="1">
      <c r="A5538" t="inlineStr">
        <is>
          <t>A 43433-2022</t>
        </is>
      </c>
      <c r="B5538" s="1" t="n">
        <v>44834</v>
      </c>
      <c r="C5538" s="1" t="n">
        <v>45212</v>
      </c>
      <c r="D5538" t="inlineStr">
        <is>
          <t>VÄSTERNORRLANDS LÄN</t>
        </is>
      </c>
      <c r="E5538" t="inlineStr">
        <is>
          <t>SOLLEFTEÅ</t>
        </is>
      </c>
      <c r="F5538" t="inlineStr">
        <is>
          <t>SCA</t>
        </is>
      </c>
      <c r="G5538" t="n">
        <v>3.6</v>
      </c>
      <c r="H5538" t="n">
        <v>0</v>
      </c>
      <c r="I5538" t="n">
        <v>0</v>
      </c>
      <c r="J5538" t="n">
        <v>0</v>
      </c>
      <c r="K5538" t="n">
        <v>0</v>
      </c>
      <c r="L5538" t="n">
        <v>0</v>
      </c>
      <c r="M5538" t="n">
        <v>0</v>
      </c>
      <c r="N5538" t="n">
        <v>0</v>
      </c>
      <c r="O5538" t="n">
        <v>0</v>
      </c>
      <c r="P5538" t="n">
        <v>0</v>
      </c>
      <c r="Q5538" t="n">
        <v>0</v>
      </c>
      <c r="R5538" s="2" t="inlineStr"/>
    </row>
    <row r="5539" ht="15" customHeight="1">
      <c r="A5539" t="inlineStr">
        <is>
          <t>A 43576-2022</t>
        </is>
      </c>
      <c r="B5539" s="1" t="n">
        <v>44834</v>
      </c>
      <c r="C5539" s="1" t="n">
        <v>45212</v>
      </c>
      <c r="D5539" t="inlineStr">
        <is>
          <t>VÄSTERNORRLANDS LÄN</t>
        </is>
      </c>
      <c r="E5539" t="inlineStr">
        <is>
          <t>ÖRNSKÖLDSVIK</t>
        </is>
      </c>
      <c r="G5539" t="n">
        <v>6.1</v>
      </c>
      <c r="H5539" t="n">
        <v>0</v>
      </c>
      <c r="I5539" t="n">
        <v>0</v>
      </c>
      <c r="J5539" t="n">
        <v>0</v>
      </c>
      <c r="K5539" t="n">
        <v>0</v>
      </c>
      <c r="L5539" t="n">
        <v>0</v>
      </c>
      <c r="M5539" t="n">
        <v>0</v>
      </c>
      <c r="N5539" t="n">
        <v>0</v>
      </c>
      <c r="O5539" t="n">
        <v>0</v>
      </c>
      <c r="P5539" t="n">
        <v>0</v>
      </c>
      <c r="Q5539" t="n">
        <v>0</v>
      </c>
      <c r="R5539" s="2" t="inlineStr"/>
    </row>
    <row r="5540" ht="15" customHeight="1">
      <c r="A5540" t="inlineStr">
        <is>
          <t>A 43554-2022</t>
        </is>
      </c>
      <c r="B5540" s="1" t="n">
        <v>44834</v>
      </c>
      <c r="C5540" s="1" t="n">
        <v>45212</v>
      </c>
      <c r="D5540" t="inlineStr">
        <is>
          <t>VÄSTERNORRLANDS LÄN</t>
        </is>
      </c>
      <c r="E5540" t="inlineStr">
        <is>
          <t>KRAMFORS</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43413-2022</t>
        </is>
      </c>
      <c r="B5541" s="1" t="n">
        <v>44834</v>
      </c>
      <c r="C5541" s="1" t="n">
        <v>45212</v>
      </c>
      <c r="D5541" t="inlineStr">
        <is>
          <t>VÄSTERNORRLANDS LÄN</t>
        </is>
      </c>
      <c r="E5541" t="inlineStr">
        <is>
          <t>SUNDSVALL</t>
        </is>
      </c>
      <c r="G5541" t="n">
        <v>4.3</v>
      </c>
      <c r="H5541" t="n">
        <v>0</v>
      </c>
      <c r="I5541" t="n">
        <v>0</v>
      </c>
      <c r="J5541" t="n">
        <v>0</v>
      </c>
      <c r="K5541" t="n">
        <v>0</v>
      </c>
      <c r="L5541" t="n">
        <v>0</v>
      </c>
      <c r="M5541" t="n">
        <v>0</v>
      </c>
      <c r="N5541" t="n">
        <v>0</v>
      </c>
      <c r="O5541" t="n">
        <v>0</v>
      </c>
      <c r="P5541" t="n">
        <v>0</v>
      </c>
      <c r="Q5541" t="n">
        <v>0</v>
      </c>
      <c r="R5541" s="2" t="inlineStr"/>
    </row>
    <row r="5542" ht="15" customHeight="1">
      <c r="A5542" t="inlineStr">
        <is>
          <t>A 43442-2022</t>
        </is>
      </c>
      <c r="B5542" s="1" t="n">
        <v>44834</v>
      </c>
      <c r="C5542" s="1" t="n">
        <v>45212</v>
      </c>
      <c r="D5542" t="inlineStr">
        <is>
          <t>VÄSTERNORRLANDS LÄN</t>
        </is>
      </c>
      <c r="E5542" t="inlineStr">
        <is>
          <t>SOLLEFTEÅ</t>
        </is>
      </c>
      <c r="F5542" t="inlineStr">
        <is>
          <t>Kyrkan</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43881-2022</t>
        </is>
      </c>
      <c r="B5543" s="1" t="n">
        <v>44837</v>
      </c>
      <c r="C5543" s="1" t="n">
        <v>45212</v>
      </c>
      <c r="D5543" t="inlineStr">
        <is>
          <t>VÄSTERNORRLANDS LÄN</t>
        </is>
      </c>
      <c r="E5543" t="inlineStr">
        <is>
          <t>ÖRNSKÖLDSVIK</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43906-2022</t>
        </is>
      </c>
      <c r="B5544" s="1" t="n">
        <v>44837</v>
      </c>
      <c r="C5544" s="1" t="n">
        <v>45212</v>
      </c>
      <c r="D5544" t="inlineStr">
        <is>
          <t>VÄSTERNORRLANDS LÄN</t>
        </is>
      </c>
      <c r="E5544" t="inlineStr">
        <is>
          <t>ÖRNSKÖLDSVIK</t>
        </is>
      </c>
      <c r="G5544" t="n">
        <v>5.8</v>
      </c>
      <c r="H5544" t="n">
        <v>0</v>
      </c>
      <c r="I5544" t="n">
        <v>0</v>
      </c>
      <c r="J5544" t="n">
        <v>0</v>
      </c>
      <c r="K5544" t="n">
        <v>0</v>
      </c>
      <c r="L5544" t="n">
        <v>0</v>
      </c>
      <c r="M5544" t="n">
        <v>0</v>
      </c>
      <c r="N5544" t="n">
        <v>0</v>
      </c>
      <c r="O5544" t="n">
        <v>0</v>
      </c>
      <c r="P5544" t="n">
        <v>0</v>
      </c>
      <c r="Q5544" t="n">
        <v>0</v>
      </c>
      <c r="R5544" s="2" t="inlineStr"/>
    </row>
    <row r="5545" ht="15" customHeight="1">
      <c r="A5545" t="inlineStr">
        <is>
          <t>A 43539-2022</t>
        </is>
      </c>
      <c r="B5545" s="1" t="n">
        <v>44837</v>
      </c>
      <c r="C5545" s="1" t="n">
        <v>45212</v>
      </c>
      <c r="D5545" t="inlineStr">
        <is>
          <t>VÄSTERNORRLANDS LÄN</t>
        </is>
      </c>
      <c r="E5545" t="inlineStr">
        <is>
          <t>HÄRNÖSAND</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43772-2022</t>
        </is>
      </c>
      <c r="B5546" s="1" t="n">
        <v>44837</v>
      </c>
      <c r="C5546" s="1" t="n">
        <v>45212</v>
      </c>
      <c r="D5546" t="inlineStr">
        <is>
          <t>VÄSTERNORRLANDS LÄN</t>
        </is>
      </c>
      <c r="E5546" t="inlineStr">
        <is>
          <t>SOLLEFTEÅ</t>
        </is>
      </c>
      <c r="F5546" t="inlineStr">
        <is>
          <t>Kyrkan</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43788-2022</t>
        </is>
      </c>
      <c r="B5547" s="1" t="n">
        <v>44837</v>
      </c>
      <c r="C5547" s="1" t="n">
        <v>45212</v>
      </c>
      <c r="D5547" t="inlineStr">
        <is>
          <t>VÄSTERNORRLANDS LÄN</t>
        </is>
      </c>
      <c r="E5547" t="inlineStr">
        <is>
          <t>ÅNGE</t>
        </is>
      </c>
      <c r="F5547" t="inlineStr">
        <is>
          <t>SCA</t>
        </is>
      </c>
      <c r="G5547" t="n">
        <v>7.7</v>
      </c>
      <c r="H5547" t="n">
        <v>0</v>
      </c>
      <c r="I5547" t="n">
        <v>0</v>
      </c>
      <c r="J5547" t="n">
        <v>0</v>
      </c>
      <c r="K5547" t="n">
        <v>0</v>
      </c>
      <c r="L5547" t="n">
        <v>0</v>
      </c>
      <c r="M5547" t="n">
        <v>0</v>
      </c>
      <c r="N5547" t="n">
        <v>0</v>
      </c>
      <c r="O5547" t="n">
        <v>0</v>
      </c>
      <c r="P5547" t="n">
        <v>0</v>
      </c>
      <c r="Q5547" t="n">
        <v>0</v>
      </c>
      <c r="R5547" s="2" t="inlineStr"/>
    </row>
    <row r="5548" ht="15" customHeight="1">
      <c r="A5548" t="inlineStr">
        <is>
          <t>A 43894-2022</t>
        </is>
      </c>
      <c r="B5548" s="1" t="n">
        <v>44837</v>
      </c>
      <c r="C5548" s="1" t="n">
        <v>45212</v>
      </c>
      <c r="D5548" t="inlineStr">
        <is>
          <t>VÄSTERNORRLANDS LÄN</t>
        </is>
      </c>
      <c r="E5548" t="inlineStr">
        <is>
          <t>KRAMFORS</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43541-2022</t>
        </is>
      </c>
      <c r="B5549" s="1" t="n">
        <v>44837</v>
      </c>
      <c r="C5549" s="1" t="n">
        <v>45212</v>
      </c>
      <c r="D5549" t="inlineStr">
        <is>
          <t>VÄSTERNORRLANDS LÄN</t>
        </is>
      </c>
      <c r="E5549" t="inlineStr">
        <is>
          <t>HÄRNÖSAND</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43774-2022</t>
        </is>
      </c>
      <c r="B5550" s="1" t="n">
        <v>44837</v>
      </c>
      <c r="C5550" s="1" t="n">
        <v>45212</v>
      </c>
      <c r="D5550" t="inlineStr">
        <is>
          <t>VÄSTERNORRLANDS LÄN</t>
        </is>
      </c>
      <c r="E5550" t="inlineStr">
        <is>
          <t>SOLLEFTEÅ</t>
        </is>
      </c>
      <c r="G5550" t="n">
        <v>6.1</v>
      </c>
      <c r="H5550" t="n">
        <v>0</v>
      </c>
      <c r="I5550" t="n">
        <v>0</v>
      </c>
      <c r="J5550" t="n">
        <v>0</v>
      </c>
      <c r="K5550" t="n">
        <v>0</v>
      </c>
      <c r="L5550" t="n">
        <v>0</v>
      </c>
      <c r="M5550" t="n">
        <v>0</v>
      </c>
      <c r="N5550" t="n">
        <v>0</v>
      </c>
      <c r="O5550" t="n">
        <v>0</v>
      </c>
      <c r="P5550" t="n">
        <v>0</v>
      </c>
      <c r="Q5550" t="n">
        <v>0</v>
      </c>
      <c r="R5550" s="2" t="inlineStr"/>
    </row>
    <row r="5551" ht="15" customHeight="1">
      <c r="A5551" t="inlineStr">
        <is>
          <t>A 43783-2022</t>
        </is>
      </c>
      <c r="B5551" s="1" t="n">
        <v>44837</v>
      </c>
      <c r="C5551" s="1" t="n">
        <v>45212</v>
      </c>
      <c r="D5551" t="inlineStr">
        <is>
          <t>VÄSTERNORRLANDS LÄN</t>
        </is>
      </c>
      <c r="E5551" t="inlineStr">
        <is>
          <t>ÖRNSKÖLDSVIK</t>
        </is>
      </c>
      <c r="F5551" t="inlineStr">
        <is>
          <t>SCA</t>
        </is>
      </c>
      <c r="G5551" t="n">
        <v>80</v>
      </c>
      <c r="H5551" t="n">
        <v>0</v>
      </c>
      <c r="I5551" t="n">
        <v>0</v>
      </c>
      <c r="J5551" t="n">
        <v>0</v>
      </c>
      <c r="K5551" t="n">
        <v>0</v>
      </c>
      <c r="L5551" t="n">
        <v>0</v>
      </c>
      <c r="M5551" t="n">
        <v>0</v>
      </c>
      <c r="N5551" t="n">
        <v>0</v>
      </c>
      <c r="O5551" t="n">
        <v>0</v>
      </c>
      <c r="P5551" t="n">
        <v>0</v>
      </c>
      <c r="Q5551" t="n">
        <v>0</v>
      </c>
      <c r="R5551" s="2" t="inlineStr"/>
    </row>
    <row r="5552" ht="15" customHeight="1">
      <c r="A5552" t="inlineStr">
        <is>
          <t>A 43814-2022</t>
        </is>
      </c>
      <c r="B5552" s="1" t="n">
        <v>44837</v>
      </c>
      <c r="C5552" s="1" t="n">
        <v>45212</v>
      </c>
      <c r="D5552" t="inlineStr">
        <is>
          <t>VÄSTERNORRLANDS LÄN</t>
        </is>
      </c>
      <c r="E5552" t="inlineStr">
        <is>
          <t>ÖRNSKÖLDSVIK</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43933-2022</t>
        </is>
      </c>
      <c r="B5553" s="1" t="n">
        <v>44837</v>
      </c>
      <c r="C5553" s="1" t="n">
        <v>45212</v>
      </c>
      <c r="D5553" t="inlineStr">
        <is>
          <t>VÄSTERNORRLANDS LÄN</t>
        </is>
      </c>
      <c r="E5553" t="inlineStr">
        <is>
          <t>ÖRNSKÖLDSVIK</t>
        </is>
      </c>
      <c r="G5553" t="n">
        <v>34.6</v>
      </c>
      <c r="H5553" t="n">
        <v>0</v>
      </c>
      <c r="I5553" t="n">
        <v>0</v>
      </c>
      <c r="J5553" t="n">
        <v>0</v>
      </c>
      <c r="K5553" t="n">
        <v>0</v>
      </c>
      <c r="L5553" t="n">
        <v>0</v>
      </c>
      <c r="M5553" t="n">
        <v>0</v>
      </c>
      <c r="N5553" t="n">
        <v>0</v>
      </c>
      <c r="O5553" t="n">
        <v>0</v>
      </c>
      <c r="P5553" t="n">
        <v>0</v>
      </c>
      <c r="Q5553" t="n">
        <v>0</v>
      </c>
      <c r="R5553" s="2" t="inlineStr"/>
    </row>
    <row r="5554" ht="15" customHeight="1">
      <c r="A5554" t="inlineStr">
        <is>
          <t>A 43660-2022</t>
        </is>
      </c>
      <c r="B5554" s="1" t="n">
        <v>44837</v>
      </c>
      <c r="C5554" s="1" t="n">
        <v>45212</v>
      </c>
      <c r="D5554" t="inlineStr">
        <is>
          <t>VÄSTERNORRLANDS LÄN</t>
        </is>
      </c>
      <c r="E5554" t="inlineStr">
        <is>
          <t>ÖRNSKÖLDSVIK</t>
        </is>
      </c>
      <c r="F5554" t="inlineStr">
        <is>
          <t>Holmen skog AB</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43770-2022</t>
        </is>
      </c>
      <c r="B5555" s="1" t="n">
        <v>44837</v>
      </c>
      <c r="C5555" s="1" t="n">
        <v>45212</v>
      </c>
      <c r="D5555" t="inlineStr">
        <is>
          <t>VÄSTERNORRLANDS LÄN</t>
        </is>
      </c>
      <c r="E5555" t="inlineStr">
        <is>
          <t>SUNDSVALL</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43786-2022</t>
        </is>
      </c>
      <c r="B5556" s="1" t="n">
        <v>44837</v>
      </c>
      <c r="C5556" s="1" t="n">
        <v>45212</v>
      </c>
      <c r="D5556" t="inlineStr">
        <is>
          <t>VÄSTERNORRLANDS LÄN</t>
        </is>
      </c>
      <c r="E5556" t="inlineStr">
        <is>
          <t>SOLLEFTEÅ</t>
        </is>
      </c>
      <c r="F5556" t="inlineStr">
        <is>
          <t>SCA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43892-2022</t>
        </is>
      </c>
      <c r="B5557" s="1" t="n">
        <v>44837</v>
      </c>
      <c r="C5557" s="1" t="n">
        <v>45212</v>
      </c>
      <c r="D5557" t="inlineStr">
        <is>
          <t>VÄSTERNORRLANDS LÄN</t>
        </is>
      </c>
      <c r="E5557" t="inlineStr">
        <is>
          <t>KRAMFORS</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44399-2022</t>
        </is>
      </c>
      <c r="B5558" s="1" t="n">
        <v>44838</v>
      </c>
      <c r="C5558" s="1" t="n">
        <v>45212</v>
      </c>
      <c r="D5558" t="inlineStr">
        <is>
          <t>VÄSTERNORRLANDS LÄN</t>
        </is>
      </c>
      <c r="E5558" t="inlineStr">
        <is>
          <t>SUNDSVALL</t>
        </is>
      </c>
      <c r="G5558" t="n">
        <v>0.2</v>
      </c>
      <c r="H5558" t="n">
        <v>0</v>
      </c>
      <c r="I5558" t="n">
        <v>0</v>
      </c>
      <c r="J5558" t="n">
        <v>0</v>
      </c>
      <c r="K5558" t="n">
        <v>0</v>
      </c>
      <c r="L5558" t="n">
        <v>0</v>
      </c>
      <c r="M5558" t="n">
        <v>0</v>
      </c>
      <c r="N5558" t="n">
        <v>0</v>
      </c>
      <c r="O5558" t="n">
        <v>0</v>
      </c>
      <c r="P5558" t="n">
        <v>0</v>
      </c>
      <c r="Q5558" t="n">
        <v>0</v>
      </c>
      <c r="R5558" s="2" t="inlineStr"/>
    </row>
    <row r="5559" ht="15" customHeight="1">
      <c r="A5559" t="inlineStr">
        <is>
          <t>A 44404-2022</t>
        </is>
      </c>
      <c r="B5559" s="1" t="n">
        <v>44838</v>
      </c>
      <c r="C5559" s="1" t="n">
        <v>45212</v>
      </c>
      <c r="D5559" t="inlineStr">
        <is>
          <t>VÄSTERNORRLANDS LÄN</t>
        </is>
      </c>
      <c r="E5559" t="inlineStr">
        <is>
          <t>SUNDSVALL</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44406-2022</t>
        </is>
      </c>
      <c r="B5560" s="1" t="n">
        <v>44838</v>
      </c>
      <c r="C5560" s="1" t="n">
        <v>45212</v>
      </c>
      <c r="D5560" t="inlineStr">
        <is>
          <t>VÄSTERNORRLANDS LÄN</t>
        </is>
      </c>
      <c r="E5560" t="inlineStr">
        <is>
          <t>SUNDSVALL</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44378-2022</t>
        </is>
      </c>
      <c r="B5561" s="1" t="n">
        <v>44838</v>
      </c>
      <c r="C5561" s="1" t="n">
        <v>45212</v>
      </c>
      <c r="D5561" t="inlineStr">
        <is>
          <t>VÄSTERNORRLANDS LÄN</t>
        </is>
      </c>
      <c r="E5561" t="inlineStr">
        <is>
          <t>SUNDSVALL</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44405-2022</t>
        </is>
      </c>
      <c r="B5562" s="1" t="n">
        <v>44838</v>
      </c>
      <c r="C5562" s="1" t="n">
        <v>45212</v>
      </c>
      <c r="D5562" t="inlineStr">
        <is>
          <t>VÄSTERNORRLANDS LÄN</t>
        </is>
      </c>
      <c r="E5562" t="inlineStr">
        <is>
          <t>SUNDSVALL</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44416-2022</t>
        </is>
      </c>
      <c r="B5563" s="1" t="n">
        <v>44839</v>
      </c>
      <c r="C5563" s="1" t="n">
        <v>45212</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44432-2022</t>
        </is>
      </c>
      <c r="B5564" s="1" t="n">
        <v>44839</v>
      </c>
      <c r="C5564" s="1" t="n">
        <v>45212</v>
      </c>
      <c r="D5564" t="inlineStr">
        <is>
          <t>VÄSTERNORRLANDS LÄN</t>
        </is>
      </c>
      <c r="E5564" t="inlineStr">
        <is>
          <t>TIMRÅ</t>
        </is>
      </c>
      <c r="F5564" t="inlineStr">
        <is>
          <t>SCA</t>
        </is>
      </c>
      <c r="G5564" t="n">
        <v>3.9</v>
      </c>
      <c r="H5564" t="n">
        <v>0</v>
      </c>
      <c r="I5564" t="n">
        <v>0</v>
      </c>
      <c r="J5564" t="n">
        <v>0</v>
      </c>
      <c r="K5564" t="n">
        <v>0</v>
      </c>
      <c r="L5564" t="n">
        <v>0</v>
      </c>
      <c r="M5564" t="n">
        <v>0</v>
      </c>
      <c r="N5564" t="n">
        <v>0</v>
      </c>
      <c r="O5564" t="n">
        <v>0</v>
      </c>
      <c r="P5564" t="n">
        <v>0</v>
      </c>
      <c r="Q5564" t="n">
        <v>0</v>
      </c>
      <c r="R5564" s="2" t="inlineStr"/>
    </row>
    <row r="5565" ht="15" customHeight="1">
      <c r="A5565" t="inlineStr">
        <is>
          <t>A 44605-2022</t>
        </is>
      </c>
      <c r="B5565" s="1" t="n">
        <v>44839</v>
      </c>
      <c r="C5565" s="1" t="n">
        <v>45212</v>
      </c>
      <c r="D5565" t="inlineStr">
        <is>
          <t>VÄSTERNORRLANDS LÄN</t>
        </is>
      </c>
      <c r="E5565" t="inlineStr">
        <is>
          <t>SUNDSVALL</t>
        </is>
      </c>
      <c r="G5565" t="n">
        <v>5.9</v>
      </c>
      <c r="H5565" t="n">
        <v>0</v>
      </c>
      <c r="I5565" t="n">
        <v>0</v>
      </c>
      <c r="J5565" t="n">
        <v>0</v>
      </c>
      <c r="K5565" t="n">
        <v>0</v>
      </c>
      <c r="L5565" t="n">
        <v>0</v>
      </c>
      <c r="M5565" t="n">
        <v>0</v>
      </c>
      <c r="N5565" t="n">
        <v>0</v>
      </c>
      <c r="O5565" t="n">
        <v>0</v>
      </c>
      <c r="P5565" t="n">
        <v>0</v>
      </c>
      <c r="Q5565" t="n">
        <v>0</v>
      </c>
      <c r="R5565" s="2" t="inlineStr"/>
    </row>
    <row r="5566" ht="15" customHeight="1">
      <c r="A5566" t="inlineStr">
        <is>
          <t>A 44285-2022</t>
        </is>
      </c>
      <c r="B5566" s="1" t="n">
        <v>44839</v>
      </c>
      <c r="C5566" s="1" t="n">
        <v>45212</v>
      </c>
      <c r="D5566" t="inlineStr">
        <is>
          <t>VÄSTERNORRLANDS LÄN</t>
        </is>
      </c>
      <c r="E5566" t="inlineStr">
        <is>
          <t>SOLLEFTEÅ</t>
        </is>
      </c>
      <c r="F5566" t="inlineStr">
        <is>
          <t>Holmen skog AB</t>
        </is>
      </c>
      <c r="G5566" t="n">
        <v>13.9</v>
      </c>
      <c r="H5566" t="n">
        <v>0</v>
      </c>
      <c r="I5566" t="n">
        <v>0</v>
      </c>
      <c r="J5566" t="n">
        <v>0</v>
      </c>
      <c r="K5566" t="n">
        <v>0</v>
      </c>
      <c r="L5566" t="n">
        <v>0</v>
      </c>
      <c r="M5566" t="n">
        <v>0</v>
      </c>
      <c r="N5566" t="n">
        <v>0</v>
      </c>
      <c r="O5566" t="n">
        <v>0</v>
      </c>
      <c r="P5566" t="n">
        <v>0</v>
      </c>
      <c r="Q5566" t="n">
        <v>0</v>
      </c>
      <c r="R5566" s="2" t="inlineStr"/>
    </row>
    <row r="5567" ht="15" customHeight="1">
      <c r="A5567" t="inlineStr">
        <is>
          <t>A 44417-2022</t>
        </is>
      </c>
      <c r="B5567" s="1" t="n">
        <v>44839</v>
      </c>
      <c r="C5567" s="1" t="n">
        <v>45212</v>
      </c>
      <c r="D5567" t="inlineStr">
        <is>
          <t>VÄSTERNORRLANDS LÄN</t>
        </is>
      </c>
      <c r="E5567" t="inlineStr">
        <is>
          <t>ÖRNSKÖLDSVIK</t>
        </is>
      </c>
      <c r="G5567" t="n">
        <v>8.5</v>
      </c>
      <c r="H5567" t="n">
        <v>0</v>
      </c>
      <c r="I5567" t="n">
        <v>0</v>
      </c>
      <c r="J5567" t="n">
        <v>0</v>
      </c>
      <c r="K5567" t="n">
        <v>0</v>
      </c>
      <c r="L5567" t="n">
        <v>0</v>
      </c>
      <c r="M5567" t="n">
        <v>0</v>
      </c>
      <c r="N5567" t="n">
        <v>0</v>
      </c>
      <c r="O5567" t="n">
        <v>0</v>
      </c>
      <c r="P5567" t="n">
        <v>0</v>
      </c>
      <c r="Q5567" t="n">
        <v>0</v>
      </c>
      <c r="R5567" s="2" t="inlineStr"/>
    </row>
    <row r="5568" ht="15" customHeight="1">
      <c r="A5568" t="inlineStr">
        <is>
          <t>A 44596-2022</t>
        </is>
      </c>
      <c r="B5568" s="1" t="n">
        <v>44839</v>
      </c>
      <c r="C5568" s="1" t="n">
        <v>45212</v>
      </c>
      <c r="D5568" t="inlineStr">
        <is>
          <t>VÄSTERNORRLANDS LÄN</t>
        </is>
      </c>
      <c r="E5568" t="inlineStr">
        <is>
          <t>SUNDSVALL</t>
        </is>
      </c>
      <c r="G5568" t="n">
        <v>6.9</v>
      </c>
      <c r="H5568" t="n">
        <v>0</v>
      </c>
      <c r="I5568" t="n">
        <v>0</v>
      </c>
      <c r="J5568" t="n">
        <v>0</v>
      </c>
      <c r="K5568" t="n">
        <v>0</v>
      </c>
      <c r="L5568" t="n">
        <v>0</v>
      </c>
      <c r="M5568" t="n">
        <v>0</v>
      </c>
      <c r="N5568" t="n">
        <v>0</v>
      </c>
      <c r="O5568" t="n">
        <v>0</v>
      </c>
      <c r="P5568" t="n">
        <v>0</v>
      </c>
      <c r="Q5568" t="n">
        <v>0</v>
      </c>
      <c r="R5568" s="2" t="inlineStr"/>
    </row>
    <row r="5569" ht="15" customHeight="1">
      <c r="A5569" t="inlineStr">
        <is>
          <t>A 44610-2022</t>
        </is>
      </c>
      <c r="B5569" s="1" t="n">
        <v>44839</v>
      </c>
      <c r="C5569" s="1" t="n">
        <v>45212</v>
      </c>
      <c r="D5569" t="inlineStr">
        <is>
          <t>VÄSTERNORRLANDS LÄN</t>
        </is>
      </c>
      <c r="E5569" t="inlineStr">
        <is>
          <t>SUNDSVALL</t>
        </is>
      </c>
      <c r="G5569" t="n">
        <v>15.2</v>
      </c>
      <c r="H5569" t="n">
        <v>0</v>
      </c>
      <c r="I5569" t="n">
        <v>0</v>
      </c>
      <c r="J5569" t="n">
        <v>0</v>
      </c>
      <c r="K5569" t="n">
        <v>0</v>
      </c>
      <c r="L5569" t="n">
        <v>0</v>
      </c>
      <c r="M5569" t="n">
        <v>0</v>
      </c>
      <c r="N5569" t="n">
        <v>0</v>
      </c>
      <c r="O5569" t="n">
        <v>0</v>
      </c>
      <c r="P5569" t="n">
        <v>0</v>
      </c>
      <c r="Q5569" t="n">
        <v>0</v>
      </c>
      <c r="R5569" s="2" t="inlineStr"/>
    </row>
    <row r="5570" ht="15" customHeight="1">
      <c r="A5570" t="inlineStr">
        <is>
          <t>A 44094-2022</t>
        </is>
      </c>
      <c r="B5570" s="1" t="n">
        <v>44839</v>
      </c>
      <c r="C5570" s="1" t="n">
        <v>45212</v>
      </c>
      <c r="D5570" t="inlineStr">
        <is>
          <t>VÄSTERNORRLANDS LÄN</t>
        </is>
      </c>
      <c r="E5570" t="inlineStr">
        <is>
          <t>ÖRNSKÖLDSVIK</t>
        </is>
      </c>
      <c r="F5570" t="inlineStr">
        <is>
          <t>Holmen skog AB</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44199-2022</t>
        </is>
      </c>
      <c r="B5571" s="1" t="n">
        <v>44839</v>
      </c>
      <c r="C5571" s="1" t="n">
        <v>45212</v>
      </c>
      <c r="D5571" t="inlineStr">
        <is>
          <t>VÄSTERNORRLANDS LÄN</t>
        </is>
      </c>
      <c r="E5571" t="inlineStr">
        <is>
          <t>ÖRNSKÖLDSVIK</t>
        </is>
      </c>
      <c r="F5571" t="inlineStr">
        <is>
          <t>Holmen skog AB</t>
        </is>
      </c>
      <c r="G5571" t="n">
        <v>7.2</v>
      </c>
      <c r="H5571" t="n">
        <v>0</v>
      </c>
      <c r="I5571" t="n">
        <v>0</v>
      </c>
      <c r="J5571" t="n">
        <v>0</v>
      </c>
      <c r="K5571" t="n">
        <v>0</v>
      </c>
      <c r="L5571" t="n">
        <v>0</v>
      </c>
      <c r="M5571" t="n">
        <v>0</v>
      </c>
      <c r="N5571" t="n">
        <v>0</v>
      </c>
      <c r="O5571" t="n">
        <v>0</v>
      </c>
      <c r="P5571" t="n">
        <v>0</v>
      </c>
      <c r="Q5571" t="n">
        <v>0</v>
      </c>
      <c r="R5571" s="2" t="inlineStr"/>
    </row>
    <row r="5572" ht="15" customHeight="1">
      <c r="A5572" t="inlineStr">
        <is>
          <t>A 44357-2022</t>
        </is>
      </c>
      <c r="B5572" s="1" t="n">
        <v>44839</v>
      </c>
      <c r="C5572" s="1" t="n">
        <v>45212</v>
      </c>
      <c r="D5572" t="inlineStr">
        <is>
          <t>VÄSTERNORRLANDS LÄN</t>
        </is>
      </c>
      <c r="E5572" t="inlineStr">
        <is>
          <t>ÖRNSKÖLDSVIK</t>
        </is>
      </c>
      <c r="F5572" t="inlineStr">
        <is>
          <t>Holmen skog AB</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44419-2022</t>
        </is>
      </c>
      <c r="B5573" s="1" t="n">
        <v>44839</v>
      </c>
      <c r="C5573" s="1" t="n">
        <v>45212</v>
      </c>
      <c r="D5573" t="inlineStr">
        <is>
          <t>VÄSTERNORRLANDS LÄN</t>
        </is>
      </c>
      <c r="E5573" t="inlineStr">
        <is>
          <t>SUNDSVALL</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44431-2022</t>
        </is>
      </c>
      <c r="B5574" s="1" t="n">
        <v>44839</v>
      </c>
      <c r="C5574" s="1" t="n">
        <v>45212</v>
      </c>
      <c r="D5574" t="inlineStr">
        <is>
          <t>VÄSTERNORRLANDS LÄN</t>
        </is>
      </c>
      <c r="E5574" t="inlineStr">
        <is>
          <t>ÖRNSKÖLDSVIK</t>
        </is>
      </c>
      <c r="F5574" t="inlineStr">
        <is>
          <t>SCA</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44603-2022</t>
        </is>
      </c>
      <c r="B5575" s="1" t="n">
        <v>44839</v>
      </c>
      <c r="C5575" s="1" t="n">
        <v>45212</v>
      </c>
      <c r="D5575" t="inlineStr">
        <is>
          <t>VÄSTERNORRLANDS LÄN</t>
        </is>
      </c>
      <c r="E5575" t="inlineStr">
        <is>
          <t>SUNDSVALL</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44642-2022</t>
        </is>
      </c>
      <c r="B5576" s="1" t="n">
        <v>44839</v>
      </c>
      <c r="C5576" s="1" t="n">
        <v>45212</v>
      </c>
      <c r="D5576" t="inlineStr">
        <is>
          <t>VÄSTERNORRLANDS LÄN</t>
        </is>
      </c>
      <c r="E5576" t="inlineStr">
        <is>
          <t>ÖRNSKÖLDSVIK</t>
        </is>
      </c>
      <c r="G5576" t="n">
        <v>5.2</v>
      </c>
      <c r="H5576" t="n">
        <v>0</v>
      </c>
      <c r="I5576" t="n">
        <v>0</v>
      </c>
      <c r="J5576" t="n">
        <v>0</v>
      </c>
      <c r="K5576" t="n">
        <v>0</v>
      </c>
      <c r="L5576" t="n">
        <v>0</v>
      </c>
      <c r="M5576" t="n">
        <v>0</v>
      </c>
      <c r="N5576" t="n">
        <v>0</v>
      </c>
      <c r="O5576" t="n">
        <v>0</v>
      </c>
      <c r="P5576" t="n">
        <v>0</v>
      </c>
      <c r="Q5576" t="n">
        <v>0</v>
      </c>
      <c r="R5576" s="2" t="inlineStr"/>
    </row>
    <row r="5577" ht="15" customHeight="1">
      <c r="A5577" t="inlineStr">
        <is>
          <t>A 44843-2022</t>
        </is>
      </c>
      <c r="B5577" s="1" t="n">
        <v>44839</v>
      </c>
      <c r="C5577" s="1" t="n">
        <v>45212</v>
      </c>
      <c r="D5577" t="inlineStr">
        <is>
          <t>VÄSTERNORRLANDS LÄN</t>
        </is>
      </c>
      <c r="E5577" t="inlineStr">
        <is>
          <t>ÖRNSKÖLDSVIK</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44415-2022</t>
        </is>
      </c>
      <c r="B5578" s="1" t="n">
        <v>44839</v>
      </c>
      <c r="C5578" s="1" t="n">
        <v>45212</v>
      </c>
      <c r="D5578" t="inlineStr">
        <is>
          <t>VÄSTERNORRLANDS LÄN</t>
        </is>
      </c>
      <c r="E5578" t="inlineStr">
        <is>
          <t>SUNDSVALL</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44490-2022</t>
        </is>
      </c>
      <c r="B5579" s="1" t="n">
        <v>44840</v>
      </c>
      <c r="C5579" s="1" t="n">
        <v>45212</v>
      </c>
      <c r="D5579" t="inlineStr">
        <is>
          <t>VÄSTERNORRLANDS LÄN</t>
        </is>
      </c>
      <c r="E5579" t="inlineStr">
        <is>
          <t>ÖRNSKÖLDSVIK</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44522-2022</t>
        </is>
      </c>
      <c r="B5580" s="1" t="n">
        <v>44840</v>
      </c>
      <c r="C5580" s="1" t="n">
        <v>45212</v>
      </c>
      <c r="D5580" t="inlineStr">
        <is>
          <t>VÄSTERNORRLANDS LÄN</t>
        </is>
      </c>
      <c r="E5580" t="inlineStr">
        <is>
          <t>ÖRNSKÖLDSVIK</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44739-2022</t>
        </is>
      </c>
      <c r="B5581" s="1" t="n">
        <v>44840</v>
      </c>
      <c r="C5581" s="1" t="n">
        <v>45212</v>
      </c>
      <c r="D5581" t="inlineStr">
        <is>
          <t>VÄSTERNORRLANDS LÄN</t>
        </is>
      </c>
      <c r="E5581" t="inlineStr">
        <is>
          <t>ÖRNSKÖLDSVIK</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44761-2022</t>
        </is>
      </c>
      <c r="B5582" s="1" t="n">
        <v>44840</v>
      </c>
      <c r="C5582" s="1" t="n">
        <v>45212</v>
      </c>
      <c r="D5582" t="inlineStr">
        <is>
          <t>VÄSTERNORRLANDS LÄN</t>
        </is>
      </c>
      <c r="E5582" t="inlineStr">
        <is>
          <t>SOLLEFTEÅ</t>
        </is>
      </c>
      <c r="F5582" t="inlineStr">
        <is>
          <t>SCA</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44506-2022</t>
        </is>
      </c>
      <c r="B5583" s="1" t="n">
        <v>44840</v>
      </c>
      <c r="C5583" s="1" t="n">
        <v>45212</v>
      </c>
      <c r="D5583" t="inlineStr">
        <is>
          <t>VÄSTERNORRLANDS LÄN</t>
        </is>
      </c>
      <c r="E5583" t="inlineStr">
        <is>
          <t>SUNDSVALL</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44762-2022</t>
        </is>
      </c>
      <c r="B5584" s="1" t="n">
        <v>44840</v>
      </c>
      <c r="C5584" s="1" t="n">
        <v>45212</v>
      </c>
      <c r="D5584" t="inlineStr">
        <is>
          <t>VÄSTERNORRLANDS LÄN</t>
        </is>
      </c>
      <c r="E5584" t="inlineStr">
        <is>
          <t>SOLLEFTEÅ</t>
        </is>
      </c>
      <c r="F5584" t="inlineStr">
        <is>
          <t>SCA</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44486-2022</t>
        </is>
      </c>
      <c r="B5585" s="1" t="n">
        <v>44840</v>
      </c>
      <c r="C5585" s="1" t="n">
        <v>45212</v>
      </c>
      <c r="D5585" t="inlineStr">
        <is>
          <t>VÄSTERNORRLANDS LÄN</t>
        </is>
      </c>
      <c r="E5585" t="inlineStr">
        <is>
          <t>KRAMFORS</t>
        </is>
      </c>
      <c r="G5585" t="n">
        <v>8.4</v>
      </c>
      <c r="H5585" t="n">
        <v>0</v>
      </c>
      <c r="I5585" t="n">
        <v>0</v>
      </c>
      <c r="J5585" t="n">
        <v>0</v>
      </c>
      <c r="K5585" t="n">
        <v>0</v>
      </c>
      <c r="L5585" t="n">
        <v>0</v>
      </c>
      <c r="M5585" t="n">
        <v>0</v>
      </c>
      <c r="N5585" t="n">
        <v>0</v>
      </c>
      <c r="O5585" t="n">
        <v>0</v>
      </c>
      <c r="P5585" t="n">
        <v>0</v>
      </c>
      <c r="Q5585" t="n">
        <v>0</v>
      </c>
      <c r="R5585" s="2" t="inlineStr"/>
    </row>
    <row r="5586" ht="15" customHeight="1">
      <c r="A5586" t="inlineStr">
        <is>
          <t>A 44759-2022</t>
        </is>
      </c>
      <c r="B5586" s="1" t="n">
        <v>44840</v>
      </c>
      <c r="C5586" s="1" t="n">
        <v>45212</v>
      </c>
      <c r="D5586" t="inlineStr">
        <is>
          <t>VÄSTERNORRLANDS LÄN</t>
        </is>
      </c>
      <c r="E5586" t="inlineStr">
        <is>
          <t>TIMRÅ</t>
        </is>
      </c>
      <c r="F5586" t="inlineStr">
        <is>
          <t>SCA</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45086-2022</t>
        </is>
      </c>
      <c r="B5587" s="1" t="n">
        <v>44841</v>
      </c>
      <c r="C5587" s="1" t="n">
        <v>45212</v>
      </c>
      <c r="D5587" t="inlineStr">
        <is>
          <t>VÄSTERNORRLANDS LÄN</t>
        </is>
      </c>
      <c r="E5587" t="inlineStr">
        <is>
          <t>ÅNGE</t>
        </is>
      </c>
      <c r="F5587" t="inlineStr">
        <is>
          <t>SCA</t>
        </is>
      </c>
      <c r="G5587" t="n">
        <v>3.9</v>
      </c>
      <c r="H5587" t="n">
        <v>0</v>
      </c>
      <c r="I5587" t="n">
        <v>0</v>
      </c>
      <c r="J5587" t="n">
        <v>0</v>
      </c>
      <c r="K5587" t="n">
        <v>0</v>
      </c>
      <c r="L5587" t="n">
        <v>0</v>
      </c>
      <c r="M5587" t="n">
        <v>0</v>
      </c>
      <c r="N5587" t="n">
        <v>0</v>
      </c>
      <c r="O5587" t="n">
        <v>0</v>
      </c>
      <c r="P5587" t="n">
        <v>0</v>
      </c>
      <c r="Q5587" t="n">
        <v>0</v>
      </c>
      <c r="R5587" s="2" t="inlineStr"/>
    </row>
    <row r="5588" ht="15" customHeight="1">
      <c r="A5588" t="inlineStr">
        <is>
          <t>A 45001-2022</t>
        </is>
      </c>
      <c r="B5588" s="1" t="n">
        <v>44841</v>
      </c>
      <c r="C5588" s="1" t="n">
        <v>45212</v>
      </c>
      <c r="D5588" t="inlineStr">
        <is>
          <t>VÄSTERNORRLANDS LÄN</t>
        </is>
      </c>
      <c r="E5588" t="inlineStr">
        <is>
          <t>ÖRNSKÖLDSVIK</t>
        </is>
      </c>
      <c r="F5588" t="inlineStr">
        <is>
          <t>Holmen skog AB</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45087-2022</t>
        </is>
      </c>
      <c r="B5589" s="1" t="n">
        <v>44841</v>
      </c>
      <c r="C5589" s="1" t="n">
        <v>45212</v>
      </c>
      <c r="D5589" t="inlineStr">
        <is>
          <t>VÄSTERNORRLANDS LÄN</t>
        </is>
      </c>
      <c r="E5589" t="inlineStr">
        <is>
          <t>ÅNGE</t>
        </is>
      </c>
      <c r="F5589" t="inlineStr">
        <is>
          <t>SCA</t>
        </is>
      </c>
      <c r="G5589" t="n">
        <v>5.3</v>
      </c>
      <c r="H5589" t="n">
        <v>0</v>
      </c>
      <c r="I5589" t="n">
        <v>0</v>
      </c>
      <c r="J5589" t="n">
        <v>0</v>
      </c>
      <c r="K5589" t="n">
        <v>0</v>
      </c>
      <c r="L5589" t="n">
        <v>0</v>
      </c>
      <c r="M5589" t="n">
        <v>0</v>
      </c>
      <c r="N5589" t="n">
        <v>0</v>
      </c>
      <c r="O5589" t="n">
        <v>0</v>
      </c>
      <c r="P5589" t="n">
        <v>0</v>
      </c>
      <c r="Q5589" t="n">
        <v>0</v>
      </c>
      <c r="R5589" s="2" t="inlineStr"/>
    </row>
    <row r="5590" ht="15" customHeight="1">
      <c r="A5590" t="inlineStr">
        <is>
          <t>A 45085-2022</t>
        </is>
      </c>
      <c r="B5590" s="1" t="n">
        <v>44841</v>
      </c>
      <c r="C5590" s="1" t="n">
        <v>45212</v>
      </c>
      <c r="D5590" t="inlineStr">
        <is>
          <t>VÄSTERNORRLANDS LÄN</t>
        </is>
      </c>
      <c r="E5590" t="inlineStr">
        <is>
          <t>SOLLEFTEÅ</t>
        </is>
      </c>
      <c r="F5590" t="inlineStr">
        <is>
          <t>SCA</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45118-2022</t>
        </is>
      </c>
      <c r="B5591" s="1" t="n">
        <v>44843</v>
      </c>
      <c r="C5591" s="1" t="n">
        <v>45212</v>
      </c>
      <c r="D5591" t="inlineStr">
        <is>
          <t>VÄSTERNORRLANDS LÄN</t>
        </is>
      </c>
      <c r="E5591" t="inlineStr">
        <is>
          <t>SOLLEFTEÅ</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45112-2022</t>
        </is>
      </c>
      <c r="B5592" s="1" t="n">
        <v>44843</v>
      </c>
      <c r="C5592" s="1" t="n">
        <v>45212</v>
      </c>
      <c r="D5592" t="inlineStr">
        <is>
          <t>VÄSTERNORRLANDS LÄN</t>
        </is>
      </c>
      <c r="E5592" t="inlineStr">
        <is>
          <t>ÖRNSKÖLDSVIK</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45120-2022</t>
        </is>
      </c>
      <c r="B5593" s="1" t="n">
        <v>44843</v>
      </c>
      <c r="C5593" s="1" t="n">
        <v>45212</v>
      </c>
      <c r="D5593" t="inlineStr">
        <is>
          <t>VÄSTERNORRLANDS LÄN</t>
        </is>
      </c>
      <c r="E5593" t="inlineStr">
        <is>
          <t>SOLLEFTEÅ</t>
        </is>
      </c>
      <c r="F5593" t="inlineStr">
        <is>
          <t>SCA</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45119-2022</t>
        </is>
      </c>
      <c r="B5594" s="1" t="n">
        <v>44843</v>
      </c>
      <c r="C5594" s="1" t="n">
        <v>45212</v>
      </c>
      <c r="D5594" t="inlineStr">
        <is>
          <t>VÄSTERNORRLANDS LÄN</t>
        </is>
      </c>
      <c r="E5594" t="inlineStr">
        <is>
          <t>SOLLEFTEÅ</t>
        </is>
      </c>
      <c r="F5594" t="inlineStr">
        <is>
          <t>SCA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45142-2022</t>
        </is>
      </c>
      <c r="B5595" s="1" t="n">
        <v>44844</v>
      </c>
      <c r="C5595" s="1" t="n">
        <v>45212</v>
      </c>
      <c r="D5595" t="inlineStr">
        <is>
          <t>VÄSTERNORRLANDS LÄN</t>
        </is>
      </c>
      <c r="E5595" t="inlineStr">
        <is>
          <t>ÖRNSKÖLDSVIK</t>
        </is>
      </c>
      <c r="F5595" t="inlineStr">
        <is>
          <t>Holmen skog AB</t>
        </is>
      </c>
      <c r="G5595" t="n">
        <v>3.9</v>
      </c>
      <c r="H5595" t="n">
        <v>0</v>
      </c>
      <c r="I5595" t="n">
        <v>0</v>
      </c>
      <c r="J5595" t="n">
        <v>0</v>
      </c>
      <c r="K5595" t="n">
        <v>0</v>
      </c>
      <c r="L5595" t="n">
        <v>0</v>
      </c>
      <c r="M5595" t="n">
        <v>0</v>
      </c>
      <c r="N5595" t="n">
        <v>0</v>
      </c>
      <c r="O5595" t="n">
        <v>0</v>
      </c>
      <c r="P5595" t="n">
        <v>0</v>
      </c>
      <c r="Q5595" t="n">
        <v>0</v>
      </c>
      <c r="R5595" s="2" t="inlineStr"/>
    </row>
    <row r="5596" ht="15" customHeight="1">
      <c r="A5596" t="inlineStr">
        <is>
          <t>A 45254-2022</t>
        </is>
      </c>
      <c r="B5596" s="1" t="n">
        <v>44844</v>
      </c>
      <c r="C5596" s="1" t="n">
        <v>45212</v>
      </c>
      <c r="D5596" t="inlineStr">
        <is>
          <t>VÄSTERNORRLANDS LÄN</t>
        </is>
      </c>
      <c r="E5596" t="inlineStr">
        <is>
          <t>ÖRNSKÖLDSVIK</t>
        </is>
      </c>
      <c r="G5596" t="n">
        <v>0.3</v>
      </c>
      <c r="H5596" t="n">
        <v>0</v>
      </c>
      <c r="I5596" t="n">
        <v>0</v>
      </c>
      <c r="J5596" t="n">
        <v>0</v>
      </c>
      <c r="K5596" t="n">
        <v>0</v>
      </c>
      <c r="L5596" t="n">
        <v>0</v>
      </c>
      <c r="M5596" t="n">
        <v>0</v>
      </c>
      <c r="N5596" t="n">
        <v>0</v>
      </c>
      <c r="O5596" t="n">
        <v>0</v>
      </c>
      <c r="P5596" t="n">
        <v>0</v>
      </c>
      <c r="Q5596" t="n">
        <v>0</v>
      </c>
      <c r="R5596" s="2" t="inlineStr"/>
    </row>
    <row r="5597" ht="15" customHeight="1">
      <c r="A5597" t="inlineStr">
        <is>
          <t>A 45148-2022</t>
        </is>
      </c>
      <c r="B5597" s="1" t="n">
        <v>44844</v>
      </c>
      <c r="C5597" s="1" t="n">
        <v>45212</v>
      </c>
      <c r="D5597" t="inlineStr">
        <is>
          <t>VÄSTERNORRLANDS LÄN</t>
        </is>
      </c>
      <c r="E5597" t="inlineStr">
        <is>
          <t>ÖRNSKÖLDSVIK</t>
        </is>
      </c>
      <c r="F5597" t="inlineStr">
        <is>
          <t>Holmen skog AB</t>
        </is>
      </c>
      <c r="G5597" t="n">
        <v>4</v>
      </c>
      <c r="H5597" t="n">
        <v>0</v>
      </c>
      <c r="I5597" t="n">
        <v>0</v>
      </c>
      <c r="J5597" t="n">
        <v>0</v>
      </c>
      <c r="K5597" t="n">
        <v>0</v>
      </c>
      <c r="L5597" t="n">
        <v>0</v>
      </c>
      <c r="M5597" t="n">
        <v>0</v>
      </c>
      <c r="N5597" t="n">
        <v>0</v>
      </c>
      <c r="O5597" t="n">
        <v>0</v>
      </c>
      <c r="P5597" t="n">
        <v>0</v>
      </c>
      <c r="Q5597" t="n">
        <v>0</v>
      </c>
      <c r="R5597" s="2" t="inlineStr"/>
    </row>
    <row r="5598" ht="15" customHeight="1">
      <c r="A5598" t="inlineStr">
        <is>
          <t>A 46130-2022</t>
        </is>
      </c>
      <c r="B5598" s="1" t="n">
        <v>44844</v>
      </c>
      <c r="C5598" s="1" t="n">
        <v>45212</v>
      </c>
      <c r="D5598" t="inlineStr">
        <is>
          <t>VÄSTERNORRLANDS LÄN</t>
        </is>
      </c>
      <c r="E5598" t="inlineStr">
        <is>
          <t>SOLLEFTEÅ</t>
        </is>
      </c>
      <c r="F5598" t="inlineStr">
        <is>
          <t>SCA</t>
        </is>
      </c>
      <c r="G5598" t="n">
        <v>2</v>
      </c>
      <c r="H5598" t="n">
        <v>0</v>
      </c>
      <c r="I5598" t="n">
        <v>0</v>
      </c>
      <c r="J5598" t="n">
        <v>0</v>
      </c>
      <c r="K5598" t="n">
        <v>0</v>
      </c>
      <c r="L5598" t="n">
        <v>0</v>
      </c>
      <c r="M5598" t="n">
        <v>0</v>
      </c>
      <c r="N5598" t="n">
        <v>0</v>
      </c>
      <c r="O5598" t="n">
        <v>0</v>
      </c>
      <c r="P5598" t="n">
        <v>0</v>
      </c>
      <c r="Q5598" t="n">
        <v>0</v>
      </c>
      <c r="R5598" s="2" t="inlineStr"/>
    </row>
    <row r="5599" ht="15" customHeight="1">
      <c r="A5599" t="inlineStr">
        <is>
          <t>A 45422-2022</t>
        </is>
      </c>
      <c r="B5599" s="1" t="n">
        <v>44844</v>
      </c>
      <c r="C5599" s="1" t="n">
        <v>45212</v>
      </c>
      <c r="D5599" t="inlineStr">
        <is>
          <t>VÄSTERNORRLANDS LÄN</t>
        </is>
      </c>
      <c r="E5599" t="inlineStr">
        <is>
          <t>SOLLEFTEÅ</t>
        </is>
      </c>
      <c r="F5599" t="inlineStr">
        <is>
          <t>SCA</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45432-2022</t>
        </is>
      </c>
      <c r="B5600" s="1" t="n">
        <v>44844</v>
      </c>
      <c r="C5600" s="1" t="n">
        <v>45212</v>
      </c>
      <c r="D5600" t="inlineStr">
        <is>
          <t>VÄSTERNORRLANDS LÄN</t>
        </is>
      </c>
      <c r="E5600" t="inlineStr">
        <is>
          <t>ÅNGE</t>
        </is>
      </c>
      <c r="F5600" t="inlineStr">
        <is>
          <t>SCA</t>
        </is>
      </c>
      <c r="G5600" t="n">
        <v>2.8</v>
      </c>
      <c r="H5600" t="n">
        <v>0</v>
      </c>
      <c r="I5600" t="n">
        <v>0</v>
      </c>
      <c r="J5600" t="n">
        <v>0</v>
      </c>
      <c r="K5600" t="n">
        <v>0</v>
      </c>
      <c r="L5600" t="n">
        <v>0</v>
      </c>
      <c r="M5600" t="n">
        <v>0</v>
      </c>
      <c r="N5600" t="n">
        <v>0</v>
      </c>
      <c r="O5600" t="n">
        <v>0</v>
      </c>
      <c r="P5600" t="n">
        <v>0</v>
      </c>
      <c r="Q5600" t="n">
        <v>0</v>
      </c>
      <c r="R5600" s="2" t="inlineStr"/>
    </row>
    <row r="5601" ht="15" customHeight="1">
      <c r="A5601" t="inlineStr">
        <is>
          <t>A 45182-2022</t>
        </is>
      </c>
      <c r="B5601" s="1" t="n">
        <v>44844</v>
      </c>
      <c r="C5601" s="1" t="n">
        <v>45212</v>
      </c>
      <c r="D5601" t="inlineStr">
        <is>
          <t>VÄSTERNORRLANDS LÄN</t>
        </is>
      </c>
      <c r="E5601" t="inlineStr">
        <is>
          <t>ÖRNSKÖLDSVIK</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45248-2022</t>
        </is>
      </c>
      <c r="B5602" s="1" t="n">
        <v>44844</v>
      </c>
      <c r="C5602" s="1" t="n">
        <v>45212</v>
      </c>
      <c r="D5602" t="inlineStr">
        <is>
          <t>VÄSTERNORRLANDS LÄN</t>
        </is>
      </c>
      <c r="E5602" t="inlineStr">
        <is>
          <t>ÖRNSKÖLDSVIK</t>
        </is>
      </c>
      <c r="G5602" t="n">
        <v>0.4</v>
      </c>
      <c r="H5602" t="n">
        <v>0</v>
      </c>
      <c r="I5602" t="n">
        <v>0</v>
      </c>
      <c r="J5602" t="n">
        <v>0</v>
      </c>
      <c r="K5602" t="n">
        <v>0</v>
      </c>
      <c r="L5602" t="n">
        <v>0</v>
      </c>
      <c r="M5602" t="n">
        <v>0</v>
      </c>
      <c r="N5602" t="n">
        <v>0</v>
      </c>
      <c r="O5602" t="n">
        <v>0</v>
      </c>
      <c r="P5602" t="n">
        <v>0</v>
      </c>
      <c r="Q5602" t="n">
        <v>0</v>
      </c>
      <c r="R5602" s="2" t="inlineStr"/>
    </row>
    <row r="5603" ht="15" customHeight="1">
      <c r="A5603" t="inlineStr">
        <is>
          <t>A 45419-2022</t>
        </is>
      </c>
      <c r="B5603" s="1" t="n">
        <v>44844</v>
      </c>
      <c r="C5603" s="1" t="n">
        <v>45212</v>
      </c>
      <c r="D5603" t="inlineStr">
        <is>
          <t>VÄSTERNORRLANDS LÄN</t>
        </is>
      </c>
      <c r="E5603" t="inlineStr">
        <is>
          <t>SOLLEFTEÅ</t>
        </is>
      </c>
      <c r="G5603" t="n">
        <v>12.7</v>
      </c>
      <c r="H5603" t="n">
        <v>0</v>
      </c>
      <c r="I5603" t="n">
        <v>0</v>
      </c>
      <c r="J5603" t="n">
        <v>0</v>
      </c>
      <c r="K5603" t="n">
        <v>0</v>
      </c>
      <c r="L5603" t="n">
        <v>0</v>
      </c>
      <c r="M5603" t="n">
        <v>0</v>
      </c>
      <c r="N5603" t="n">
        <v>0</v>
      </c>
      <c r="O5603" t="n">
        <v>0</v>
      </c>
      <c r="P5603" t="n">
        <v>0</v>
      </c>
      <c r="Q5603" t="n">
        <v>0</v>
      </c>
      <c r="R5603" s="2" t="inlineStr"/>
    </row>
    <row r="5604" ht="15" customHeight="1">
      <c r="A5604" t="inlineStr">
        <is>
          <t>A 45870-2022</t>
        </is>
      </c>
      <c r="B5604" s="1" t="n">
        <v>44844</v>
      </c>
      <c r="C5604" s="1" t="n">
        <v>45212</v>
      </c>
      <c r="D5604" t="inlineStr">
        <is>
          <t>VÄSTERNORRLANDS LÄN</t>
        </is>
      </c>
      <c r="E5604" t="inlineStr">
        <is>
          <t>SUNDSVALL</t>
        </is>
      </c>
      <c r="G5604" t="n">
        <v>6</v>
      </c>
      <c r="H5604" t="n">
        <v>0</v>
      </c>
      <c r="I5604" t="n">
        <v>0</v>
      </c>
      <c r="J5604" t="n">
        <v>0</v>
      </c>
      <c r="K5604" t="n">
        <v>0</v>
      </c>
      <c r="L5604" t="n">
        <v>0</v>
      </c>
      <c r="M5604" t="n">
        <v>0</v>
      </c>
      <c r="N5604" t="n">
        <v>0</v>
      </c>
      <c r="O5604" t="n">
        <v>0</v>
      </c>
      <c r="P5604" t="n">
        <v>0</v>
      </c>
      <c r="Q5604" t="n">
        <v>0</v>
      </c>
      <c r="R5604" s="2" t="inlineStr"/>
    </row>
    <row r="5605" ht="15" customHeight="1">
      <c r="A5605" t="inlineStr">
        <is>
          <t>A 45459-2022</t>
        </is>
      </c>
      <c r="B5605" s="1" t="n">
        <v>44845</v>
      </c>
      <c r="C5605" s="1" t="n">
        <v>45212</v>
      </c>
      <c r="D5605" t="inlineStr">
        <is>
          <t>VÄSTERNORRLANDS LÄN</t>
        </is>
      </c>
      <c r="E5605" t="inlineStr">
        <is>
          <t>ÅNGE</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45688-2022</t>
        </is>
      </c>
      <c r="B5606" s="1" t="n">
        <v>44845</v>
      </c>
      <c r="C5606" s="1" t="n">
        <v>45212</v>
      </c>
      <c r="D5606" t="inlineStr">
        <is>
          <t>VÄSTERNORRLANDS LÄN</t>
        </is>
      </c>
      <c r="E5606" t="inlineStr">
        <is>
          <t>TIMRÅ</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45703-2022</t>
        </is>
      </c>
      <c r="B5607" s="1" t="n">
        <v>44845</v>
      </c>
      <c r="C5607" s="1" t="n">
        <v>45212</v>
      </c>
      <c r="D5607" t="inlineStr">
        <is>
          <t>VÄSTERNORRLANDS LÄN</t>
        </is>
      </c>
      <c r="E5607" t="inlineStr">
        <is>
          <t>ÅNGE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45716-2022</t>
        </is>
      </c>
      <c r="B5608" s="1" t="n">
        <v>44845</v>
      </c>
      <c r="C5608" s="1" t="n">
        <v>45212</v>
      </c>
      <c r="D5608" t="inlineStr">
        <is>
          <t>VÄSTERNORRLANDS LÄN</t>
        </is>
      </c>
      <c r="E5608" t="inlineStr">
        <is>
          <t>SUNDSVALL</t>
        </is>
      </c>
      <c r="F5608" t="inlineStr">
        <is>
          <t>Naturvårdsverket</t>
        </is>
      </c>
      <c r="G5608" t="n">
        <v>1.9</v>
      </c>
      <c r="H5608" t="n">
        <v>0</v>
      </c>
      <c r="I5608" t="n">
        <v>0</v>
      </c>
      <c r="J5608" t="n">
        <v>0</v>
      </c>
      <c r="K5608" t="n">
        <v>0</v>
      </c>
      <c r="L5608" t="n">
        <v>0</v>
      </c>
      <c r="M5608" t="n">
        <v>0</v>
      </c>
      <c r="N5608" t="n">
        <v>0</v>
      </c>
      <c r="O5608" t="n">
        <v>0</v>
      </c>
      <c r="P5608" t="n">
        <v>0</v>
      </c>
      <c r="Q5608" t="n">
        <v>0</v>
      </c>
      <c r="R5608" s="2" t="inlineStr"/>
    </row>
    <row r="5609" ht="15" customHeight="1">
      <c r="A5609" t="inlineStr">
        <is>
          <t>A 45700-2022</t>
        </is>
      </c>
      <c r="B5609" s="1" t="n">
        <v>44845</v>
      </c>
      <c r="C5609" s="1" t="n">
        <v>45212</v>
      </c>
      <c r="D5609" t="inlineStr">
        <is>
          <t>VÄSTERNORRLANDS LÄN</t>
        </is>
      </c>
      <c r="E5609" t="inlineStr">
        <is>
          <t>SUNDSVALL</t>
        </is>
      </c>
      <c r="F5609" t="inlineStr">
        <is>
          <t>SCA</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46214-2022</t>
        </is>
      </c>
      <c r="B5610" s="1" t="n">
        <v>44845</v>
      </c>
      <c r="C5610" s="1" t="n">
        <v>45212</v>
      </c>
      <c r="D5610" t="inlineStr">
        <is>
          <t>VÄSTERNORRLANDS LÄN</t>
        </is>
      </c>
      <c r="E5610" t="inlineStr">
        <is>
          <t>SUNDSVALL</t>
        </is>
      </c>
      <c r="G5610" t="n">
        <v>46.2</v>
      </c>
      <c r="H5610" t="n">
        <v>0</v>
      </c>
      <c r="I5610" t="n">
        <v>0</v>
      </c>
      <c r="J5610" t="n">
        <v>0</v>
      </c>
      <c r="K5610" t="n">
        <v>0</v>
      </c>
      <c r="L5610" t="n">
        <v>0</v>
      </c>
      <c r="M5610" t="n">
        <v>0</v>
      </c>
      <c r="N5610" t="n">
        <v>0</v>
      </c>
      <c r="O5610" t="n">
        <v>0</v>
      </c>
      <c r="P5610" t="n">
        <v>0</v>
      </c>
      <c r="Q5610" t="n">
        <v>0</v>
      </c>
      <c r="R5610" s="2" t="inlineStr"/>
    </row>
    <row r="5611" ht="15" customHeight="1">
      <c r="A5611" t="inlineStr">
        <is>
          <t>A 45894-2022</t>
        </is>
      </c>
      <c r="B5611" s="1" t="n">
        <v>44846</v>
      </c>
      <c r="C5611" s="1" t="n">
        <v>45212</v>
      </c>
      <c r="D5611" t="inlineStr">
        <is>
          <t>VÄSTERNORRLANDS LÄN</t>
        </is>
      </c>
      <c r="E5611" t="inlineStr">
        <is>
          <t>ÖRNSKÖLDSVIK</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45931-2022</t>
        </is>
      </c>
      <c r="B5612" s="1" t="n">
        <v>44846</v>
      </c>
      <c r="C5612" s="1" t="n">
        <v>45212</v>
      </c>
      <c r="D5612" t="inlineStr">
        <is>
          <t>VÄSTERNORRLANDS LÄN</t>
        </is>
      </c>
      <c r="E5612" t="inlineStr">
        <is>
          <t>ÅNGE</t>
        </is>
      </c>
      <c r="G5612" t="n">
        <v>27.6</v>
      </c>
      <c r="H5612" t="n">
        <v>0</v>
      </c>
      <c r="I5612" t="n">
        <v>0</v>
      </c>
      <c r="J5612" t="n">
        <v>0</v>
      </c>
      <c r="K5612" t="n">
        <v>0</v>
      </c>
      <c r="L5612" t="n">
        <v>0</v>
      </c>
      <c r="M5612" t="n">
        <v>0</v>
      </c>
      <c r="N5612" t="n">
        <v>0</v>
      </c>
      <c r="O5612" t="n">
        <v>0</v>
      </c>
      <c r="P5612" t="n">
        <v>0</v>
      </c>
      <c r="Q5612" t="n">
        <v>0</v>
      </c>
      <c r="R5612" s="2" t="inlineStr"/>
    </row>
    <row r="5613" ht="15" customHeight="1">
      <c r="A5613" t="inlineStr">
        <is>
          <t>A 46021-2022</t>
        </is>
      </c>
      <c r="B5613" s="1" t="n">
        <v>44846</v>
      </c>
      <c r="C5613" s="1" t="n">
        <v>45212</v>
      </c>
      <c r="D5613" t="inlineStr">
        <is>
          <t>VÄSTERNORRLANDS LÄN</t>
        </is>
      </c>
      <c r="E5613" t="inlineStr">
        <is>
          <t>TIMRÅ</t>
        </is>
      </c>
      <c r="F5613" t="inlineStr">
        <is>
          <t>Kyrkan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46044-2022</t>
        </is>
      </c>
      <c r="B5614" s="1" t="n">
        <v>44846</v>
      </c>
      <c r="C5614" s="1" t="n">
        <v>45212</v>
      </c>
      <c r="D5614" t="inlineStr">
        <is>
          <t>VÄSTERNORRLANDS LÄN</t>
        </is>
      </c>
      <c r="E5614" t="inlineStr">
        <is>
          <t>SUNDSVALL</t>
        </is>
      </c>
      <c r="F5614" t="inlineStr">
        <is>
          <t>SCA</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46052-2022</t>
        </is>
      </c>
      <c r="B5615" s="1" t="n">
        <v>44846</v>
      </c>
      <c r="C5615" s="1" t="n">
        <v>45212</v>
      </c>
      <c r="D5615" t="inlineStr">
        <is>
          <t>VÄSTERNORRLANDS LÄN</t>
        </is>
      </c>
      <c r="E5615" t="inlineStr">
        <is>
          <t>SOLLEFTEÅ</t>
        </is>
      </c>
      <c r="F5615" t="inlineStr">
        <is>
          <t>SCA</t>
        </is>
      </c>
      <c r="G5615" t="n">
        <v>5.7</v>
      </c>
      <c r="H5615" t="n">
        <v>0</v>
      </c>
      <c r="I5615" t="n">
        <v>0</v>
      </c>
      <c r="J5615" t="n">
        <v>0</v>
      </c>
      <c r="K5615" t="n">
        <v>0</v>
      </c>
      <c r="L5615" t="n">
        <v>0</v>
      </c>
      <c r="M5615" t="n">
        <v>0</v>
      </c>
      <c r="N5615" t="n">
        <v>0</v>
      </c>
      <c r="O5615" t="n">
        <v>0</v>
      </c>
      <c r="P5615" t="n">
        <v>0</v>
      </c>
      <c r="Q5615" t="n">
        <v>0</v>
      </c>
      <c r="R5615" s="2" t="inlineStr"/>
    </row>
    <row r="5616" ht="15" customHeight="1">
      <c r="A5616" t="inlineStr">
        <is>
          <t>A 46247-2022</t>
        </is>
      </c>
      <c r="B5616" s="1" t="n">
        <v>44846</v>
      </c>
      <c r="C5616" s="1" t="n">
        <v>45212</v>
      </c>
      <c r="D5616" t="inlineStr">
        <is>
          <t>VÄSTERNORRLANDS LÄN</t>
        </is>
      </c>
      <c r="E5616" t="inlineStr">
        <is>
          <t>SUNDSVALL</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46032-2022</t>
        </is>
      </c>
      <c r="B5617" s="1" t="n">
        <v>44846</v>
      </c>
      <c r="C5617" s="1" t="n">
        <v>45212</v>
      </c>
      <c r="D5617" t="inlineStr">
        <is>
          <t>VÄSTERNORRLANDS LÄN</t>
        </is>
      </c>
      <c r="E5617" t="inlineStr">
        <is>
          <t>SOLLEFTEÅ</t>
        </is>
      </c>
      <c r="F5617" t="inlineStr">
        <is>
          <t>SCA</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46045-2022</t>
        </is>
      </c>
      <c r="B5618" s="1" t="n">
        <v>44846</v>
      </c>
      <c r="C5618" s="1" t="n">
        <v>45212</v>
      </c>
      <c r="D5618" t="inlineStr">
        <is>
          <t>VÄSTERNORRLANDS LÄN</t>
        </is>
      </c>
      <c r="E5618" t="inlineStr">
        <is>
          <t>HÄRNÖSAND</t>
        </is>
      </c>
      <c r="F5618" t="inlineStr">
        <is>
          <t>SCA</t>
        </is>
      </c>
      <c r="G5618" t="n">
        <v>2.4</v>
      </c>
      <c r="H5618" t="n">
        <v>0</v>
      </c>
      <c r="I5618" t="n">
        <v>0</v>
      </c>
      <c r="J5618" t="n">
        <v>0</v>
      </c>
      <c r="K5618" t="n">
        <v>0</v>
      </c>
      <c r="L5618" t="n">
        <v>0</v>
      </c>
      <c r="M5618" t="n">
        <v>0</v>
      </c>
      <c r="N5618" t="n">
        <v>0</v>
      </c>
      <c r="O5618" t="n">
        <v>0</v>
      </c>
      <c r="P5618" t="n">
        <v>0</v>
      </c>
      <c r="Q5618" t="n">
        <v>0</v>
      </c>
      <c r="R5618" s="2" t="inlineStr"/>
    </row>
    <row r="5619" ht="15" customHeight="1">
      <c r="A5619" t="inlineStr">
        <is>
          <t>A 46053-2022</t>
        </is>
      </c>
      <c r="B5619" s="1" t="n">
        <v>44846</v>
      </c>
      <c r="C5619" s="1" t="n">
        <v>45212</v>
      </c>
      <c r="D5619" t="inlineStr">
        <is>
          <t>VÄSTERNORRLANDS LÄN</t>
        </is>
      </c>
      <c r="E5619" t="inlineStr">
        <is>
          <t>SOLLEFTEÅ</t>
        </is>
      </c>
      <c r="F5619" t="inlineStr">
        <is>
          <t>SCA</t>
        </is>
      </c>
      <c r="G5619" t="n">
        <v>9.5</v>
      </c>
      <c r="H5619" t="n">
        <v>0</v>
      </c>
      <c r="I5619" t="n">
        <v>0</v>
      </c>
      <c r="J5619" t="n">
        <v>0</v>
      </c>
      <c r="K5619" t="n">
        <v>0</v>
      </c>
      <c r="L5619" t="n">
        <v>0</v>
      </c>
      <c r="M5619" t="n">
        <v>0</v>
      </c>
      <c r="N5619" t="n">
        <v>0</v>
      </c>
      <c r="O5619" t="n">
        <v>0</v>
      </c>
      <c r="P5619" t="n">
        <v>0</v>
      </c>
      <c r="Q5619" t="n">
        <v>0</v>
      </c>
      <c r="R5619" s="2" t="inlineStr"/>
    </row>
    <row r="5620" ht="15" customHeight="1">
      <c r="A5620" t="inlineStr">
        <is>
          <t>A 46036-2022</t>
        </is>
      </c>
      <c r="B5620" s="1" t="n">
        <v>44846</v>
      </c>
      <c r="C5620" s="1" t="n">
        <v>45212</v>
      </c>
      <c r="D5620" t="inlineStr">
        <is>
          <t>VÄSTERNORRLANDS LÄN</t>
        </is>
      </c>
      <c r="E5620" t="inlineStr">
        <is>
          <t>SOLLEFTEÅ</t>
        </is>
      </c>
      <c r="F5620" t="inlineStr">
        <is>
          <t>SCA</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45765-2022</t>
        </is>
      </c>
      <c r="B5621" s="1" t="n">
        <v>44846</v>
      </c>
      <c r="C5621" s="1" t="n">
        <v>45212</v>
      </c>
      <c r="D5621" t="inlineStr">
        <is>
          <t>VÄSTERNORRLANDS LÄN</t>
        </is>
      </c>
      <c r="E5621" t="inlineStr">
        <is>
          <t>ÖRNSKÖLDSVIK</t>
        </is>
      </c>
      <c r="G5621" t="n">
        <v>14.6</v>
      </c>
      <c r="H5621" t="n">
        <v>0</v>
      </c>
      <c r="I5621" t="n">
        <v>0</v>
      </c>
      <c r="J5621" t="n">
        <v>0</v>
      </c>
      <c r="K5621" t="n">
        <v>0</v>
      </c>
      <c r="L5621" t="n">
        <v>0</v>
      </c>
      <c r="M5621" t="n">
        <v>0</v>
      </c>
      <c r="N5621" t="n">
        <v>0</v>
      </c>
      <c r="O5621" t="n">
        <v>0</v>
      </c>
      <c r="P5621" t="n">
        <v>0</v>
      </c>
      <c r="Q5621" t="n">
        <v>0</v>
      </c>
      <c r="R5621" s="2" t="inlineStr"/>
    </row>
    <row r="5622" ht="15" customHeight="1">
      <c r="A5622" t="inlineStr">
        <is>
          <t>A 46028-2022</t>
        </is>
      </c>
      <c r="B5622" s="1" t="n">
        <v>44846</v>
      </c>
      <c r="C5622" s="1" t="n">
        <v>45212</v>
      </c>
      <c r="D5622" t="inlineStr">
        <is>
          <t>VÄSTERNORRLANDS LÄN</t>
        </is>
      </c>
      <c r="E5622" t="inlineStr">
        <is>
          <t>TIMRÅ</t>
        </is>
      </c>
      <c r="F5622" t="inlineStr">
        <is>
          <t>Kyrkan</t>
        </is>
      </c>
      <c r="G5622" t="n">
        <v>7.9</v>
      </c>
      <c r="H5622" t="n">
        <v>0</v>
      </c>
      <c r="I5622" t="n">
        <v>0</v>
      </c>
      <c r="J5622" t="n">
        <v>0</v>
      </c>
      <c r="K5622" t="n">
        <v>0</v>
      </c>
      <c r="L5622" t="n">
        <v>0</v>
      </c>
      <c r="M5622" t="n">
        <v>0</v>
      </c>
      <c r="N5622" t="n">
        <v>0</v>
      </c>
      <c r="O5622" t="n">
        <v>0</v>
      </c>
      <c r="P5622" t="n">
        <v>0</v>
      </c>
      <c r="Q5622" t="n">
        <v>0</v>
      </c>
      <c r="R5622" s="2" t="inlineStr"/>
    </row>
    <row r="5623" ht="15" customHeight="1">
      <c r="A5623" t="inlineStr">
        <is>
          <t>A 46213-2022</t>
        </is>
      </c>
      <c r="B5623" s="1" t="n">
        <v>44847</v>
      </c>
      <c r="C5623" s="1" t="n">
        <v>45212</v>
      </c>
      <c r="D5623" t="inlineStr">
        <is>
          <t>VÄSTERNORRLANDS LÄN</t>
        </is>
      </c>
      <c r="E5623" t="inlineStr">
        <is>
          <t>ÖRNSKÖLDSVIK</t>
        </is>
      </c>
      <c r="F5623" t="inlineStr">
        <is>
          <t>Holmen skog AB</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46319-2022</t>
        </is>
      </c>
      <c r="B5624" s="1" t="n">
        <v>44847</v>
      </c>
      <c r="C5624" s="1" t="n">
        <v>45212</v>
      </c>
      <c r="D5624" t="inlineStr">
        <is>
          <t>VÄSTERNORRLANDS LÄN</t>
        </is>
      </c>
      <c r="E5624" t="inlineStr">
        <is>
          <t>HÄRNÖSAND</t>
        </is>
      </c>
      <c r="F5624" t="inlineStr">
        <is>
          <t>Kyrkan</t>
        </is>
      </c>
      <c r="G5624" t="n">
        <v>3.6</v>
      </c>
      <c r="H5624" t="n">
        <v>0</v>
      </c>
      <c r="I5624" t="n">
        <v>0</v>
      </c>
      <c r="J5624" t="n">
        <v>0</v>
      </c>
      <c r="K5624" t="n">
        <v>0</v>
      </c>
      <c r="L5624" t="n">
        <v>0</v>
      </c>
      <c r="M5624" t="n">
        <v>0</v>
      </c>
      <c r="N5624" t="n">
        <v>0</v>
      </c>
      <c r="O5624" t="n">
        <v>0</v>
      </c>
      <c r="P5624" t="n">
        <v>0</v>
      </c>
      <c r="Q5624" t="n">
        <v>0</v>
      </c>
      <c r="R5624" s="2" t="inlineStr"/>
    </row>
    <row r="5625" ht="15" customHeight="1">
      <c r="A5625" t="inlineStr">
        <is>
          <t>A 46324-2022</t>
        </is>
      </c>
      <c r="B5625" s="1" t="n">
        <v>44847</v>
      </c>
      <c r="C5625" s="1" t="n">
        <v>45212</v>
      </c>
      <c r="D5625" t="inlineStr">
        <is>
          <t>VÄSTERNORRLANDS LÄN</t>
        </is>
      </c>
      <c r="E5625" t="inlineStr">
        <is>
          <t>SOLLEFTEÅ</t>
        </is>
      </c>
      <c r="F5625" t="inlineStr">
        <is>
          <t>SCA</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46320-2022</t>
        </is>
      </c>
      <c r="B5626" s="1" t="n">
        <v>44847</v>
      </c>
      <c r="C5626" s="1" t="n">
        <v>45212</v>
      </c>
      <c r="D5626" t="inlineStr">
        <is>
          <t>VÄSTERNORRLANDS LÄN</t>
        </is>
      </c>
      <c r="E5626" t="inlineStr">
        <is>
          <t>HÄRNÖSAND</t>
        </is>
      </c>
      <c r="F5626" t="inlineStr">
        <is>
          <t>Kyrkan</t>
        </is>
      </c>
      <c r="G5626" t="n">
        <v>7</v>
      </c>
      <c r="H5626" t="n">
        <v>0</v>
      </c>
      <c r="I5626" t="n">
        <v>0</v>
      </c>
      <c r="J5626" t="n">
        <v>0</v>
      </c>
      <c r="K5626" t="n">
        <v>0</v>
      </c>
      <c r="L5626" t="n">
        <v>0</v>
      </c>
      <c r="M5626" t="n">
        <v>0</v>
      </c>
      <c r="N5626" t="n">
        <v>0</v>
      </c>
      <c r="O5626" t="n">
        <v>0</v>
      </c>
      <c r="P5626" t="n">
        <v>0</v>
      </c>
      <c r="Q5626" t="n">
        <v>0</v>
      </c>
      <c r="R5626" s="2" t="inlineStr"/>
    </row>
    <row r="5627" ht="15" customHeight="1">
      <c r="A5627" t="inlineStr">
        <is>
          <t>A 46330-2022</t>
        </is>
      </c>
      <c r="B5627" s="1" t="n">
        <v>44847</v>
      </c>
      <c r="C5627" s="1" t="n">
        <v>45212</v>
      </c>
      <c r="D5627" t="inlineStr">
        <is>
          <t>VÄSTERNORRLANDS LÄN</t>
        </is>
      </c>
      <c r="E5627" t="inlineStr">
        <is>
          <t>SUNDSVALL</t>
        </is>
      </c>
      <c r="F5627" t="inlineStr">
        <is>
          <t>SCA</t>
        </is>
      </c>
      <c r="G5627" t="n">
        <v>5.8</v>
      </c>
      <c r="H5627" t="n">
        <v>0</v>
      </c>
      <c r="I5627" t="n">
        <v>0</v>
      </c>
      <c r="J5627" t="n">
        <v>0</v>
      </c>
      <c r="K5627" t="n">
        <v>0</v>
      </c>
      <c r="L5627" t="n">
        <v>0</v>
      </c>
      <c r="M5627" t="n">
        <v>0</v>
      </c>
      <c r="N5627" t="n">
        <v>0</v>
      </c>
      <c r="O5627" t="n">
        <v>0</v>
      </c>
      <c r="P5627" t="n">
        <v>0</v>
      </c>
      <c r="Q5627" t="n">
        <v>0</v>
      </c>
      <c r="R5627" s="2" t="inlineStr"/>
    </row>
    <row r="5628" ht="15" customHeight="1">
      <c r="A5628" t="inlineStr">
        <is>
          <t>A 46351-2022</t>
        </is>
      </c>
      <c r="B5628" s="1" t="n">
        <v>44847</v>
      </c>
      <c r="C5628" s="1" t="n">
        <v>45212</v>
      </c>
      <c r="D5628" t="inlineStr">
        <is>
          <t>VÄSTERNORRLANDS LÄN</t>
        </is>
      </c>
      <c r="E5628" t="inlineStr">
        <is>
          <t>ÅNGE</t>
        </is>
      </c>
      <c r="F5628" t="inlineStr">
        <is>
          <t>SCA</t>
        </is>
      </c>
      <c r="G5628" t="n">
        <v>4.4</v>
      </c>
      <c r="H5628" t="n">
        <v>0</v>
      </c>
      <c r="I5628" t="n">
        <v>0</v>
      </c>
      <c r="J5628" t="n">
        <v>0</v>
      </c>
      <c r="K5628" t="n">
        <v>0</v>
      </c>
      <c r="L5628" t="n">
        <v>0</v>
      </c>
      <c r="M5628" t="n">
        <v>0</v>
      </c>
      <c r="N5628" t="n">
        <v>0</v>
      </c>
      <c r="O5628" t="n">
        <v>0</v>
      </c>
      <c r="P5628" t="n">
        <v>0</v>
      </c>
      <c r="Q5628" t="n">
        <v>0</v>
      </c>
      <c r="R5628" s="2" t="inlineStr"/>
    </row>
    <row r="5629" ht="15" customHeight="1">
      <c r="A5629" t="inlineStr">
        <is>
          <t>A 46512-2022</t>
        </is>
      </c>
      <c r="B5629" s="1" t="n">
        <v>44847</v>
      </c>
      <c r="C5629" s="1" t="n">
        <v>45212</v>
      </c>
      <c r="D5629" t="inlineStr">
        <is>
          <t>VÄSTERNORRLANDS LÄN</t>
        </is>
      </c>
      <c r="E5629" t="inlineStr">
        <is>
          <t>KRAMFORS</t>
        </is>
      </c>
      <c r="G5629" t="n">
        <v>4.5</v>
      </c>
      <c r="H5629" t="n">
        <v>0</v>
      </c>
      <c r="I5629" t="n">
        <v>0</v>
      </c>
      <c r="J5629" t="n">
        <v>0</v>
      </c>
      <c r="K5629" t="n">
        <v>0</v>
      </c>
      <c r="L5629" t="n">
        <v>0</v>
      </c>
      <c r="M5629" t="n">
        <v>0</v>
      </c>
      <c r="N5629" t="n">
        <v>0</v>
      </c>
      <c r="O5629" t="n">
        <v>0</v>
      </c>
      <c r="P5629" t="n">
        <v>0</v>
      </c>
      <c r="Q5629" t="n">
        <v>0</v>
      </c>
      <c r="R5629" s="2" t="inlineStr"/>
    </row>
    <row r="5630" ht="15" customHeight="1">
      <c r="A5630" t="inlineStr">
        <is>
          <t>A 46626-2022</t>
        </is>
      </c>
      <c r="B5630" s="1" t="n">
        <v>44848</v>
      </c>
      <c r="C5630" s="1" t="n">
        <v>45212</v>
      </c>
      <c r="D5630" t="inlineStr">
        <is>
          <t>VÄSTERNORRLANDS LÄN</t>
        </is>
      </c>
      <c r="E5630" t="inlineStr">
        <is>
          <t>SOLLEFTEÅ</t>
        </is>
      </c>
      <c r="F5630" t="inlineStr">
        <is>
          <t>SCA</t>
        </is>
      </c>
      <c r="G5630" t="n">
        <v>9.9</v>
      </c>
      <c r="H5630" t="n">
        <v>0</v>
      </c>
      <c r="I5630" t="n">
        <v>0</v>
      </c>
      <c r="J5630" t="n">
        <v>0</v>
      </c>
      <c r="K5630" t="n">
        <v>0</v>
      </c>
      <c r="L5630" t="n">
        <v>0</v>
      </c>
      <c r="M5630" t="n">
        <v>0</v>
      </c>
      <c r="N5630" t="n">
        <v>0</v>
      </c>
      <c r="O5630" t="n">
        <v>0</v>
      </c>
      <c r="P5630" t="n">
        <v>0</v>
      </c>
      <c r="Q5630" t="n">
        <v>0</v>
      </c>
      <c r="R5630" s="2" t="inlineStr"/>
    </row>
    <row r="5631" ht="15" customHeight="1">
      <c r="A5631" t="inlineStr">
        <is>
          <t>A 46840-2022</t>
        </is>
      </c>
      <c r="B5631" s="1" t="n">
        <v>44848</v>
      </c>
      <c r="C5631" s="1" t="n">
        <v>45212</v>
      </c>
      <c r="D5631" t="inlineStr">
        <is>
          <t>VÄSTERNORRLANDS LÄN</t>
        </is>
      </c>
      <c r="E5631" t="inlineStr">
        <is>
          <t>HÄRNÖSAND</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46616-2022</t>
        </is>
      </c>
      <c r="B5632" s="1" t="n">
        <v>44848</v>
      </c>
      <c r="C5632" s="1" t="n">
        <v>45212</v>
      </c>
      <c r="D5632" t="inlineStr">
        <is>
          <t>VÄSTERNORRLANDS LÄN</t>
        </is>
      </c>
      <c r="E5632" t="inlineStr">
        <is>
          <t>SOLLEFTEÅ</t>
        </is>
      </c>
      <c r="F5632" t="inlineStr">
        <is>
          <t>SCA</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46827-2022</t>
        </is>
      </c>
      <c r="B5633" s="1" t="n">
        <v>44848</v>
      </c>
      <c r="C5633" s="1" t="n">
        <v>45212</v>
      </c>
      <c r="D5633" t="inlineStr">
        <is>
          <t>VÄSTERNORRLANDS LÄN</t>
        </is>
      </c>
      <c r="E5633" t="inlineStr">
        <is>
          <t>HÄRNÖSAND</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46837-2022</t>
        </is>
      </c>
      <c r="B5634" s="1" t="n">
        <v>44848</v>
      </c>
      <c r="C5634" s="1" t="n">
        <v>45212</v>
      </c>
      <c r="D5634" t="inlineStr">
        <is>
          <t>VÄSTERNORRLANDS LÄN</t>
        </is>
      </c>
      <c r="E5634" t="inlineStr">
        <is>
          <t>HÄRNÖSAND</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46890-2022</t>
        </is>
      </c>
      <c r="B5635" s="1" t="n">
        <v>44848</v>
      </c>
      <c r="C5635" s="1" t="n">
        <v>45212</v>
      </c>
      <c r="D5635" t="inlineStr">
        <is>
          <t>VÄSTERNORRLANDS LÄN</t>
        </is>
      </c>
      <c r="E5635" t="inlineStr">
        <is>
          <t>ÖRNSKÖLDSVIK</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46493-2022</t>
        </is>
      </c>
      <c r="B5636" s="1" t="n">
        <v>44848</v>
      </c>
      <c r="C5636" s="1" t="n">
        <v>45212</v>
      </c>
      <c r="D5636" t="inlineStr">
        <is>
          <t>VÄSTERNORRLANDS LÄN</t>
        </is>
      </c>
      <c r="E5636" t="inlineStr">
        <is>
          <t>ÖRNSKÖLDSVIK</t>
        </is>
      </c>
      <c r="F5636" t="inlineStr">
        <is>
          <t>Holmen skog AB</t>
        </is>
      </c>
      <c r="G5636" t="n">
        <v>11.5</v>
      </c>
      <c r="H5636" t="n">
        <v>0</v>
      </c>
      <c r="I5636" t="n">
        <v>0</v>
      </c>
      <c r="J5636" t="n">
        <v>0</v>
      </c>
      <c r="K5636" t="n">
        <v>0</v>
      </c>
      <c r="L5636" t="n">
        <v>0</v>
      </c>
      <c r="M5636" t="n">
        <v>0</v>
      </c>
      <c r="N5636" t="n">
        <v>0</v>
      </c>
      <c r="O5636" t="n">
        <v>0</v>
      </c>
      <c r="P5636" t="n">
        <v>0</v>
      </c>
      <c r="Q5636" t="n">
        <v>0</v>
      </c>
      <c r="R5636" s="2" t="inlineStr"/>
    </row>
    <row r="5637" ht="15" customHeight="1">
      <c r="A5637" t="inlineStr">
        <is>
          <t>A 46650-2022</t>
        </is>
      </c>
      <c r="B5637" s="1" t="n">
        <v>44849</v>
      </c>
      <c r="C5637" s="1" t="n">
        <v>45212</v>
      </c>
      <c r="D5637" t="inlineStr">
        <is>
          <t>VÄSTERNORRLANDS LÄN</t>
        </is>
      </c>
      <c r="E5637" t="inlineStr">
        <is>
          <t>TIMRÅ</t>
        </is>
      </c>
      <c r="F5637" t="inlineStr">
        <is>
          <t>SCA</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46880-2022</t>
        </is>
      </c>
      <c r="B5638" s="1" t="n">
        <v>44851</v>
      </c>
      <c r="C5638" s="1" t="n">
        <v>45212</v>
      </c>
      <c r="D5638" t="inlineStr">
        <is>
          <t>VÄSTERNORRLANDS LÄN</t>
        </is>
      </c>
      <c r="E5638" t="inlineStr">
        <is>
          <t>SOLLEFTEÅ</t>
        </is>
      </c>
      <c r="F5638" t="inlineStr">
        <is>
          <t>Kyrkan</t>
        </is>
      </c>
      <c r="G5638" t="n">
        <v>5.4</v>
      </c>
      <c r="H5638" t="n">
        <v>0</v>
      </c>
      <c r="I5638" t="n">
        <v>0</v>
      </c>
      <c r="J5638" t="n">
        <v>0</v>
      </c>
      <c r="K5638" t="n">
        <v>0</v>
      </c>
      <c r="L5638" t="n">
        <v>0</v>
      </c>
      <c r="M5638" t="n">
        <v>0</v>
      </c>
      <c r="N5638" t="n">
        <v>0</v>
      </c>
      <c r="O5638" t="n">
        <v>0</v>
      </c>
      <c r="P5638" t="n">
        <v>0</v>
      </c>
      <c r="Q5638" t="n">
        <v>0</v>
      </c>
      <c r="R5638" s="2" t="inlineStr"/>
    </row>
    <row r="5639" ht="15" customHeight="1">
      <c r="A5639" t="inlineStr">
        <is>
          <t>A 46956-2022</t>
        </is>
      </c>
      <c r="B5639" s="1" t="n">
        <v>44851</v>
      </c>
      <c r="C5639" s="1" t="n">
        <v>45212</v>
      </c>
      <c r="D5639" t="inlineStr">
        <is>
          <t>VÄSTERNORRLANDS LÄN</t>
        </is>
      </c>
      <c r="E5639" t="inlineStr">
        <is>
          <t>SUNDSVALL</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47059-2022</t>
        </is>
      </c>
      <c r="B5640" s="1" t="n">
        <v>44851</v>
      </c>
      <c r="C5640" s="1" t="n">
        <v>45212</v>
      </c>
      <c r="D5640" t="inlineStr">
        <is>
          <t>VÄSTERNORRLANDS LÄN</t>
        </is>
      </c>
      <c r="E5640" t="inlineStr">
        <is>
          <t>HÄRNÖSAND</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46954-2022</t>
        </is>
      </c>
      <c r="B5641" s="1" t="n">
        <v>44851</v>
      </c>
      <c r="C5641" s="1" t="n">
        <v>45212</v>
      </c>
      <c r="D5641" t="inlineStr">
        <is>
          <t>VÄSTERNORRLANDS LÄN</t>
        </is>
      </c>
      <c r="E5641" t="inlineStr">
        <is>
          <t>SUNDSVALL</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47057-2022</t>
        </is>
      </c>
      <c r="B5642" s="1" t="n">
        <v>44851</v>
      </c>
      <c r="C5642" s="1" t="n">
        <v>45212</v>
      </c>
      <c r="D5642" t="inlineStr">
        <is>
          <t>VÄSTERNORRLANDS LÄN</t>
        </is>
      </c>
      <c r="E5642" t="inlineStr">
        <is>
          <t>HÄRNÖSAND</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47197-2022</t>
        </is>
      </c>
      <c r="B5643" s="1" t="n">
        <v>44851</v>
      </c>
      <c r="C5643" s="1" t="n">
        <v>45212</v>
      </c>
      <c r="D5643" t="inlineStr">
        <is>
          <t>VÄSTERNORRLANDS LÄN</t>
        </is>
      </c>
      <c r="E5643" t="inlineStr">
        <is>
          <t>SUNDSVALL</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46735-2022</t>
        </is>
      </c>
      <c r="B5644" s="1" t="n">
        <v>44851</v>
      </c>
      <c r="C5644" s="1" t="n">
        <v>45212</v>
      </c>
      <c r="D5644" t="inlineStr">
        <is>
          <t>VÄSTERNORRLANDS LÄN</t>
        </is>
      </c>
      <c r="E5644" t="inlineStr">
        <is>
          <t>SUNDSVALL</t>
        </is>
      </c>
      <c r="G5644" t="n">
        <v>3</v>
      </c>
      <c r="H5644" t="n">
        <v>0</v>
      </c>
      <c r="I5644" t="n">
        <v>0</v>
      </c>
      <c r="J5644" t="n">
        <v>0</v>
      </c>
      <c r="K5644" t="n">
        <v>0</v>
      </c>
      <c r="L5644" t="n">
        <v>0</v>
      </c>
      <c r="M5644" t="n">
        <v>0</v>
      </c>
      <c r="N5644" t="n">
        <v>0</v>
      </c>
      <c r="O5644" t="n">
        <v>0</v>
      </c>
      <c r="P5644" t="n">
        <v>0</v>
      </c>
      <c r="Q5644" t="n">
        <v>0</v>
      </c>
      <c r="R5644" s="2" t="inlineStr"/>
    </row>
    <row r="5645" ht="15" customHeight="1">
      <c r="A5645" t="inlineStr">
        <is>
          <t>A 46949-2022</t>
        </is>
      </c>
      <c r="B5645" s="1" t="n">
        <v>44851</v>
      </c>
      <c r="C5645" s="1" t="n">
        <v>45212</v>
      </c>
      <c r="D5645" t="inlineStr">
        <is>
          <t>VÄSTERNORRLANDS LÄN</t>
        </is>
      </c>
      <c r="E5645" t="inlineStr">
        <is>
          <t>SUNDSVALL</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46985-2022</t>
        </is>
      </c>
      <c r="B5646" s="1" t="n">
        <v>44851</v>
      </c>
      <c r="C5646" s="1" t="n">
        <v>45212</v>
      </c>
      <c r="D5646" t="inlineStr">
        <is>
          <t>VÄSTERNORRLANDS LÄN</t>
        </is>
      </c>
      <c r="E5646" t="inlineStr">
        <is>
          <t>SOLLEFTEÅ</t>
        </is>
      </c>
      <c r="F5646" t="inlineStr">
        <is>
          <t>Kyrkan</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46716-2022</t>
        </is>
      </c>
      <c r="B5647" s="1" t="n">
        <v>44851</v>
      </c>
      <c r="C5647" s="1" t="n">
        <v>45212</v>
      </c>
      <c r="D5647" t="inlineStr">
        <is>
          <t>VÄSTERNORRLANDS LÄN</t>
        </is>
      </c>
      <c r="E5647" t="inlineStr">
        <is>
          <t>SUNDSVALL</t>
        </is>
      </c>
      <c r="G5647" t="n">
        <v>2.1</v>
      </c>
      <c r="H5647" t="n">
        <v>0</v>
      </c>
      <c r="I5647" t="n">
        <v>0</v>
      </c>
      <c r="J5647" t="n">
        <v>0</v>
      </c>
      <c r="K5647" t="n">
        <v>0</v>
      </c>
      <c r="L5647" t="n">
        <v>0</v>
      </c>
      <c r="M5647" t="n">
        <v>0</v>
      </c>
      <c r="N5647" t="n">
        <v>0</v>
      </c>
      <c r="O5647" t="n">
        <v>0</v>
      </c>
      <c r="P5647" t="n">
        <v>0</v>
      </c>
      <c r="Q5647" t="n">
        <v>0</v>
      </c>
      <c r="R5647" s="2" t="inlineStr"/>
    </row>
    <row r="5648" ht="15" customHeight="1">
      <c r="A5648" t="inlineStr">
        <is>
          <t>A 46986-2022</t>
        </is>
      </c>
      <c r="B5648" s="1" t="n">
        <v>44851</v>
      </c>
      <c r="C5648" s="1" t="n">
        <v>45212</v>
      </c>
      <c r="D5648" t="inlineStr">
        <is>
          <t>VÄSTERNORRLANDS LÄN</t>
        </is>
      </c>
      <c r="E5648" t="inlineStr">
        <is>
          <t>SOLLEFTEÅ</t>
        </is>
      </c>
      <c r="F5648" t="inlineStr">
        <is>
          <t>SCA</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47058-2022</t>
        </is>
      </c>
      <c r="B5649" s="1" t="n">
        <v>44852</v>
      </c>
      <c r="C5649" s="1" t="n">
        <v>45212</v>
      </c>
      <c r="D5649" t="inlineStr">
        <is>
          <t>VÄSTERNORRLANDS LÄN</t>
        </is>
      </c>
      <c r="E5649" t="inlineStr">
        <is>
          <t>ÖRNSKÖLDSVIK</t>
        </is>
      </c>
      <c r="F5649" t="inlineStr">
        <is>
          <t>Holmen skog AB</t>
        </is>
      </c>
      <c r="G5649" t="n">
        <v>0.9</v>
      </c>
      <c r="H5649" t="n">
        <v>0</v>
      </c>
      <c r="I5649" t="n">
        <v>0</v>
      </c>
      <c r="J5649" t="n">
        <v>0</v>
      </c>
      <c r="K5649" t="n">
        <v>0</v>
      </c>
      <c r="L5649" t="n">
        <v>0</v>
      </c>
      <c r="M5649" t="n">
        <v>0</v>
      </c>
      <c r="N5649" t="n">
        <v>0</v>
      </c>
      <c r="O5649" t="n">
        <v>0</v>
      </c>
      <c r="P5649" t="n">
        <v>0</v>
      </c>
      <c r="Q5649" t="n">
        <v>0</v>
      </c>
      <c r="R5649" s="2" t="inlineStr"/>
    </row>
    <row r="5650" ht="15" customHeight="1">
      <c r="A5650" t="inlineStr">
        <is>
          <t>A 47106-2022</t>
        </is>
      </c>
      <c r="B5650" s="1" t="n">
        <v>44852</v>
      </c>
      <c r="C5650" s="1" t="n">
        <v>45212</v>
      </c>
      <c r="D5650" t="inlineStr">
        <is>
          <t>VÄSTERNORRLANDS LÄN</t>
        </is>
      </c>
      <c r="E5650" t="inlineStr">
        <is>
          <t>ÅNGE</t>
        </is>
      </c>
      <c r="G5650" t="n">
        <v>11.9</v>
      </c>
      <c r="H5650" t="n">
        <v>0</v>
      </c>
      <c r="I5650" t="n">
        <v>0</v>
      </c>
      <c r="J5650" t="n">
        <v>0</v>
      </c>
      <c r="K5650" t="n">
        <v>0</v>
      </c>
      <c r="L5650" t="n">
        <v>0</v>
      </c>
      <c r="M5650" t="n">
        <v>0</v>
      </c>
      <c r="N5650" t="n">
        <v>0</v>
      </c>
      <c r="O5650" t="n">
        <v>0</v>
      </c>
      <c r="P5650" t="n">
        <v>0</v>
      </c>
      <c r="Q5650" t="n">
        <v>0</v>
      </c>
      <c r="R5650" s="2" t="inlineStr"/>
    </row>
    <row r="5651" ht="15" customHeight="1">
      <c r="A5651" t="inlineStr">
        <is>
          <t>A 47171-2022</t>
        </is>
      </c>
      <c r="B5651" s="1" t="n">
        <v>44852</v>
      </c>
      <c r="C5651" s="1" t="n">
        <v>45212</v>
      </c>
      <c r="D5651" t="inlineStr">
        <is>
          <t>VÄSTERNORRLANDS LÄN</t>
        </is>
      </c>
      <c r="E5651" t="inlineStr">
        <is>
          <t>KRAMFORS</t>
        </is>
      </c>
      <c r="G5651" t="n">
        <v>7.9</v>
      </c>
      <c r="H5651" t="n">
        <v>0</v>
      </c>
      <c r="I5651" t="n">
        <v>0</v>
      </c>
      <c r="J5651" t="n">
        <v>0</v>
      </c>
      <c r="K5651" t="n">
        <v>0</v>
      </c>
      <c r="L5651" t="n">
        <v>0</v>
      </c>
      <c r="M5651" t="n">
        <v>0</v>
      </c>
      <c r="N5651" t="n">
        <v>0</v>
      </c>
      <c r="O5651" t="n">
        <v>0</v>
      </c>
      <c r="P5651" t="n">
        <v>0</v>
      </c>
      <c r="Q5651" t="n">
        <v>0</v>
      </c>
      <c r="R5651" s="2" t="inlineStr"/>
    </row>
    <row r="5652" ht="15" customHeight="1">
      <c r="A5652" t="inlineStr">
        <is>
          <t>A 47189-2022</t>
        </is>
      </c>
      <c r="B5652" s="1" t="n">
        <v>44852</v>
      </c>
      <c r="C5652" s="1" t="n">
        <v>45212</v>
      </c>
      <c r="D5652" t="inlineStr">
        <is>
          <t>VÄSTERNORRLANDS LÄN</t>
        </is>
      </c>
      <c r="E5652" t="inlineStr">
        <is>
          <t>KRAMFORS</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47643-2022</t>
        </is>
      </c>
      <c r="B5653" s="1" t="n">
        <v>44852</v>
      </c>
      <c r="C5653" s="1" t="n">
        <v>45212</v>
      </c>
      <c r="D5653" t="inlineStr">
        <is>
          <t>VÄSTERNORRLANDS LÄN</t>
        </is>
      </c>
      <c r="E5653" t="inlineStr">
        <is>
          <t>SOLLEFTEÅ</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47152-2022</t>
        </is>
      </c>
      <c r="B5654" s="1" t="n">
        <v>44852</v>
      </c>
      <c r="C5654" s="1" t="n">
        <v>45212</v>
      </c>
      <c r="D5654" t="inlineStr">
        <is>
          <t>VÄSTERNORRLANDS LÄN</t>
        </is>
      </c>
      <c r="E5654" t="inlineStr">
        <is>
          <t>KRAMFORS</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47249-2022</t>
        </is>
      </c>
      <c r="B5655" s="1" t="n">
        <v>44852</v>
      </c>
      <c r="C5655" s="1" t="n">
        <v>45212</v>
      </c>
      <c r="D5655" t="inlineStr">
        <is>
          <t>VÄSTERNORRLANDS LÄN</t>
        </is>
      </c>
      <c r="E5655" t="inlineStr">
        <is>
          <t>SUNDSVALL</t>
        </is>
      </c>
      <c r="F5655" t="inlineStr">
        <is>
          <t>SCA</t>
        </is>
      </c>
      <c r="G5655" t="n">
        <v>4.4</v>
      </c>
      <c r="H5655" t="n">
        <v>0</v>
      </c>
      <c r="I5655" t="n">
        <v>0</v>
      </c>
      <c r="J5655" t="n">
        <v>0</v>
      </c>
      <c r="K5655" t="n">
        <v>0</v>
      </c>
      <c r="L5655" t="n">
        <v>0</v>
      </c>
      <c r="M5655" t="n">
        <v>0</v>
      </c>
      <c r="N5655" t="n">
        <v>0</v>
      </c>
      <c r="O5655" t="n">
        <v>0</v>
      </c>
      <c r="P5655" t="n">
        <v>0</v>
      </c>
      <c r="Q5655" t="n">
        <v>0</v>
      </c>
      <c r="R5655" s="2" t="inlineStr"/>
    </row>
    <row r="5656" ht="15" customHeight="1">
      <c r="A5656" t="inlineStr">
        <is>
          <t>A 47192-2022</t>
        </is>
      </c>
      <c r="B5656" s="1" t="n">
        <v>44852</v>
      </c>
      <c r="C5656" s="1" t="n">
        <v>45212</v>
      </c>
      <c r="D5656" t="inlineStr">
        <is>
          <t>VÄSTERNORRLANDS LÄN</t>
        </is>
      </c>
      <c r="E5656" t="inlineStr">
        <is>
          <t>KRAMFORS</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47250-2022</t>
        </is>
      </c>
      <c r="B5657" s="1" t="n">
        <v>44852</v>
      </c>
      <c r="C5657" s="1" t="n">
        <v>45212</v>
      </c>
      <c r="D5657" t="inlineStr">
        <is>
          <t>VÄSTERNORRLANDS LÄN</t>
        </is>
      </c>
      <c r="E5657" t="inlineStr">
        <is>
          <t>SOLLEFTEÅ</t>
        </is>
      </c>
      <c r="F5657" t="inlineStr">
        <is>
          <t>SCA</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47347-2022</t>
        </is>
      </c>
      <c r="B5658" s="1" t="n">
        <v>44852</v>
      </c>
      <c r="C5658" s="1" t="n">
        <v>45212</v>
      </c>
      <c r="D5658" t="inlineStr">
        <is>
          <t>VÄSTERNORRLANDS LÄN</t>
        </is>
      </c>
      <c r="E5658" t="inlineStr">
        <is>
          <t>TIMRÅ</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47503-2022</t>
        </is>
      </c>
      <c r="B5659" s="1" t="n">
        <v>44852</v>
      </c>
      <c r="C5659" s="1" t="n">
        <v>45212</v>
      </c>
      <c r="D5659" t="inlineStr">
        <is>
          <t>VÄSTERNORRLANDS LÄN</t>
        </is>
      </c>
      <c r="E5659" t="inlineStr">
        <is>
          <t>KRAMFORS</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47044-2022</t>
        </is>
      </c>
      <c r="B5660" s="1" t="n">
        <v>44852</v>
      </c>
      <c r="C5660" s="1" t="n">
        <v>45212</v>
      </c>
      <c r="D5660" t="inlineStr">
        <is>
          <t>VÄSTERNORRLANDS LÄN</t>
        </is>
      </c>
      <c r="E5660" t="inlineStr">
        <is>
          <t>ÖRNSKÖLDSVIK</t>
        </is>
      </c>
      <c r="F5660" t="inlineStr">
        <is>
          <t>Holmen skog AB</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47449-2022</t>
        </is>
      </c>
      <c r="B5661" s="1" t="n">
        <v>44852</v>
      </c>
      <c r="C5661" s="1" t="n">
        <v>45212</v>
      </c>
      <c r="D5661" t="inlineStr">
        <is>
          <t>VÄSTERNORRLANDS LÄN</t>
        </is>
      </c>
      <c r="E5661" t="inlineStr">
        <is>
          <t>ÖRNSKÖLDSVIK</t>
        </is>
      </c>
      <c r="G5661" t="n">
        <v>5.8</v>
      </c>
      <c r="H5661" t="n">
        <v>0</v>
      </c>
      <c r="I5661" t="n">
        <v>0</v>
      </c>
      <c r="J5661" t="n">
        <v>0</v>
      </c>
      <c r="K5661" t="n">
        <v>0</v>
      </c>
      <c r="L5661" t="n">
        <v>0</v>
      </c>
      <c r="M5661" t="n">
        <v>0</v>
      </c>
      <c r="N5661" t="n">
        <v>0</v>
      </c>
      <c r="O5661" t="n">
        <v>0</v>
      </c>
      <c r="P5661" t="n">
        <v>0</v>
      </c>
      <c r="Q5661" t="n">
        <v>0</v>
      </c>
      <c r="R5661" s="2" t="inlineStr"/>
    </row>
    <row r="5662" ht="15" customHeight="1">
      <c r="A5662" t="inlineStr">
        <is>
          <t>A 47512-2022</t>
        </is>
      </c>
      <c r="B5662" s="1" t="n">
        <v>44852</v>
      </c>
      <c r="C5662" s="1" t="n">
        <v>45212</v>
      </c>
      <c r="D5662" t="inlineStr">
        <is>
          <t>VÄSTERNORRLANDS LÄN</t>
        </is>
      </c>
      <c r="E5662" t="inlineStr">
        <is>
          <t>SUNDSVALL</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47606-2022</t>
        </is>
      </c>
      <c r="B5663" s="1" t="n">
        <v>44852</v>
      </c>
      <c r="C5663" s="1" t="n">
        <v>45212</v>
      </c>
      <c r="D5663" t="inlineStr">
        <is>
          <t>VÄSTERNORRLANDS LÄN</t>
        </is>
      </c>
      <c r="E5663" t="inlineStr">
        <is>
          <t>ÖRNSKÖLDSVIK</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47631-2022</t>
        </is>
      </c>
      <c r="B5664" s="1" t="n">
        <v>44852</v>
      </c>
      <c r="C5664" s="1" t="n">
        <v>45212</v>
      </c>
      <c r="D5664" t="inlineStr">
        <is>
          <t>VÄSTERNORRLANDS LÄN</t>
        </is>
      </c>
      <c r="E5664" t="inlineStr">
        <is>
          <t>ÖRNSKÖLDSVIK</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47552-2022</t>
        </is>
      </c>
      <c r="B5665" s="1" t="n">
        <v>44853</v>
      </c>
      <c r="C5665" s="1" t="n">
        <v>45212</v>
      </c>
      <c r="D5665" t="inlineStr">
        <is>
          <t>VÄSTERNORRLANDS LÄN</t>
        </is>
      </c>
      <c r="E5665" t="inlineStr">
        <is>
          <t>HÄRNÖSAND</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47650-2022</t>
        </is>
      </c>
      <c r="B5666" s="1" t="n">
        <v>44853</v>
      </c>
      <c r="C5666" s="1" t="n">
        <v>45212</v>
      </c>
      <c r="D5666" t="inlineStr">
        <is>
          <t>VÄSTERNORRLANDS LÄN</t>
        </is>
      </c>
      <c r="E5666" t="inlineStr">
        <is>
          <t>KRAMFORS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47939-2022</t>
        </is>
      </c>
      <c r="B5667" s="1" t="n">
        <v>44853</v>
      </c>
      <c r="C5667" s="1" t="n">
        <v>45212</v>
      </c>
      <c r="D5667" t="inlineStr">
        <is>
          <t>VÄSTERNORRLANDS LÄN</t>
        </is>
      </c>
      <c r="E5667" t="inlineStr">
        <is>
          <t>HÄRNÖSAND</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47361-2022</t>
        </is>
      </c>
      <c r="B5668" s="1" t="n">
        <v>44853</v>
      </c>
      <c r="C5668" s="1" t="n">
        <v>45212</v>
      </c>
      <c r="D5668" t="inlineStr">
        <is>
          <t>VÄSTERNORRLANDS LÄN</t>
        </is>
      </c>
      <c r="E5668" t="inlineStr">
        <is>
          <t>ÖRNSKÖLDSVIK</t>
        </is>
      </c>
      <c r="F5668" t="inlineStr">
        <is>
          <t>Holmen skog AB</t>
        </is>
      </c>
      <c r="G5668" t="n">
        <v>9.699999999999999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47550-2022</t>
        </is>
      </c>
      <c r="B5669" s="1" t="n">
        <v>44853</v>
      </c>
      <c r="C5669" s="1" t="n">
        <v>45212</v>
      </c>
      <c r="D5669" t="inlineStr">
        <is>
          <t>VÄSTERNORRLANDS LÄN</t>
        </is>
      </c>
      <c r="E5669" t="inlineStr">
        <is>
          <t>HÄRNÖSAND</t>
        </is>
      </c>
      <c r="G5669" t="n">
        <v>2</v>
      </c>
      <c r="H5669" t="n">
        <v>0</v>
      </c>
      <c r="I5669" t="n">
        <v>0</v>
      </c>
      <c r="J5669" t="n">
        <v>0</v>
      </c>
      <c r="K5669" t="n">
        <v>0</v>
      </c>
      <c r="L5669" t="n">
        <v>0</v>
      </c>
      <c r="M5669" t="n">
        <v>0</v>
      </c>
      <c r="N5669" t="n">
        <v>0</v>
      </c>
      <c r="O5669" t="n">
        <v>0</v>
      </c>
      <c r="P5669" t="n">
        <v>0</v>
      </c>
      <c r="Q5669" t="n">
        <v>0</v>
      </c>
      <c r="R5669" s="2" t="inlineStr"/>
    </row>
    <row r="5670" ht="15" customHeight="1">
      <c r="A5670" t="inlineStr">
        <is>
          <t>A 47944-2022</t>
        </is>
      </c>
      <c r="B5670" s="1" t="n">
        <v>44853</v>
      </c>
      <c r="C5670" s="1" t="n">
        <v>45212</v>
      </c>
      <c r="D5670" t="inlineStr">
        <is>
          <t>VÄSTERNORRLANDS LÄN</t>
        </is>
      </c>
      <c r="E5670" t="inlineStr">
        <is>
          <t>HÄRNÖSAND</t>
        </is>
      </c>
      <c r="G5670" t="n">
        <v>7.6</v>
      </c>
      <c r="H5670" t="n">
        <v>0</v>
      </c>
      <c r="I5670" t="n">
        <v>0</v>
      </c>
      <c r="J5670" t="n">
        <v>0</v>
      </c>
      <c r="K5670" t="n">
        <v>0</v>
      </c>
      <c r="L5670" t="n">
        <v>0</v>
      </c>
      <c r="M5670" t="n">
        <v>0</v>
      </c>
      <c r="N5670" t="n">
        <v>0</v>
      </c>
      <c r="O5670" t="n">
        <v>0</v>
      </c>
      <c r="P5670" t="n">
        <v>0</v>
      </c>
      <c r="Q5670" t="n">
        <v>0</v>
      </c>
      <c r="R5670" s="2" t="inlineStr"/>
    </row>
    <row r="5671" ht="15" customHeight="1">
      <c r="A5671" t="inlineStr">
        <is>
          <t>A 47562-2022</t>
        </is>
      </c>
      <c r="B5671" s="1" t="n">
        <v>44853</v>
      </c>
      <c r="C5671" s="1" t="n">
        <v>45212</v>
      </c>
      <c r="D5671" t="inlineStr">
        <is>
          <t>VÄSTERNORRLANDS LÄN</t>
        </is>
      </c>
      <c r="E5671" t="inlineStr">
        <is>
          <t>TIMRÅ</t>
        </is>
      </c>
      <c r="F5671" t="inlineStr">
        <is>
          <t>SCA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47678-2022</t>
        </is>
      </c>
      <c r="B5672" s="1" t="n">
        <v>44854</v>
      </c>
      <c r="C5672" s="1" t="n">
        <v>45212</v>
      </c>
      <c r="D5672" t="inlineStr">
        <is>
          <t>VÄSTERNORRLANDS LÄN</t>
        </is>
      </c>
      <c r="E5672" t="inlineStr">
        <is>
          <t>ÖRNSKÖLDSVIK</t>
        </is>
      </c>
      <c r="F5672" t="inlineStr">
        <is>
          <t>Holmen skog AB</t>
        </is>
      </c>
      <c r="G5672" t="n">
        <v>7.9</v>
      </c>
      <c r="H5672" t="n">
        <v>0</v>
      </c>
      <c r="I5672" t="n">
        <v>0</v>
      </c>
      <c r="J5672" t="n">
        <v>0</v>
      </c>
      <c r="K5672" t="n">
        <v>0</v>
      </c>
      <c r="L5672" t="n">
        <v>0</v>
      </c>
      <c r="M5672" t="n">
        <v>0</v>
      </c>
      <c r="N5672" t="n">
        <v>0</v>
      </c>
      <c r="O5672" t="n">
        <v>0</v>
      </c>
      <c r="P5672" t="n">
        <v>0</v>
      </c>
      <c r="Q5672" t="n">
        <v>0</v>
      </c>
      <c r="R5672" s="2" t="inlineStr"/>
    </row>
    <row r="5673" ht="15" customHeight="1">
      <c r="A5673" t="inlineStr">
        <is>
          <t>A 48612-2022</t>
        </is>
      </c>
      <c r="B5673" s="1" t="n">
        <v>44854</v>
      </c>
      <c r="C5673" s="1" t="n">
        <v>45212</v>
      </c>
      <c r="D5673" t="inlineStr">
        <is>
          <t>VÄSTERNORRLANDS LÄN</t>
        </is>
      </c>
      <c r="E5673" t="inlineStr">
        <is>
          <t>ÖRNSKÖLDSVIK</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48360-2022</t>
        </is>
      </c>
      <c r="B5674" s="1" t="n">
        <v>44854</v>
      </c>
      <c r="C5674" s="1" t="n">
        <v>45212</v>
      </c>
      <c r="D5674" t="inlineStr">
        <is>
          <t>VÄSTERNORRLANDS LÄN</t>
        </is>
      </c>
      <c r="E5674" t="inlineStr">
        <is>
          <t>KRAMFORS</t>
        </is>
      </c>
      <c r="G5674" t="n">
        <v>2.3</v>
      </c>
      <c r="H5674" t="n">
        <v>0</v>
      </c>
      <c r="I5674" t="n">
        <v>0</v>
      </c>
      <c r="J5674" t="n">
        <v>0</v>
      </c>
      <c r="K5674" t="n">
        <v>0</v>
      </c>
      <c r="L5674" t="n">
        <v>0</v>
      </c>
      <c r="M5674" t="n">
        <v>0</v>
      </c>
      <c r="N5674" t="n">
        <v>0</v>
      </c>
      <c r="O5674" t="n">
        <v>0</v>
      </c>
      <c r="P5674" t="n">
        <v>0</v>
      </c>
      <c r="Q5674" t="n">
        <v>0</v>
      </c>
      <c r="R5674" s="2" t="inlineStr"/>
    </row>
    <row r="5675" ht="15" customHeight="1">
      <c r="A5675" t="inlineStr">
        <is>
          <t>A 48474-2022</t>
        </is>
      </c>
      <c r="B5675" s="1" t="n">
        <v>44854</v>
      </c>
      <c r="C5675" s="1" t="n">
        <v>45212</v>
      </c>
      <c r="D5675" t="inlineStr">
        <is>
          <t>VÄSTERNORRLANDS LÄN</t>
        </is>
      </c>
      <c r="E5675" t="inlineStr">
        <is>
          <t>ÖRNSKÖLDSVIK</t>
        </is>
      </c>
      <c r="G5675" t="n">
        <v>2</v>
      </c>
      <c r="H5675" t="n">
        <v>0</v>
      </c>
      <c r="I5675" t="n">
        <v>0</v>
      </c>
      <c r="J5675" t="n">
        <v>0</v>
      </c>
      <c r="K5675" t="n">
        <v>0</v>
      </c>
      <c r="L5675" t="n">
        <v>0</v>
      </c>
      <c r="M5675" t="n">
        <v>0</v>
      </c>
      <c r="N5675" t="n">
        <v>0</v>
      </c>
      <c r="O5675" t="n">
        <v>0</v>
      </c>
      <c r="P5675" t="n">
        <v>0</v>
      </c>
      <c r="Q5675" t="n">
        <v>0</v>
      </c>
      <c r="R5675" s="2" t="inlineStr"/>
    </row>
    <row r="5676" ht="15" customHeight="1">
      <c r="A5676" t="inlineStr">
        <is>
          <t>A 47671-2022</t>
        </is>
      </c>
      <c r="B5676" s="1" t="n">
        <v>44854</v>
      </c>
      <c r="C5676" s="1" t="n">
        <v>45212</v>
      </c>
      <c r="D5676" t="inlineStr">
        <is>
          <t>VÄSTERNORRLANDS LÄN</t>
        </is>
      </c>
      <c r="E5676" t="inlineStr">
        <is>
          <t>ÖRNSKÖLDSVIK</t>
        </is>
      </c>
      <c r="F5676" t="inlineStr">
        <is>
          <t>Holmen skog AB</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47809-2022</t>
        </is>
      </c>
      <c r="B5677" s="1" t="n">
        <v>44854</v>
      </c>
      <c r="C5677" s="1" t="n">
        <v>45212</v>
      </c>
      <c r="D5677" t="inlineStr">
        <is>
          <t>VÄSTERNORRLANDS LÄN</t>
        </is>
      </c>
      <c r="E5677" t="inlineStr">
        <is>
          <t>SUNDSVALL</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48424-2022</t>
        </is>
      </c>
      <c r="B5678" s="1" t="n">
        <v>44854</v>
      </c>
      <c r="C5678" s="1" t="n">
        <v>45212</v>
      </c>
      <c r="D5678" t="inlineStr">
        <is>
          <t>VÄSTERNORRLANDS LÄN</t>
        </is>
      </c>
      <c r="E5678" t="inlineStr">
        <is>
          <t>ÖRNSKÖLDSVIK</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47815-2022</t>
        </is>
      </c>
      <c r="B5679" s="1" t="n">
        <v>44854</v>
      </c>
      <c r="C5679" s="1" t="n">
        <v>45212</v>
      </c>
      <c r="D5679" t="inlineStr">
        <is>
          <t>VÄSTERNORRLANDS LÄN</t>
        </is>
      </c>
      <c r="E5679" t="inlineStr">
        <is>
          <t>TIMRÅ</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47836-2022</t>
        </is>
      </c>
      <c r="B5680" s="1" t="n">
        <v>44855</v>
      </c>
      <c r="C5680" s="1" t="n">
        <v>45212</v>
      </c>
      <c r="D5680" t="inlineStr">
        <is>
          <t>VÄSTERNORRLANDS LÄN</t>
        </is>
      </c>
      <c r="E5680" t="inlineStr">
        <is>
          <t>ÖRNSKÖLDSVIK</t>
        </is>
      </c>
      <c r="F5680" t="inlineStr">
        <is>
          <t>Holmen skog AB</t>
        </is>
      </c>
      <c r="G5680" t="n">
        <v>10.2</v>
      </c>
      <c r="H5680" t="n">
        <v>0</v>
      </c>
      <c r="I5680" t="n">
        <v>0</v>
      </c>
      <c r="J5680" t="n">
        <v>0</v>
      </c>
      <c r="K5680" t="n">
        <v>0</v>
      </c>
      <c r="L5680" t="n">
        <v>0</v>
      </c>
      <c r="M5680" t="n">
        <v>0</v>
      </c>
      <c r="N5680" t="n">
        <v>0</v>
      </c>
      <c r="O5680" t="n">
        <v>0</v>
      </c>
      <c r="P5680" t="n">
        <v>0</v>
      </c>
      <c r="Q5680" t="n">
        <v>0</v>
      </c>
      <c r="R5680" s="2" t="inlineStr"/>
    </row>
    <row r="5681" ht="15" customHeight="1">
      <c r="A5681" t="inlineStr">
        <is>
          <t>A 47830-2022</t>
        </is>
      </c>
      <c r="B5681" s="1" t="n">
        <v>44855</v>
      </c>
      <c r="C5681" s="1" t="n">
        <v>45212</v>
      </c>
      <c r="D5681" t="inlineStr">
        <is>
          <t>VÄSTERNORRLANDS LÄN</t>
        </is>
      </c>
      <c r="E5681" t="inlineStr">
        <is>
          <t>ÖRNSKÖLDSVIK</t>
        </is>
      </c>
      <c r="F5681" t="inlineStr">
        <is>
          <t>Holmen skog AB</t>
        </is>
      </c>
      <c r="G5681" t="n">
        <v>0.9</v>
      </c>
      <c r="H5681" t="n">
        <v>0</v>
      </c>
      <c r="I5681" t="n">
        <v>0</v>
      </c>
      <c r="J5681" t="n">
        <v>0</v>
      </c>
      <c r="K5681" t="n">
        <v>0</v>
      </c>
      <c r="L5681" t="n">
        <v>0</v>
      </c>
      <c r="M5681" t="n">
        <v>0</v>
      </c>
      <c r="N5681" t="n">
        <v>0</v>
      </c>
      <c r="O5681" t="n">
        <v>0</v>
      </c>
      <c r="P5681" t="n">
        <v>0</v>
      </c>
      <c r="Q5681" t="n">
        <v>0</v>
      </c>
      <c r="R5681" s="2" t="inlineStr"/>
    </row>
    <row r="5682" ht="15" customHeight="1">
      <c r="A5682" t="inlineStr">
        <is>
          <t>A 48004-2022</t>
        </is>
      </c>
      <c r="B5682" s="1" t="n">
        <v>44855</v>
      </c>
      <c r="C5682" s="1" t="n">
        <v>45212</v>
      </c>
      <c r="D5682" t="inlineStr">
        <is>
          <t>VÄSTERNORRLANDS LÄN</t>
        </is>
      </c>
      <c r="E5682" t="inlineStr">
        <is>
          <t>ÖRNSKÖLDSVIK</t>
        </is>
      </c>
      <c r="F5682" t="inlineStr">
        <is>
          <t>Holmen skog AB</t>
        </is>
      </c>
      <c r="G5682" t="n">
        <v>6.6</v>
      </c>
      <c r="H5682" t="n">
        <v>0</v>
      </c>
      <c r="I5682" t="n">
        <v>0</v>
      </c>
      <c r="J5682" t="n">
        <v>0</v>
      </c>
      <c r="K5682" t="n">
        <v>0</v>
      </c>
      <c r="L5682" t="n">
        <v>0</v>
      </c>
      <c r="M5682" t="n">
        <v>0</v>
      </c>
      <c r="N5682" t="n">
        <v>0</v>
      </c>
      <c r="O5682" t="n">
        <v>0</v>
      </c>
      <c r="P5682" t="n">
        <v>0</v>
      </c>
      <c r="Q5682" t="n">
        <v>0</v>
      </c>
      <c r="R5682" s="2" t="inlineStr"/>
    </row>
    <row r="5683" ht="15" customHeight="1">
      <c r="A5683" t="inlineStr">
        <is>
          <t>A 48061-2022</t>
        </is>
      </c>
      <c r="B5683" s="1" t="n">
        <v>44855</v>
      </c>
      <c r="C5683" s="1" t="n">
        <v>45212</v>
      </c>
      <c r="D5683" t="inlineStr">
        <is>
          <t>VÄSTERNORRLANDS LÄN</t>
        </is>
      </c>
      <c r="E5683" t="inlineStr">
        <is>
          <t>SOLLEFTEÅ</t>
        </is>
      </c>
      <c r="F5683" t="inlineStr">
        <is>
          <t>SCA</t>
        </is>
      </c>
      <c r="G5683" t="n">
        <v>4.1</v>
      </c>
      <c r="H5683" t="n">
        <v>0</v>
      </c>
      <c r="I5683" t="n">
        <v>0</v>
      </c>
      <c r="J5683" t="n">
        <v>0</v>
      </c>
      <c r="K5683" t="n">
        <v>0</v>
      </c>
      <c r="L5683" t="n">
        <v>0</v>
      </c>
      <c r="M5683" t="n">
        <v>0</v>
      </c>
      <c r="N5683" t="n">
        <v>0</v>
      </c>
      <c r="O5683" t="n">
        <v>0</v>
      </c>
      <c r="P5683" t="n">
        <v>0</v>
      </c>
      <c r="Q5683" t="n">
        <v>0</v>
      </c>
      <c r="R5683" s="2" t="inlineStr"/>
    </row>
    <row r="5684" ht="15" customHeight="1">
      <c r="A5684" t="inlineStr">
        <is>
          <t>A 47879-2022</t>
        </is>
      </c>
      <c r="B5684" s="1" t="n">
        <v>44855</v>
      </c>
      <c r="C5684" s="1" t="n">
        <v>45212</v>
      </c>
      <c r="D5684" t="inlineStr">
        <is>
          <t>VÄSTERNORRLANDS LÄN</t>
        </is>
      </c>
      <c r="E5684" t="inlineStr">
        <is>
          <t>ÖRNSKÖLDSVIK</t>
        </is>
      </c>
      <c r="F5684" t="inlineStr">
        <is>
          <t>Holmen skog AB</t>
        </is>
      </c>
      <c r="G5684" t="n">
        <v>7.7</v>
      </c>
      <c r="H5684" t="n">
        <v>0</v>
      </c>
      <c r="I5684" t="n">
        <v>0</v>
      </c>
      <c r="J5684" t="n">
        <v>0</v>
      </c>
      <c r="K5684" t="n">
        <v>0</v>
      </c>
      <c r="L5684" t="n">
        <v>0</v>
      </c>
      <c r="M5684" t="n">
        <v>0</v>
      </c>
      <c r="N5684" t="n">
        <v>0</v>
      </c>
      <c r="O5684" t="n">
        <v>0</v>
      </c>
      <c r="P5684" t="n">
        <v>0</v>
      </c>
      <c r="Q5684" t="n">
        <v>0</v>
      </c>
      <c r="R5684" s="2" t="inlineStr"/>
    </row>
    <row r="5685" ht="15" customHeight="1">
      <c r="A5685" t="inlineStr">
        <is>
          <t>A 47897-2022</t>
        </is>
      </c>
      <c r="B5685" s="1" t="n">
        <v>44855</v>
      </c>
      <c r="C5685" s="1" t="n">
        <v>45212</v>
      </c>
      <c r="D5685" t="inlineStr">
        <is>
          <t>VÄSTERNORRLANDS LÄN</t>
        </is>
      </c>
      <c r="E5685" t="inlineStr">
        <is>
          <t>SUNDSVALL</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48067-2022</t>
        </is>
      </c>
      <c r="B5686" s="1" t="n">
        <v>44855</v>
      </c>
      <c r="C5686" s="1" t="n">
        <v>45212</v>
      </c>
      <c r="D5686" t="inlineStr">
        <is>
          <t>VÄSTERNORRLANDS LÄN</t>
        </is>
      </c>
      <c r="E5686" t="inlineStr">
        <is>
          <t>SOLLEFTEÅ</t>
        </is>
      </c>
      <c r="F5686" t="inlineStr">
        <is>
          <t>SCA</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48017-2022</t>
        </is>
      </c>
      <c r="B5687" s="1" t="n">
        <v>44855</v>
      </c>
      <c r="C5687" s="1" t="n">
        <v>45212</v>
      </c>
      <c r="D5687" t="inlineStr">
        <is>
          <t>VÄSTERNORRLANDS LÄN</t>
        </is>
      </c>
      <c r="E5687" t="inlineStr">
        <is>
          <t>ÖRNSKÖLDSVIK</t>
        </is>
      </c>
      <c r="F5687" t="inlineStr">
        <is>
          <t>Holmen skog AB</t>
        </is>
      </c>
      <c r="G5687" t="n">
        <v>35.7</v>
      </c>
      <c r="H5687" t="n">
        <v>0</v>
      </c>
      <c r="I5687" t="n">
        <v>0</v>
      </c>
      <c r="J5687" t="n">
        <v>0</v>
      </c>
      <c r="K5687" t="n">
        <v>0</v>
      </c>
      <c r="L5687" t="n">
        <v>0</v>
      </c>
      <c r="M5687" t="n">
        <v>0</v>
      </c>
      <c r="N5687" t="n">
        <v>0</v>
      </c>
      <c r="O5687" t="n">
        <v>0</v>
      </c>
      <c r="P5687" t="n">
        <v>0</v>
      </c>
      <c r="Q5687" t="n">
        <v>0</v>
      </c>
      <c r="R5687" s="2" t="inlineStr"/>
    </row>
    <row r="5688" ht="15" customHeight="1">
      <c r="A5688" t="inlineStr">
        <is>
          <t>A 48083-2022</t>
        </is>
      </c>
      <c r="B5688" s="1" t="n">
        <v>44855</v>
      </c>
      <c r="C5688" s="1" t="n">
        <v>45212</v>
      </c>
      <c r="D5688" t="inlineStr">
        <is>
          <t>VÄSTERNORRLANDS LÄN</t>
        </is>
      </c>
      <c r="E5688" t="inlineStr">
        <is>
          <t>TIMRÅ</t>
        </is>
      </c>
      <c r="F5688" t="inlineStr">
        <is>
          <t>SCA</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48738-2022</t>
        </is>
      </c>
      <c r="B5689" s="1" t="n">
        <v>44855</v>
      </c>
      <c r="C5689" s="1" t="n">
        <v>45212</v>
      </c>
      <c r="D5689" t="inlineStr">
        <is>
          <t>VÄSTERNORRLANDS LÄN</t>
        </is>
      </c>
      <c r="E5689" t="inlineStr">
        <is>
          <t>SOLLEFTEÅ</t>
        </is>
      </c>
      <c r="G5689" t="n">
        <v>5.3</v>
      </c>
      <c r="H5689" t="n">
        <v>0</v>
      </c>
      <c r="I5689" t="n">
        <v>0</v>
      </c>
      <c r="J5689" t="n">
        <v>0</v>
      </c>
      <c r="K5689" t="n">
        <v>0</v>
      </c>
      <c r="L5689" t="n">
        <v>0</v>
      </c>
      <c r="M5689" t="n">
        <v>0</v>
      </c>
      <c r="N5689" t="n">
        <v>0</v>
      </c>
      <c r="O5689" t="n">
        <v>0</v>
      </c>
      <c r="P5689" t="n">
        <v>0</v>
      </c>
      <c r="Q5689" t="n">
        <v>0</v>
      </c>
      <c r="R5689" s="2" t="inlineStr"/>
    </row>
    <row r="5690" ht="15" customHeight="1">
      <c r="A5690" t="inlineStr">
        <is>
          <t>A 48220-2022</t>
        </is>
      </c>
      <c r="B5690" s="1" t="n">
        <v>44858</v>
      </c>
      <c r="C5690" s="1" t="n">
        <v>45212</v>
      </c>
      <c r="D5690" t="inlineStr">
        <is>
          <t>VÄSTERNORRLANDS LÄN</t>
        </is>
      </c>
      <c r="E5690" t="inlineStr">
        <is>
          <t>ÖRNSKÖLDSVIK</t>
        </is>
      </c>
      <c r="F5690" t="inlineStr">
        <is>
          <t>Holmen skog AB</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48240-2022</t>
        </is>
      </c>
      <c r="B5691" s="1" t="n">
        <v>44858</v>
      </c>
      <c r="C5691" s="1" t="n">
        <v>45212</v>
      </c>
      <c r="D5691" t="inlineStr">
        <is>
          <t>VÄSTERNORRLANDS LÄN</t>
        </is>
      </c>
      <c r="E5691" t="inlineStr">
        <is>
          <t>SOLLEFTEÅ</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48510-2022</t>
        </is>
      </c>
      <c r="B5692" s="1" t="n">
        <v>44858</v>
      </c>
      <c r="C5692" s="1" t="n">
        <v>45212</v>
      </c>
      <c r="D5692" t="inlineStr">
        <is>
          <t>VÄSTERNORRLANDS LÄN</t>
        </is>
      </c>
      <c r="E5692" t="inlineStr">
        <is>
          <t>SOLLEFTEÅ</t>
        </is>
      </c>
      <c r="F5692" t="inlineStr">
        <is>
          <t>SCA</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48521-2022</t>
        </is>
      </c>
      <c r="B5693" s="1" t="n">
        <v>44858</v>
      </c>
      <c r="C5693" s="1" t="n">
        <v>45212</v>
      </c>
      <c r="D5693" t="inlineStr">
        <is>
          <t>VÄSTERNORRLANDS LÄN</t>
        </is>
      </c>
      <c r="E5693" t="inlineStr">
        <is>
          <t>ÅNGE</t>
        </is>
      </c>
      <c r="F5693" t="inlineStr">
        <is>
          <t>SCA</t>
        </is>
      </c>
      <c r="G5693" t="n">
        <v>7.4</v>
      </c>
      <c r="H5693" t="n">
        <v>0</v>
      </c>
      <c r="I5693" t="n">
        <v>0</v>
      </c>
      <c r="J5693" t="n">
        <v>0</v>
      </c>
      <c r="K5693" t="n">
        <v>0</v>
      </c>
      <c r="L5693" t="n">
        <v>0</v>
      </c>
      <c r="M5693" t="n">
        <v>0</v>
      </c>
      <c r="N5693" t="n">
        <v>0</v>
      </c>
      <c r="O5693" t="n">
        <v>0</v>
      </c>
      <c r="P5693" t="n">
        <v>0</v>
      </c>
      <c r="Q5693" t="n">
        <v>0</v>
      </c>
      <c r="R5693" s="2" t="inlineStr"/>
    </row>
    <row r="5694" ht="15" customHeight="1">
      <c r="A5694" t="inlineStr">
        <is>
          <t>A 48552-2022</t>
        </is>
      </c>
      <c r="B5694" s="1" t="n">
        <v>44858</v>
      </c>
      <c r="C5694" s="1" t="n">
        <v>45212</v>
      </c>
      <c r="D5694" t="inlineStr">
        <is>
          <t>VÄSTERNORRLANDS LÄN</t>
        </is>
      </c>
      <c r="E5694" t="inlineStr">
        <is>
          <t>SUNDSVALL</t>
        </is>
      </c>
      <c r="F5694" t="inlineStr">
        <is>
          <t>SCA</t>
        </is>
      </c>
      <c r="G5694" t="n">
        <v>4.3</v>
      </c>
      <c r="H5694" t="n">
        <v>0</v>
      </c>
      <c r="I5694" t="n">
        <v>0</v>
      </c>
      <c r="J5694" t="n">
        <v>0</v>
      </c>
      <c r="K5694" t="n">
        <v>0</v>
      </c>
      <c r="L5694" t="n">
        <v>0</v>
      </c>
      <c r="M5694" t="n">
        <v>0</v>
      </c>
      <c r="N5694" t="n">
        <v>0</v>
      </c>
      <c r="O5694" t="n">
        <v>0</v>
      </c>
      <c r="P5694" t="n">
        <v>0</v>
      </c>
      <c r="Q5694" t="n">
        <v>0</v>
      </c>
      <c r="R5694" s="2" t="inlineStr"/>
    </row>
    <row r="5695" ht="15" customHeight="1">
      <c r="A5695" t="inlineStr">
        <is>
          <t>A 49261-2022</t>
        </is>
      </c>
      <c r="B5695" s="1" t="n">
        <v>44858</v>
      </c>
      <c r="C5695" s="1" t="n">
        <v>45212</v>
      </c>
      <c r="D5695" t="inlineStr">
        <is>
          <t>VÄSTERNORRLANDS LÄN</t>
        </is>
      </c>
      <c r="E5695" t="inlineStr">
        <is>
          <t>HÄRNÖSAND</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48252-2022</t>
        </is>
      </c>
      <c r="B5696" s="1" t="n">
        <v>44858</v>
      </c>
      <c r="C5696" s="1" t="n">
        <v>45212</v>
      </c>
      <c r="D5696" t="inlineStr">
        <is>
          <t>VÄSTERNORRLANDS LÄN</t>
        </is>
      </c>
      <c r="E5696" t="inlineStr">
        <is>
          <t>ÖRNSKÖLDSVIK</t>
        </is>
      </c>
      <c r="F5696" t="inlineStr">
        <is>
          <t>Holmen skog AB</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48222-2022</t>
        </is>
      </c>
      <c r="B5697" s="1" t="n">
        <v>44858</v>
      </c>
      <c r="C5697" s="1" t="n">
        <v>45212</v>
      </c>
      <c r="D5697" t="inlineStr">
        <is>
          <t>VÄSTERNORRLANDS LÄN</t>
        </is>
      </c>
      <c r="E5697" t="inlineStr">
        <is>
          <t>ÖRNSKÖLDSVIK</t>
        </is>
      </c>
      <c r="F5697" t="inlineStr">
        <is>
          <t>Holmen skog AB</t>
        </is>
      </c>
      <c r="G5697" t="n">
        <v>3.4</v>
      </c>
      <c r="H5697" t="n">
        <v>0</v>
      </c>
      <c r="I5697" t="n">
        <v>0</v>
      </c>
      <c r="J5697" t="n">
        <v>0</v>
      </c>
      <c r="K5697" t="n">
        <v>0</v>
      </c>
      <c r="L5697" t="n">
        <v>0</v>
      </c>
      <c r="M5697" t="n">
        <v>0</v>
      </c>
      <c r="N5697" t="n">
        <v>0</v>
      </c>
      <c r="O5697" t="n">
        <v>0</v>
      </c>
      <c r="P5697" t="n">
        <v>0</v>
      </c>
      <c r="Q5697" t="n">
        <v>0</v>
      </c>
      <c r="R5697" s="2" t="inlineStr"/>
    </row>
    <row r="5698" ht="15" customHeight="1">
      <c r="A5698" t="inlineStr">
        <is>
          <t>A 48519-2022</t>
        </is>
      </c>
      <c r="B5698" s="1" t="n">
        <v>44858</v>
      </c>
      <c r="C5698" s="1" t="n">
        <v>45212</v>
      </c>
      <c r="D5698" t="inlineStr">
        <is>
          <t>VÄSTERNORRLANDS LÄN</t>
        </is>
      </c>
      <c r="E5698" t="inlineStr">
        <is>
          <t>SOLLEFTEÅ</t>
        </is>
      </c>
      <c r="F5698" t="inlineStr">
        <is>
          <t>SCA</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48550-2022</t>
        </is>
      </c>
      <c r="B5699" s="1" t="n">
        <v>44858</v>
      </c>
      <c r="C5699" s="1" t="n">
        <v>45212</v>
      </c>
      <c r="D5699" t="inlineStr">
        <is>
          <t>VÄSTERNORRLANDS LÄN</t>
        </is>
      </c>
      <c r="E5699" t="inlineStr">
        <is>
          <t>SUNDSVALL</t>
        </is>
      </c>
      <c r="F5699" t="inlineStr">
        <is>
          <t>Naturvårdsverket</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48902-2022</t>
        </is>
      </c>
      <c r="B5700" s="1" t="n">
        <v>44859</v>
      </c>
      <c r="C5700" s="1" t="n">
        <v>45212</v>
      </c>
      <c r="D5700" t="inlineStr">
        <is>
          <t>VÄSTERNORRLANDS LÄN</t>
        </is>
      </c>
      <c r="E5700" t="inlineStr">
        <is>
          <t>SOLLEFTEÅ</t>
        </is>
      </c>
      <c r="F5700" t="inlineStr">
        <is>
          <t>SCA</t>
        </is>
      </c>
      <c r="G5700" t="n">
        <v>4.2</v>
      </c>
      <c r="H5700" t="n">
        <v>0</v>
      </c>
      <c r="I5700" t="n">
        <v>0</v>
      </c>
      <c r="J5700" t="n">
        <v>0</v>
      </c>
      <c r="K5700" t="n">
        <v>0</v>
      </c>
      <c r="L5700" t="n">
        <v>0</v>
      </c>
      <c r="M5700" t="n">
        <v>0</v>
      </c>
      <c r="N5700" t="n">
        <v>0</v>
      </c>
      <c r="O5700" t="n">
        <v>0</v>
      </c>
      <c r="P5700" t="n">
        <v>0</v>
      </c>
      <c r="Q5700" t="n">
        <v>0</v>
      </c>
      <c r="R5700" s="2" t="inlineStr"/>
    </row>
    <row r="5701" ht="15" customHeight="1">
      <c r="A5701" t="inlineStr">
        <is>
          <t>A 48919-2022</t>
        </is>
      </c>
      <c r="B5701" s="1" t="n">
        <v>44859</v>
      </c>
      <c r="C5701" s="1" t="n">
        <v>45212</v>
      </c>
      <c r="D5701" t="inlineStr">
        <is>
          <t>VÄSTERNORRLANDS LÄN</t>
        </is>
      </c>
      <c r="E5701" t="inlineStr">
        <is>
          <t>SOLLEFTEÅ</t>
        </is>
      </c>
      <c r="F5701" t="inlineStr">
        <is>
          <t>SCA</t>
        </is>
      </c>
      <c r="G5701" t="n">
        <v>3.6</v>
      </c>
      <c r="H5701" t="n">
        <v>0</v>
      </c>
      <c r="I5701" t="n">
        <v>0</v>
      </c>
      <c r="J5701" t="n">
        <v>0</v>
      </c>
      <c r="K5701" t="n">
        <v>0</v>
      </c>
      <c r="L5701" t="n">
        <v>0</v>
      </c>
      <c r="M5701" t="n">
        <v>0</v>
      </c>
      <c r="N5701" t="n">
        <v>0</v>
      </c>
      <c r="O5701" t="n">
        <v>0</v>
      </c>
      <c r="P5701" t="n">
        <v>0</v>
      </c>
      <c r="Q5701" t="n">
        <v>0</v>
      </c>
      <c r="R5701" s="2" t="inlineStr"/>
    </row>
    <row r="5702" ht="15" customHeight="1">
      <c r="A5702" t="inlineStr">
        <is>
          <t>A 49434-2022</t>
        </is>
      </c>
      <c r="B5702" s="1" t="n">
        <v>44859</v>
      </c>
      <c r="C5702" s="1" t="n">
        <v>45212</v>
      </c>
      <c r="D5702" t="inlineStr">
        <is>
          <t>VÄSTERNORRLANDS LÄN</t>
        </is>
      </c>
      <c r="E5702" t="inlineStr">
        <is>
          <t>KRAMFORS</t>
        </is>
      </c>
      <c r="G5702" t="n">
        <v>0.5</v>
      </c>
      <c r="H5702" t="n">
        <v>0</v>
      </c>
      <c r="I5702" t="n">
        <v>0</v>
      </c>
      <c r="J5702" t="n">
        <v>0</v>
      </c>
      <c r="K5702" t="n">
        <v>0</v>
      </c>
      <c r="L5702" t="n">
        <v>0</v>
      </c>
      <c r="M5702" t="n">
        <v>0</v>
      </c>
      <c r="N5702" t="n">
        <v>0</v>
      </c>
      <c r="O5702" t="n">
        <v>0</v>
      </c>
      <c r="P5702" t="n">
        <v>0</v>
      </c>
      <c r="Q5702" t="n">
        <v>0</v>
      </c>
      <c r="R5702" s="2" t="inlineStr"/>
    </row>
    <row r="5703" ht="15" customHeight="1">
      <c r="A5703" t="inlineStr">
        <is>
          <t>A 48587-2022</t>
        </is>
      </c>
      <c r="B5703" s="1" t="n">
        <v>44859</v>
      </c>
      <c r="C5703" s="1" t="n">
        <v>45212</v>
      </c>
      <c r="D5703" t="inlineStr">
        <is>
          <t>VÄSTERNORRLANDS LÄN</t>
        </is>
      </c>
      <c r="E5703" t="inlineStr">
        <is>
          <t>ÖRNSKÖLDSVIK</t>
        </is>
      </c>
      <c r="F5703" t="inlineStr">
        <is>
          <t>Holmen skog AB</t>
        </is>
      </c>
      <c r="G5703" t="n">
        <v>3.5</v>
      </c>
      <c r="H5703" t="n">
        <v>0</v>
      </c>
      <c r="I5703" t="n">
        <v>0</v>
      </c>
      <c r="J5703" t="n">
        <v>0</v>
      </c>
      <c r="K5703" t="n">
        <v>0</v>
      </c>
      <c r="L5703" t="n">
        <v>0</v>
      </c>
      <c r="M5703" t="n">
        <v>0</v>
      </c>
      <c r="N5703" t="n">
        <v>0</v>
      </c>
      <c r="O5703" t="n">
        <v>0</v>
      </c>
      <c r="P5703" t="n">
        <v>0</v>
      </c>
      <c r="Q5703" t="n">
        <v>0</v>
      </c>
      <c r="R5703" s="2" t="inlineStr"/>
    </row>
    <row r="5704" ht="15" customHeight="1">
      <c r="A5704" t="inlineStr">
        <is>
          <t>A 49583-2022</t>
        </is>
      </c>
      <c r="B5704" s="1" t="n">
        <v>44859</v>
      </c>
      <c r="C5704" s="1" t="n">
        <v>45212</v>
      </c>
      <c r="D5704" t="inlineStr">
        <is>
          <t>VÄSTERNORRLANDS LÄN</t>
        </is>
      </c>
      <c r="E5704" t="inlineStr">
        <is>
          <t>KRAMFORS</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49984-2022</t>
        </is>
      </c>
      <c r="B5705" s="1" t="n">
        <v>44859</v>
      </c>
      <c r="C5705" s="1" t="n">
        <v>45212</v>
      </c>
      <c r="D5705" t="inlineStr">
        <is>
          <t>VÄSTERNORRLANDS LÄN</t>
        </is>
      </c>
      <c r="E5705" t="inlineStr">
        <is>
          <t>SUNDSVALL</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48611-2022</t>
        </is>
      </c>
      <c r="B5706" s="1" t="n">
        <v>44859</v>
      </c>
      <c r="C5706" s="1" t="n">
        <v>45212</v>
      </c>
      <c r="D5706" t="inlineStr">
        <is>
          <t>VÄSTERNORRLANDS LÄN</t>
        </is>
      </c>
      <c r="E5706" t="inlineStr">
        <is>
          <t>ÖRNSKÖLDSVIK</t>
        </is>
      </c>
      <c r="F5706" t="inlineStr">
        <is>
          <t>Holmen skog AB</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48810-2022</t>
        </is>
      </c>
      <c r="B5707" s="1" t="n">
        <v>44859</v>
      </c>
      <c r="C5707" s="1" t="n">
        <v>45212</v>
      </c>
      <c r="D5707" t="inlineStr">
        <is>
          <t>VÄSTERNORRLANDS LÄN</t>
        </is>
      </c>
      <c r="E5707" t="inlineStr">
        <is>
          <t>ÖRNSKÖLDSVIK</t>
        </is>
      </c>
      <c r="F5707" t="inlineStr">
        <is>
          <t>Holmen skog AB</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48905-2022</t>
        </is>
      </c>
      <c r="B5708" s="1" t="n">
        <v>44859</v>
      </c>
      <c r="C5708" s="1" t="n">
        <v>45212</v>
      </c>
      <c r="D5708" t="inlineStr">
        <is>
          <t>VÄSTERNORRLANDS LÄN</t>
        </is>
      </c>
      <c r="E5708" t="inlineStr">
        <is>
          <t>SOLLEFTEÅ</t>
        </is>
      </c>
      <c r="F5708" t="inlineStr">
        <is>
          <t>SCA</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49438-2022</t>
        </is>
      </c>
      <c r="B5709" s="1" t="n">
        <v>44859</v>
      </c>
      <c r="C5709" s="1" t="n">
        <v>45212</v>
      </c>
      <c r="D5709" t="inlineStr">
        <is>
          <t>VÄSTERNORRLANDS LÄN</t>
        </is>
      </c>
      <c r="E5709" t="inlineStr">
        <is>
          <t>KRAMFORS</t>
        </is>
      </c>
      <c r="G5709" t="n">
        <v>0.7</v>
      </c>
      <c r="H5709" t="n">
        <v>0</v>
      </c>
      <c r="I5709" t="n">
        <v>0</v>
      </c>
      <c r="J5709" t="n">
        <v>0</v>
      </c>
      <c r="K5709" t="n">
        <v>0</v>
      </c>
      <c r="L5709" t="n">
        <v>0</v>
      </c>
      <c r="M5709" t="n">
        <v>0</v>
      </c>
      <c r="N5709" t="n">
        <v>0</v>
      </c>
      <c r="O5709" t="n">
        <v>0</v>
      </c>
      <c r="P5709" t="n">
        <v>0</v>
      </c>
      <c r="Q5709" t="n">
        <v>0</v>
      </c>
      <c r="R5709" s="2" t="inlineStr"/>
    </row>
    <row r="5710" ht="15" customHeight="1">
      <c r="A5710" t="inlineStr">
        <is>
          <t>A 49694-2022</t>
        </is>
      </c>
      <c r="B5710" s="1" t="n">
        <v>44859</v>
      </c>
      <c r="C5710" s="1" t="n">
        <v>45212</v>
      </c>
      <c r="D5710" t="inlineStr">
        <is>
          <t>VÄSTERNORRLANDS LÄN</t>
        </is>
      </c>
      <c r="E5710" t="inlineStr">
        <is>
          <t>SOLLEFTEÅ</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49708-2022</t>
        </is>
      </c>
      <c r="B5711" s="1" t="n">
        <v>44859</v>
      </c>
      <c r="C5711" s="1" t="n">
        <v>45212</v>
      </c>
      <c r="D5711" t="inlineStr">
        <is>
          <t>VÄSTERNORRLANDS LÄN</t>
        </is>
      </c>
      <c r="E5711" t="inlineStr">
        <is>
          <t>SOLLEFTEÅ</t>
        </is>
      </c>
      <c r="G5711" t="n">
        <v>4</v>
      </c>
      <c r="H5711" t="n">
        <v>0</v>
      </c>
      <c r="I5711" t="n">
        <v>0</v>
      </c>
      <c r="J5711" t="n">
        <v>0</v>
      </c>
      <c r="K5711" t="n">
        <v>0</v>
      </c>
      <c r="L5711" t="n">
        <v>0</v>
      </c>
      <c r="M5711" t="n">
        <v>0</v>
      </c>
      <c r="N5711" t="n">
        <v>0</v>
      </c>
      <c r="O5711" t="n">
        <v>0</v>
      </c>
      <c r="P5711" t="n">
        <v>0</v>
      </c>
      <c r="Q5711" t="n">
        <v>0</v>
      </c>
      <c r="R5711" s="2" t="inlineStr"/>
    </row>
    <row r="5712" ht="15" customHeight="1">
      <c r="A5712" t="inlineStr">
        <is>
          <t>A 48579-2022</t>
        </is>
      </c>
      <c r="B5712" s="1" t="n">
        <v>44859</v>
      </c>
      <c r="C5712" s="1" t="n">
        <v>45212</v>
      </c>
      <c r="D5712" t="inlineStr">
        <is>
          <t>VÄSTERNORRLANDS LÄN</t>
        </is>
      </c>
      <c r="E5712" t="inlineStr">
        <is>
          <t>ÖRNSKÖLDSVIK</t>
        </is>
      </c>
      <c r="F5712" t="inlineStr">
        <is>
          <t>Holmen skog AB</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48607-2022</t>
        </is>
      </c>
      <c r="B5713" s="1" t="n">
        <v>44859</v>
      </c>
      <c r="C5713" s="1" t="n">
        <v>45212</v>
      </c>
      <c r="D5713" t="inlineStr">
        <is>
          <t>VÄSTERNORRLANDS LÄN</t>
        </is>
      </c>
      <c r="E5713" t="inlineStr">
        <is>
          <t>ÖRNSKÖLDSVIK</t>
        </is>
      </c>
      <c r="F5713" t="inlineStr">
        <is>
          <t>Holmen skog AB</t>
        </is>
      </c>
      <c r="G5713" t="n">
        <v>4.1</v>
      </c>
      <c r="H5713" t="n">
        <v>0</v>
      </c>
      <c r="I5713" t="n">
        <v>0</v>
      </c>
      <c r="J5713" t="n">
        <v>0</v>
      </c>
      <c r="K5713" t="n">
        <v>0</v>
      </c>
      <c r="L5713" t="n">
        <v>0</v>
      </c>
      <c r="M5713" t="n">
        <v>0</v>
      </c>
      <c r="N5713" t="n">
        <v>0</v>
      </c>
      <c r="O5713" t="n">
        <v>0</v>
      </c>
      <c r="P5713" t="n">
        <v>0</v>
      </c>
      <c r="Q5713" t="n">
        <v>0</v>
      </c>
      <c r="R5713" s="2" t="inlineStr"/>
    </row>
    <row r="5714" ht="15" customHeight="1">
      <c r="A5714" t="inlineStr">
        <is>
          <t>A 48918-2022</t>
        </is>
      </c>
      <c r="B5714" s="1" t="n">
        <v>44859</v>
      </c>
      <c r="C5714" s="1" t="n">
        <v>45212</v>
      </c>
      <c r="D5714" t="inlineStr">
        <is>
          <t>VÄSTERNORRLANDS LÄN</t>
        </is>
      </c>
      <c r="E5714" t="inlineStr">
        <is>
          <t>TIMRÅ</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49203-2022</t>
        </is>
      </c>
      <c r="B5715" s="1" t="n">
        <v>44860</v>
      </c>
      <c r="C5715" s="1" t="n">
        <v>45212</v>
      </c>
      <c r="D5715" t="inlineStr">
        <is>
          <t>VÄSTERNORRLANDS LÄN</t>
        </is>
      </c>
      <c r="E5715" t="inlineStr">
        <is>
          <t>TIMRÅ</t>
        </is>
      </c>
      <c r="F5715" t="inlineStr">
        <is>
          <t>SCA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50357-2022</t>
        </is>
      </c>
      <c r="B5716" s="1" t="n">
        <v>44860</v>
      </c>
      <c r="C5716" s="1" t="n">
        <v>45212</v>
      </c>
      <c r="D5716" t="inlineStr">
        <is>
          <t>VÄSTERNORRLANDS LÄN</t>
        </is>
      </c>
      <c r="E5716" t="inlineStr">
        <is>
          <t>ÅNGE</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49056-2022</t>
        </is>
      </c>
      <c r="B5717" s="1" t="n">
        <v>44860</v>
      </c>
      <c r="C5717" s="1" t="n">
        <v>45212</v>
      </c>
      <c r="D5717" t="inlineStr">
        <is>
          <t>VÄSTERNORRLANDS LÄN</t>
        </is>
      </c>
      <c r="E5717" t="inlineStr">
        <is>
          <t>ÖRNSKÖLDSVIK</t>
        </is>
      </c>
      <c r="F5717" t="inlineStr">
        <is>
          <t>Holmen skog AB</t>
        </is>
      </c>
      <c r="G5717" t="n">
        <v>4.2</v>
      </c>
      <c r="H5717" t="n">
        <v>0</v>
      </c>
      <c r="I5717" t="n">
        <v>0</v>
      </c>
      <c r="J5717" t="n">
        <v>0</v>
      </c>
      <c r="K5717" t="n">
        <v>0</v>
      </c>
      <c r="L5717" t="n">
        <v>0</v>
      </c>
      <c r="M5717" t="n">
        <v>0</v>
      </c>
      <c r="N5717" t="n">
        <v>0</v>
      </c>
      <c r="O5717" t="n">
        <v>0</v>
      </c>
      <c r="P5717" t="n">
        <v>0</v>
      </c>
      <c r="Q5717" t="n">
        <v>0</v>
      </c>
      <c r="R5717" s="2" t="inlineStr"/>
    </row>
    <row r="5718" ht="15" customHeight="1">
      <c r="A5718" t="inlineStr">
        <is>
          <t>A 49186-2022</t>
        </is>
      </c>
      <c r="B5718" s="1" t="n">
        <v>44860</v>
      </c>
      <c r="C5718" s="1" t="n">
        <v>45212</v>
      </c>
      <c r="D5718" t="inlineStr">
        <is>
          <t>VÄSTERNORRLANDS LÄN</t>
        </is>
      </c>
      <c r="E5718" t="inlineStr">
        <is>
          <t>SUNDSVALL</t>
        </is>
      </c>
      <c r="F5718" t="inlineStr">
        <is>
          <t>SCA</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49198-2022</t>
        </is>
      </c>
      <c r="B5719" s="1" t="n">
        <v>44860</v>
      </c>
      <c r="C5719" s="1" t="n">
        <v>45212</v>
      </c>
      <c r="D5719" t="inlineStr">
        <is>
          <t>VÄSTERNORRLANDS LÄN</t>
        </is>
      </c>
      <c r="E5719" t="inlineStr">
        <is>
          <t>SOLLEFTEÅ</t>
        </is>
      </c>
      <c r="F5719" t="inlineStr">
        <is>
          <t>SCA</t>
        </is>
      </c>
      <c r="G5719" t="n">
        <v>8.800000000000001</v>
      </c>
      <c r="H5719" t="n">
        <v>0</v>
      </c>
      <c r="I5719" t="n">
        <v>0</v>
      </c>
      <c r="J5719" t="n">
        <v>0</v>
      </c>
      <c r="K5719" t="n">
        <v>0</v>
      </c>
      <c r="L5719" t="n">
        <v>0</v>
      </c>
      <c r="M5719" t="n">
        <v>0</v>
      </c>
      <c r="N5719" t="n">
        <v>0</v>
      </c>
      <c r="O5719" t="n">
        <v>0</v>
      </c>
      <c r="P5719" t="n">
        <v>0</v>
      </c>
      <c r="Q5719" t="n">
        <v>0</v>
      </c>
      <c r="R5719" s="2" t="inlineStr"/>
    </row>
    <row r="5720" ht="15" customHeight="1">
      <c r="A5720" t="inlineStr">
        <is>
          <t>A 48993-2022</t>
        </is>
      </c>
      <c r="B5720" s="1" t="n">
        <v>44860</v>
      </c>
      <c r="C5720" s="1" t="n">
        <v>45212</v>
      </c>
      <c r="D5720" t="inlineStr">
        <is>
          <t>VÄSTERNORRLANDS LÄN</t>
        </is>
      </c>
      <c r="E5720" t="inlineStr">
        <is>
          <t>SUNDSVALL</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49001-2022</t>
        </is>
      </c>
      <c r="B5721" s="1" t="n">
        <v>44860</v>
      </c>
      <c r="C5721" s="1" t="n">
        <v>45212</v>
      </c>
      <c r="D5721" t="inlineStr">
        <is>
          <t>VÄSTERNORRLANDS LÄN</t>
        </is>
      </c>
      <c r="E5721" t="inlineStr">
        <is>
          <t>ÖRNSKÖLDSVIK</t>
        </is>
      </c>
      <c r="F5721" t="inlineStr">
        <is>
          <t>Holmen skog AB</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49168-2022</t>
        </is>
      </c>
      <c r="B5722" s="1" t="n">
        <v>44860</v>
      </c>
      <c r="C5722" s="1" t="n">
        <v>45212</v>
      </c>
      <c r="D5722" t="inlineStr">
        <is>
          <t>VÄSTERNORRLANDS LÄN</t>
        </is>
      </c>
      <c r="E5722" t="inlineStr">
        <is>
          <t>HÄRNÖSAND</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49512-2022</t>
        </is>
      </c>
      <c r="B5723" s="1" t="n">
        <v>44861</v>
      </c>
      <c r="C5723" s="1" t="n">
        <v>45212</v>
      </c>
      <c r="D5723" t="inlineStr">
        <is>
          <t>VÄSTERNORRLANDS LÄN</t>
        </is>
      </c>
      <c r="E5723" t="inlineStr">
        <is>
          <t>SOLLEFTEÅ</t>
        </is>
      </c>
      <c r="F5723" t="inlineStr">
        <is>
          <t>SCA</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50419-2022</t>
        </is>
      </c>
      <c r="B5724" s="1" t="n">
        <v>44861</v>
      </c>
      <c r="C5724" s="1" t="n">
        <v>45212</v>
      </c>
      <c r="D5724" t="inlineStr">
        <is>
          <t>VÄSTERNORRLANDS LÄN</t>
        </is>
      </c>
      <c r="E5724" t="inlineStr">
        <is>
          <t>ÅNGE</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50493-2022</t>
        </is>
      </c>
      <c r="B5725" s="1" t="n">
        <v>44861</v>
      </c>
      <c r="C5725" s="1" t="n">
        <v>45212</v>
      </c>
      <c r="D5725" t="inlineStr">
        <is>
          <t>VÄSTERNORRLANDS LÄN</t>
        </is>
      </c>
      <c r="E5725" t="inlineStr">
        <is>
          <t>KRAMFORS</t>
        </is>
      </c>
      <c r="G5725" t="n">
        <v>6.3</v>
      </c>
      <c r="H5725" t="n">
        <v>0</v>
      </c>
      <c r="I5725" t="n">
        <v>0</v>
      </c>
      <c r="J5725" t="n">
        <v>0</v>
      </c>
      <c r="K5725" t="n">
        <v>0</v>
      </c>
      <c r="L5725" t="n">
        <v>0</v>
      </c>
      <c r="M5725" t="n">
        <v>0</v>
      </c>
      <c r="N5725" t="n">
        <v>0</v>
      </c>
      <c r="O5725" t="n">
        <v>0</v>
      </c>
      <c r="P5725" t="n">
        <v>0</v>
      </c>
      <c r="Q5725" t="n">
        <v>0</v>
      </c>
      <c r="R5725" s="2" t="inlineStr"/>
    </row>
    <row r="5726" ht="15" customHeight="1">
      <c r="A5726" t="inlineStr">
        <is>
          <t>A 50499-2022</t>
        </is>
      </c>
      <c r="B5726" s="1" t="n">
        <v>44861</v>
      </c>
      <c r="C5726" s="1" t="n">
        <v>45212</v>
      </c>
      <c r="D5726" t="inlineStr">
        <is>
          <t>VÄSTERNORRLANDS LÄN</t>
        </is>
      </c>
      <c r="E5726" t="inlineStr">
        <is>
          <t>KRAMFORS</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49361-2022</t>
        </is>
      </c>
      <c r="B5727" s="1" t="n">
        <v>44861</v>
      </c>
      <c r="C5727" s="1" t="n">
        <v>45212</v>
      </c>
      <c r="D5727" t="inlineStr">
        <is>
          <t>VÄSTERNORRLANDS LÄN</t>
        </is>
      </c>
      <c r="E5727" t="inlineStr">
        <is>
          <t>ÖRNSKÖLDSVIK</t>
        </is>
      </c>
      <c r="G5727" t="n">
        <v>0.2</v>
      </c>
      <c r="H5727" t="n">
        <v>0</v>
      </c>
      <c r="I5727" t="n">
        <v>0</v>
      </c>
      <c r="J5727" t="n">
        <v>0</v>
      </c>
      <c r="K5727" t="n">
        <v>0</v>
      </c>
      <c r="L5727" t="n">
        <v>0</v>
      </c>
      <c r="M5727" t="n">
        <v>0</v>
      </c>
      <c r="N5727" t="n">
        <v>0</v>
      </c>
      <c r="O5727" t="n">
        <v>0</v>
      </c>
      <c r="P5727" t="n">
        <v>0</v>
      </c>
      <c r="Q5727" t="n">
        <v>0</v>
      </c>
      <c r="R5727" s="2" t="inlineStr"/>
    </row>
    <row r="5728" ht="15" customHeight="1">
      <c r="A5728" t="inlineStr">
        <is>
          <t>A 50405-2022</t>
        </is>
      </c>
      <c r="B5728" s="1" t="n">
        <v>44861</v>
      </c>
      <c r="C5728" s="1" t="n">
        <v>45212</v>
      </c>
      <c r="D5728" t="inlineStr">
        <is>
          <t>VÄSTERNORRLANDS LÄN</t>
        </is>
      </c>
      <c r="E5728" t="inlineStr">
        <is>
          <t>SUNDSVALL</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50426-2022</t>
        </is>
      </c>
      <c r="B5729" s="1" t="n">
        <v>44861</v>
      </c>
      <c r="C5729" s="1" t="n">
        <v>45212</v>
      </c>
      <c r="D5729" t="inlineStr">
        <is>
          <t>VÄSTERNORRLANDS LÄN</t>
        </is>
      </c>
      <c r="E5729" t="inlineStr">
        <is>
          <t>SUNDSVALL</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49362-2022</t>
        </is>
      </c>
      <c r="B5730" s="1" t="n">
        <v>44861</v>
      </c>
      <c r="C5730" s="1" t="n">
        <v>45212</v>
      </c>
      <c r="D5730" t="inlineStr">
        <is>
          <t>VÄSTERNORRLANDS LÄN</t>
        </is>
      </c>
      <c r="E5730" t="inlineStr">
        <is>
          <t>ÖRNSKÖLDSVIK</t>
        </is>
      </c>
      <c r="F5730" t="inlineStr">
        <is>
          <t>Holmen skog AB</t>
        </is>
      </c>
      <c r="G5730" t="n">
        <v>14.1</v>
      </c>
      <c r="H5730" t="n">
        <v>0</v>
      </c>
      <c r="I5730" t="n">
        <v>0</v>
      </c>
      <c r="J5730" t="n">
        <v>0</v>
      </c>
      <c r="K5730" t="n">
        <v>0</v>
      </c>
      <c r="L5730" t="n">
        <v>0</v>
      </c>
      <c r="M5730" t="n">
        <v>0</v>
      </c>
      <c r="N5730" t="n">
        <v>0</v>
      </c>
      <c r="O5730" t="n">
        <v>0</v>
      </c>
      <c r="P5730" t="n">
        <v>0</v>
      </c>
      <c r="Q5730" t="n">
        <v>0</v>
      </c>
      <c r="R5730" s="2" t="inlineStr"/>
    </row>
    <row r="5731" ht="15" customHeight="1">
      <c r="A5731" t="inlineStr">
        <is>
          <t>A 49238-2022</t>
        </is>
      </c>
      <c r="B5731" s="1" t="n">
        <v>44861</v>
      </c>
      <c r="C5731" s="1" t="n">
        <v>45212</v>
      </c>
      <c r="D5731" t="inlineStr">
        <is>
          <t>VÄSTERNORRLANDS LÄN</t>
        </is>
      </c>
      <c r="E5731" t="inlineStr">
        <is>
          <t>KRAMFORS</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49336-2022</t>
        </is>
      </c>
      <c r="B5732" s="1" t="n">
        <v>44861</v>
      </c>
      <c r="C5732" s="1" t="n">
        <v>45212</v>
      </c>
      <c r="D5732" t="inlineStr">
        <is>
          <t>VÄSTERNORRLANDS LÄN</t>
        </is>
      </c>
      <c r="E5732" t="inlineStr">
        <is>
          <t>ÖRNSKÖLDSVIK</t>
        </is>
      </c>
      <c r="F5732" t="inlineStr">
        <is>
          <t>Holmen skog AB</t>
        </is>
      </c>
      <c r="G5732" t="n">
        <v>9.300000000000001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49419-2022</t>
        </is>
      </c>
      <c r="B5733" s="1" t="n">
        <v>44861</v>
      </c>
      <c r="C5733" s="1" t="n">
        <v>45212</v>
      </c>
      <c r="D5733" t="inlineStr">
        <is>
          <t>VÄSTERNORRLANDS LÄN</t>
        </is>
      </c>
      <c r="E5733" t="inlineStr">
        <is>
          <t>ÖRNSKÖLDSVIK</t>
        </is>
      </c>
      <c r="F5733" t="inlineStr">
        <is>
          <t>Holmen skog AB</t>
        </is>
      </c>
      <c r="G5733" t="n">
        <v>13.6</v>
      </c>
      <c r="H5733" t="n">
        <v>0</v>
      </c>
      <c r="I5733" t="n">
        <v>0</v>
      </c>
      <c r="J5733" t="n">
        <v>0</v>
      </c>
      <c r="K5733" t="n">
        <v>0</v>
      </c>
      <c r="L5733" t="n">
        <v>0</v>
      </c>
      <c r="M5733" t="n">
        <v>0</v>
      </c>
      <c r="N5733" t="n">
        <v>0</v>
      </c>
      <c r="O5733" t="n">
        <v>0</v>
      </c>
      <c r="P5733" t="n">
        <v>0</v>
      </c>
      <c r="Q5733" t="n">
        <v>0</v>
      </c>
      <c r="R5733" s="2" t="inlineStr"/>
    </row>
    <row r="5734" ht="15" customHeight="1">
      <c r="A5734" t="inlineStr">
        <is>
          <t>A 49454-2022</t>
        </is>
      </c>
      <c r="B5734" s="1" t="n">
        <v>44861</v>
      </c>
      <c r="C5734" s="1" t="n">
        <v>45212</v>
      </c>
      <c r="D5734" t="inlineStr">
        <is>
          <t>VÄSTERNORRLANDS LÄN</t>
        </is>
      </c>
      <c r="E5734" t="inlineStr">
        <is>
          <t>ÖRNSKÖLDSVIK</t>
        </is>
      </c>
      <c r="F5734" t="inlineStr">
        <is>
          <t>Holmen skog AB</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49521-2022</t>
        </is>
      </c>
      <c r="B5735" s="1" t="n">
        <v>44861</v>
      </c>
      <c r="C5735" s="1" t="n">
        <v>45212</v>
      </c>
      <c r="D5735" t="inlineStr">
        <is>
          <t>VÄSTERNORRLANDS LÄN</t>
        </is>
      </c>
      <c r="E5735" t="inlineStr">
        <is>
          <t>SOLLEFTEÅ</t>
        </is>
      </c>
      <c r="F5735" t="inlineStr">
        <is>
          <t>SCA</t>
        </is>
      </c>
      <c r="G5735" t="n">
        <v>5.6</v>
      </c>
      <c r="H5735" t="n">
        <v>0</v>
      </c>
      <c r="I5735" t="n">
        <v>0</v>
      </c>
      <c r="J5735" t="n">
        <v>0</v>
      </c>
      <c r="K5735" t="n">
        <v>0</v>
      </c>
      <c r="L5735" t="n">
        <v>0</v>
      </c>
      <c r="M5735" t="n">
        <v>0</v>
      </c>
      <c r="N5735" t="n">
        <v>0</v>
      </c>
      <c r="O5735" t="n">
        <v>0</v>
      </c>
      <c r="P5735" t="n">
        <v>0</v>
      </c>
      <c r="Q5735" t="n">
        <v>0</v>
      </c>
      <c r="R5735" s="2" t="inlineStr"/>
    </row>
    <row r="5736" ht="15" customHeight="1">
      <c r="A5736" t="inlineStr">
        <is>
          <t>A 49538-2022</t>
        </is>
      </c>
      <c r="B5736" s="1" t="n">
        <v>44861</v>
      </c>
      <c r="C5736" s="1" t="n">
        <v>45212</v>
      </c>
      <c r="D5736" t="inlineStr">
        <is>
          <t>VÄSTERNORRLANDS LÄN</t>
        </is>
      </c>
      <c r="E5736" t="inlineStr">
        <is>
          <t>SOLLEFTEÅ</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49860-2022</t>
        </is>
      </c>
      <c r="B5737" s="1" t="n">
        <v>44862</v>
      </c>
      <c r="C5737" s="1" t="n">
        <v>45212</v>
      </c>
      <c r="D5737" t="inlineStr">
        <is>
          <t>VÄSTERNORRLANDS LÄN</t>
        </is>
      </c>
      <c r="E5737" t="inlineStr">
        <is>
          <t>SOLLEFTEÅ</t>
        </is>
      </c>
      <c r="F5737" t="inlineStr">
        <is>
          <t>SCA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50562-2022</t>
        </is>
      </c>
      <c r="B5738" s="1" t="n">
        <v>44862</v>
      </c>
      <c r="C5738" s="1" t="n">
        <v>45212</v>
      </c>
      <c r="D5738" t="inlineStr">
        <is>
          <t>VÄSTERNORRLANDS LÄN</t>
        </is>
      </c>
      <c r="E5738" t="inlineStr">
        <is>
          <t>ÖRNSKÖLDSVIK</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50732-2022</t>
        </is>
      </c>
      <c r="B5739" s="1" t="n">
        <v>44862</v>
      </c>
      <c r="C5739" s="1" t="n">
        <v>45212</v>
      </c>
      <c r="D5739" t="inlineStr">
        <is>
          <t>VÄSTERNORRLANDS LÄN</t>
        </is>
      </c>
      <c r="E5739" t="inlineStr">
        <is>
          <t>ÖRNSKÖLDSVIK</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50813-2022</t>
        </is>
      </c>
      <c r="B5740" s="1" t="n">
        <v>44862</v>
      </c>
      <c r="C5740" s="1" t="n">
        <v>45212</v>
      </c>
      <c r="D5740" t="inlineStr">
        <is>
          <t>VÄSTERNORRLANDS LÄN</t>
        </is>
      </c>
      <c r="E5740" t="inlineStr">
        <is>
          <t>SOLLEFTEÅ</t>
        </is>
      </c>
      <c r="F5740" t="inlineStr">
        <is>
          <t>Övriga statliga verk och myndigheter</t>
        </is>
      </c>
      <c r="G5740" t="n">
        <v>2.9</v>
      </c>
      <c r="H5740" t="n">
        <v>0</v>
      </c>
      <c r="I5740" t="n">
        <v>0</v>
      </c>
      <c r="J5740" t="n">
        <v>0</v>
      </c>
      <c r="K5740" t="n">
        <v>0</v>
      </c>
      <c r="L5740" t="n">
        <v>0</v>
      </c>
      <c r="M5740" t="n">
        <v>0</v>
      </c>
      <c r="N5740" t="n">
        <v>0</v>
      </c>
      <c r="O5740" t="n">
        <v>0</v>
      </c>
      <c r="P5740" t="n">
        <v>0</v>
      </c>
      <c r="Q5740" t="n">
        <v>0</v>
      </c>
      <c r="R5740" s="2" t="inlineStr"/>
    </row>
    <row r="5741" ht="15" customHeight="1">
      <c r="A5741" t="inlineStr">
        <is>
          <t>A 50571-2022</t>
        </is>
      </c>
      <c r="B5741" s="1" t="n">
        <v>44862</v>
      </c>
      <c r="C5741" s="1" t="n">
        <v>45212</v>
      </c>
      <c r="D5741" t="inlineStr">
        <is>
          <t>VÄSTERNORRLANDS LÄN</t>
        </is>
      </c>
      <c r="E5741" t="inlineStr">
        <is>
          <t>ÖRNSKÖLDSVIK</t>
        </is>
      </c>
      <c r="G5741" t="n">
        <v>3.7</v>
      </c>
      <c r="H5741" t="n">
        <v>0</v>
      </c>
      <c r="I5741" t="n">
        <v>0</v>
      </c>
      <c r="J5741" t="n">
        <v>0</v>
      </c>
      <c r="K5741" t="n">
        <v>0</v>
      </c>
      <c r="L5741" t="n">
        <v>0</v>
      </c>
      <c r="M5741" t="n">
        <v>0</v>
      </c>
      <c r="N5741" t="n">
        <v>0</v>
      </c>
      <c r="O5741" t="n">
        <v>0</v>
      </c>
      <c r="P5741" t="n">
        <v>0</v>
      </c>
      <c r="Q5741" t="n">
        <v>0</v>
      </c>
      <c r="R5741" s="2" t="inlineStr"/>
    </row>
    <row r="5742" ht="15" customHeight="1">
      <c r="A5742" t="inlineStr">
        <is>
          <t>A 50824-2022</t>
        </is>
      </c>
      <c r="B5742" s="1" t="n">
        <v>44862</v>
      </c>
      <c r="C5742" s="1" t="n">
        <v>45212</v>
      </c>
      <c r="D5742" t="inlineStr">
        <is>
          <t>VÄSTERNORRLANDS LÄN</t>
        </is>
      </c>
      <c r="E5742" t="inlineStr">
        <is>
          <t>SUNDSVALL</t>
        </is>
      </c>
      <c r="G5742" t="n">
        <v>0.8</v>
      </c>
      <c r="H5742" t="n">
        <v>0</v>
      </c>
      <c r="I5742" t="n">
        <v>0</v>
      </c>
      <c r="J5742" t="n">
        <v>0</v>
      </c>
      <c r="K5742" t="n">
        <v>0</v>
      </c>
      <c r="L5742" t="n">
        <v>0</v>
      </c>
      <c r="M5742" t="n">
        <v>0</v>
      </c>
      <c r="N5742" t="n">
        <v>0</v>
      </c>
      <c r="O5742" t="n">
        <v>0</v>
      </c>
      <c r="P5742" t="n">
        <v>0</v>
      </c>
      <c r="Q5742" t="n">
        <v>0</v>
      </c>
      <c r="R5742" s="2" t="inlineStr"/>
    </row>
    <row r="5743" ht="15" customHeight="1">
      <c r="A5743" t="inlineStr">
        <is>
          <t>A 49857-2022</t>
        </is>
      </c>
      <c r="B5743" s="1" t="n">
        <v>44862</v>
      </c>
      <c r="C5743" s="1" t="n">
        <v>45212</v>
      </c>
      <c r="D5743" t="inlineStr">
        <is>
          <t>VÄSTERNORRLANDS LÄN</t>
        </is>
      </c>
      <c r="E5743" t="inlineStr">
        <is>
          <t>SUNDSVALL</t>
        </is>
      </c>
      <c r="F5743" t="inlineStr">
        <is>
          <t>SCA</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50825-2022</t>
        </is>
      </c>
      <c r="B5744" s="1" t="n">
        <v>44862</v>
      </c>
      <c r="C5744" s="1" t="n">
        <v>45212</v>
      </c>
      <c r="D5744" t="inlineStr">
        <is>
          <t>VÄSTERNORRLANDS LÄN</t>
        </is>
      </c>
      <c r="E5744" t="inlineStr">
        <is>
          <t>SOLLEFTEÅ</t>
        </is>
      </c>
      <c r="F5744" t="inlineStr">
        <is>
          <t>Övriga statliga verk och myndigheter</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49598-2022</t>
        </is>
      </c>
      <c r="B5745" s="1" t="n">
        <v>44862</v>
      </c>
      <c r="C5745" s="1" t="n">
        <v>45212</v>
      </c>
      <c r="D5745" t="inlineStr">
        <is>
          <t>VÄSTERNORRLANDS LÄN</t>
        </is>
      </c>
      <c r="E5745" t="inlineStr">
        <is>
          <t>ÖRNSKÖLDSVIK</t>
        </is>
      </c>
      <c r="F5745" t="inlineStr">
        <is>
          <t>Holmen skog AB</t>
        </is>
      </c>
      <c r="G5745" t="n">
        <v>16.6</v>
      </c>
      <c r="H5745" t="n">
        <v>0</v>
      </c>
      <c r="I5745" t="n">
        <v>0</v>
      </c>
      <c r="J5745" t="n">
        <v>0</v>
      </c>
      <c r="K5745" t="n">
        <v>0</v>
      </c>
      <c r="L5745" t="n">
        <v>0</v>
      </c>
      <c r="M5745" t="n">
        <v>0</v>
      </c>
      <c r="N5745" t="n">
        <v>0</v>
      </c>
      <c r="O5745" t="n">
        <v>0</v>
      </c>
      <c r="P5745" t="n">
        <v>0</v>
      </c>
      <c r="Q5745" t="n">
        <v>0</v>
      </c>
      <c r="R5745" s="2" t="inlineStr"/>
    </row>
    <row r="5746" ht="15" customHeight="1">
      <c r="A5746" t="inlineStr">
        <is>
          <t>A 49665-2022</t>
        </is>
      </c>
      <c r="B5746" s="1" t="n">
        <v>44862</v>
      </c>
      <c r="C5746" s="1" t="n">
        <v>45212</v>
      </c>
      <c r="D5746" t="inlineStr">
        <is>
          <t>VÄSTERNORRLANDS LÄN</t>
        </is>
      </c>
      <c r="E5746" t="inlineStr">
        <is>
          <t>SOLLEFTEÅ</t>
        </is>
      </c>
      <c r="F5746" t="inlineStr">
        <is>
          <t>Holmen skog AB</t>
        </is>
      </c>
      <c r="G5746" t="n">
        <v>3</v>
      </c>
      <c r="H5746" t="n">
        <v>0</v>
      </c>
      <c r="I5746" t="n">
        <v>0</v>
      </c>
      <c r="J5746" t="n">
        <v>0</v>
      </c>
      <c r="K5746" t="n">
        <v>0</v>
      </c>
      <c r="L5746" t="n">
        <v>0</v>
      </c>
      <c r="M5746" t="n">
        <v>0</v>
      </c>
      <c r="N5746" t="n">
        <v>0</v>
      </c>
      <c r="O5746" t="n">
        <v>0</v>
      </c>
      <c r="P5746" t="n">
        <v>0</v>
      </c>
      <c r="Q5746" t="n">
        <v>0</v>
      </c>
      <c r="R5746" s="2" t="inlineStr"/>
    </row>
    <row r="5747" ht="15" customHeight="1">
      <c r="A5747" t="inlineStr">
        <is>
          <t>A 49779-2022</t>
        </is>
      </c>
      <c r="B5747" s="1" t="n">
        <v>44862</v>
      </c>
      <c r="C5747" s="1" t="n">
        <v>45212</v>
      </c>
      <c r="D5747" t="inlineStr">
        <is>
          <t>VÄSTERNORRLANDS LÄN</t>
        </is>
      </c>
      <c r="E5747" t="inlineStr">
        <is>
          <t>ÖRNSKÖLDSVIK</t>
        </is>
      </c>
      <c r="F5747" t="inlineStr">
        <is>
          <t>Holmen skog AB</t>
        </is>
      </c>
      <c r="G5747" t="n">
        <v>8.1</v>
      </c>
      <c r="H5747" t="n">
        <v>0</v>
      </c>
      <c r="I5747" t="n">
        <v>0</v>
      </c>
      <c r="J5747" t="n">
        <v>0</v>
      </c>
      <c r="K5747" t="n">
        <v>0</v>
      </c>
      <c r="L5747" t="n">
        <v>0</v>
      </c>
      <c r="M5747" t="n">
        <v>0</v>
      </c>
      <c r="N5747" t="n">
        <v>0</v>
      </c>
      <c r="O5747" t="n">
        <v>0</v>
      </c>
      <c r="P5747" t="n">
        <v>0</v>
      </c>
      <c r="Q5747" t="n">
        <v>0</v>
      </c>
      <c r="R5747" s="2" t="inlineStr"/>
    </row>
    <row r="5748" ht="15" customHeight="1">
      <c r="A5748" t="inlineStr">
        <is>
          <t>A 49911-2022</t>
        </is>
      </c>
      <c r="B5748" s="1" t="n">
        <v>44865</v>
      </c>
      <c r="C5748" s="1" t="n">
        <v>45212</v>
      </c>
      <c r="D5748" t="inlineStr">
        <is>
          <t>VÄSTERNORRLANDS LÄN</t>
        </is>
      </c>
      <c r="E5748" t="inlineStr">
        <is>
          <t>SOLLEFTEÅ</t>
        </is>
      </c>
      <c r="F5748" t="inlineStr">
        <is>
          <t>Holmen skog AB</t>
        </is>
      </c>
      <c r="G5748" t="n">
        <v>5.4</v>
      </c>
      <c r="H5748" t="n">
        <v>0</v>
      </c>
      <c r="I5748" t="n">
        <v>0</v>
      </c>
      <c r="J5748" t="n">
        <v>0</v>
      </c>
      <c r="K5748" t="n">
        <v>0</v>
      </c>
      <c r="L5748" t="n">
        <v>0</v>
      </c>
      <c r="M5748" t="n">
        <v>0</v>
      </c>
      <c r="N5748" t="n">
        <v>0</v>
      </c>
      <c r="O5748" t="n">
        <v>0</v>
      </c>
      <c r="P5748" t="n">
        <v>0</v>
      </c>
      <c r="Q5748" t="n">
        <v>0</v>
      </c>
      <c r="R5748" s="2" t="inlineStr"/>
    </row>
    <row r="5749" ht="15" customHeight="1">
      <c r="A5749" t="inlineStr">
        <is>
          <t>A 51080-2022</t>
        </is>
      </c>
      <c r="B5749" s="1" t="n">
        <v>44865</v>
      </c>
      <c r="C5749" s="1" t="n">
        <v>45212</v>
      </c>
      <c r="D5749" t="inlineStr">
        <is>
          <t>VÄSTERNORRLANDS LÄN</t>
        </is>
      </c>
      <c r="E5749" t="inlineStr">
        <is>
          <t>SOLLEFTEÅ</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50240-2022</t>
        </is>
      </c>
      <c r="B5750" s="1" t="n">
        <v>44865</v>
      </c>
      <c r="C5750" s="1" t="n">
        <v>45212</v>
      </c>
      <c r="D5750" t="inlineStr">
        <is>
          <t>VÄSTERNORRLANDS LÄN</t>
        </is>
      </c>
      <c r="E5750" t="inlineStr">
        <is>
          <t>ÖRNSKÖLDSVIK</t>
        </is>
      </c>
      <c r="F5750" t="inlineStr">
        <is>
          <t>Holmen skog AB</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51077-2022</t>
        </is>
      </c>
      <c r="B5751" s="1" t="n">
        <v>44865</v>
      </c>
      <c r="C5751" s="1" t="n">
        <v>45212</v>
      </c>
      <c r="D5751" t="inlineStr">
        <is>
          <t>VÄSTERNORRLANDS LÄN</t>
        </is>
      </c>
      <c r="E5751" t="inlineStr">
        <is>
          <t>KRAMFORS</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50217-2022</t>
        </is>
      </c>
      <c r="B5752" s="1" t="n">
        <v>44865</v>
      </c>
      <c r="C5752" s="1" t="n">
        <v>45212</v>
      </c>
      <c r="D5752" t="inlineStr">
        <is>
          <t>VÄSTERNORRLANDS LÄN</t>
        </is>
      </c>
      <c r="E5752" t="inlineStr">
        <is>
          <t>ÖRNSKÖLDSVIK</t>
        </is>
      </c>
      <c r="F5752" t="inlineStr">
        <is>
          <t>Holmen skog AB</t>
        </is>
      </c>
      <c r="G5752" t="n">
        <v>24.6</v>
      </c>
      <c r="H5752" t="n">
        <v>0</v>
      </c>
      <c r="I5752" t="n">
        <v>0</v>
      </c>
      <c r="J5752" t="n">
        <v>0</v>
      </c>
      <c r="K5752" t="n">
        <v>0</v>
      </c>
      <c r="L5752" t="n">
        <v>0</v>
      </c>
      <c r="M5752" t="n">
        <v>0</v>
      </c>
      <c r="N5752" t="n">
        <v>0</v>
      </c>
      <c r="O5752" t="n">
        <v>0</v>
      </c>
      <c r="P5752" t="n">
        <v>0</v>
      </c>
      <c r="Q5752" t="n">
        <v>0</v>
      </c>
      <c r="R5752" s="2" t="inlineStr"/>
    </row>
    <row r="5753" ht="15" customHeight="1">
      <c r="A5753" t="inlineStr">
        <is>
          <t>A 50243-2022</t>
        </is>
      </c>
      <c r="B5753" s="1" t="n">
        <v>44865</v>
      </c>
      <c r="C5753" s="1" t="n">
        <v>45212</v>
      </c>
      <c r="D5753" t="inlineStr">
        <is>
          <t>VÄSTERNORRLANDS LÄN</t>
        </is>
      </c>
      <c r="E5753" t="inlineStr">
        <is>
          <t>ÖRNSKÖLDSVIK</t>
        </is>
      </c>
      <c r="F5753" t="inlineStr">
        <is>
          <t>Holmen skog AB</t>
        </is>
      </c>
      <c r="G5753" t="n">
        <v>2.3</v>
      </c>
      <c r="H5753" t="n">
        <v>0</v>
      </c>
      <c r="I5753" t="n">
        <v>0</v>
      </c>
      <c r="J5753" t="n">
        <v>0</v>
      </c>
      <c r="K5753" t="n">
        <v>0</v>
      </c>
      <c r="L5753" t="n">
        <v>0</v>
      </c>
      <c r="M5753" t="n">
        <v>0</v>
      </c>
      <c r="N5753" t="n">
        <v>0</v>
      </c>
      <c r="O5753" t="n">
        <v>0</v>
      </c>
      <c r="P5753" t="n">
        <v>0</v>
      </c>
      <c r="Q5753" t="n">
        <v>0</v>
      </c>
      <c r="R5753" s="2" t="inlineStr"/>
    </row>
    <row r="5754" ht="15" customHeight="1">
      <c r="A5754" t="inlineStr">
        <is>
          <t>A 50652-2022</t>
        </is>
      </c>
      <c r="B5754" s="1" t="n">
        <v>44866</v>
      </c>
      <c r="C5754" s="1" t="n">
        <v>45212</v>
      </c>
      <c r="D5754" t="inlineStr">
        <is>
          <t>VÄSTERNORRLANDS LÄN</t>
        </is>
      </c>
      <c r="E5754" t="inlineStr">
        <is>
          <t>SUNDSVALL</t>
        </is>
      </c>
      <c r="F5754" t="inlineStr">
        <is>
          <t>SCA</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50665-2022</t>
        </is>
      </c>
      <c r="B5755" s="1" t="n">
        <v>44866</v>
      </c>
      <c r="C5755" s="1" t="n">
        <v>45212</v>
      </c>
      <c r="D5755" t="inlineStr">
        <is>
          <t>VÄSTERNORRLANDS LÄN</t>
        </is>
      </c>
      <c r="E5755" t="inlineStr">
        <is>
          <t>ÅNGE</t>
        </is>
      </c>
      <c r="F5755" t="inlineStr">
        <is>
          <t>SCA</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51244-2022</t>
        </is>
      </c>
      <c r="B5756" s="1" t="n">
        <v>44866</v>
      </c>
      <c r="C5756" s="1" t="n">
        <v>45212</v>
      </c>
      <c r="D5756" t="inlineStr">
        <is>
          <t>VÄSTERNORRLANDS LÄN</t>
        </is>
      </c>
      <c r="E5756" t="inlineStr">
        <is>
          <t>KRAMFORS</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51383-2022</t>
        </is>
      </c>
      <c r="B5757" s="1" t="n">
        <v>44866</v>
      </c>
      <c r="C5757" s="1" t="n">
        <v>45212</v>
      </c>
      <c r="D5757" t="inlineStr">
        <is>
          <t>VÄSTERNORRLANDS LÄN</t>
        </is>
      </c>
      <c r="E5757" t="inlineStr">
        <is>
          <t>ÅNGE</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50643-2022</t>
        </is>
      </c>
      <c r="B5758" s="1" t="n">
        <v>44866</v>
      </c>
      <c r="C5758" s="1" t="n">
        <v>45212</v>
      </c>
      <c r="D5758" t="inlineStr">
        <is>
          <t>VÄSTERNORRLANDS LÄN</t>
        </is>
      </c>
      <c r="E5758" t="inlineStr">
        <is>
          <t>ÅNGE</t>
        </is>
      </c>
      <c r="F5758" t="inlineStr">
        <is>
          <t>SCA</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50651-2022</t>
        </is>
      </c>
      <c r="B5759" s="1" t="n">
        <v>44866</v>
      </c>
      <c r="C5759" s="1" t="n">
        <v>45212</v>
      </c>
      <c r="D5759" t="inlineStr">
        <is>
          <t>VÄSTERNORRLANDS LÄN</t>
        </is>
      </c>
      <c r="E5759" t="inlineStr">
        <is>
          <t>SUNDSVALL</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50656-2022</t>
        </is>
      </c>
      <c r="B5760" s="1" t="n">
        <v>44866</v>
      </c>
      <c r="C5760" s="1" t="n">
        <v>45212</v>
      </c>
      <c r="D5760" t="inlineStr">
        <is>
          <t>VÄSTERNORRLANDS LÄN</t>
        </is>
      </c>
      <c r="E5760" t="inlineStr">
        <is>
          <t>SOLLEFTEÅ</t>
        </is>
      </c>
      <c r="F5760" t="inlineStr">
        <is>
          <t>SCA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50654-2022</t>
        </is>
      </c>
      <c r="B5761" s="1" t="n">
        <v>44866</v>
      </c>
      <c r="C5761" s="1" t="n">
        <v>45212</v>
      </c>
      <c r="D5761" t="inlineStr">
        <is>
          <t>VÄSTERNORRLANDS LÄN</t>
        </is>
      </c>
      <c r="E5761" t="inlineStr">
        <is>
          <t>SUNDSVALL</t>
        </is>
      </c>
      <c r="F5761" t="inlineStr">
        <is>
          <t>SCA</t>
        </is>
      </c>
      <c r="G5761" t="n">
        <v>0.4</v>
      </c>
      <c r="H5761" t="n">
        <v>0</v>
      </c>
      <c r="I5761" t="n">
        <v>0</v>
      </c>
      <c r="J5761" t="n">
        <v>0</v>
      </c>
      <c r="K5761" t="n">
        <v>0</v>
      </c>
      <c r="L5761" t="n">
        <v>0</v>
      </c>
      <c r="M5761" t="n">
        <v>0</v>
      </c>
      <c r="N5761" t="n">
        <v>0</v>
      </c>
      <c r="O5761" t="n">
        <v>0</v>
      </c>
      <c r="P5761" t="n">
        <v>0</v>
      </c>
      <c r="Q5761" t="n">
        <v>0</v>
      </c>
      <c r="R5761" s="2" t="inlineStr"/>
    </row>
    <row r="5762" ht="15" customHeight="1">
      <c r="A5762" t="inlineStr">
        <is>
          <t>A 51249-2022</t>
        </is>
      </c>
      <c r="B5762" s="1" t="n">
        <v>44866</v>
      </c>
      <c r="C5762" s="1" t="n">
        <v>45212</v>
      </c>
      <c r="D5762" t="inlineStr">
        <is>
          <t>VÄSTERNORRLANDS LÄN</t>
        </is>
      </c>
      <c r="E5762" t="inlineStr">
        <is>
          <t>SOLLEFTEÅ</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50641-2022</t>
        </is>
      </c>
      <c r="B5763" s="1" t="n">
        <v>44866</v>
      </c>
      <c r="C5763" s="1" t="n">
        <v>45212</v>
      </c>
      <c r="D5763" t="inlineStr">
        <is>
          <t>VÄSTERNORRLANDS LÄN</t>
        </is>
      </c>
      <c r="E5763" t="inlineStr">
        <is>
          <t>SOLLEFTEÅ</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50655-2022</t>
        </is>
      </c>
      <c r="B5764" s="1" t="n">
        <v>44866</v>
      </c>
      <c r="C5764" s="1" t="n">
        <v>45212</v>
      </c>
      <c r="D5764" t="inlineStr">
        <is>
          <t>VÄSTERNORRLANDS LÄN</t>
        </is>
      </c>
      <c r="E5764" t="inlineStr">
        <is>
          <t>SOLLEFTEÅ</t>
        </is>
      </c>
      <c r="G5764" t="n">
        <v>4.4</v>
      </c>
      <c r="H5764" t="n">
        <v>0</v>
      </c>
      <c r="I5764" t="n">
        <v>0</v>
      </c>
      <c r="J5764" t="n">
        <v>0</v>
      </c>
      <c r="K5764" t="n">
        <v>0</v>
      </c>
      <c r="L5764" t="n">
        <v>0</v>
      </c>
      <c r="M5764" t="n">
        <v>0</v>
      </c>
      <c r="N5764" t="n">
        <v>0</v>
      </c>
      <c r="O5764" t="n">
        <v>0</v>
      </c>
      <c r="P5764" t="n">
        <v>0</v>
      </c>
      <c r="Q5764" t="n">
        <v>0</v>
      </c>
      <c r="R5764" s="2" t="inlineStr"/>
    </row>
    <row r="5765" ht="15" customHeight="1">
      <c r="A5765" t="inlineStr">
        <is>
          <t>A 51004-2022</t>
        </is>
      </c>
      <c r="B5765" s="1" t="n">
        <v>44867</v>
      </c>
      <c r="C5765" s="1" t="n">
        <v>45212</v>
      </c>
      <c r="D5765" t="inlineStr">
        <is>
          <t>VÄSTERNORRLANDS LÄN</t>
        </is>
      </c>
      <c r="E5765" t="inlineStr">
        <is>
          <t>SUNDSVALL</t>
        </is>
      </c>
      <c r="F5765" t="inlineStr">
        <is>
          <t>SCA</t>
        </is>
      </c>
      <c r="G5765" t="n">
        <v>5</v>
      </c>
      <c r="H5765" t="n">
        <v>0</v>
      </c>
      <c r="I5765" t="n">
        <v>0</v>
      </c>
      <c r="J5765" t="n">
        <v>0</v>
      </c>
      <c r="K5765" t="n">
        <v>0</v>
      </c>
      <c r="L5765" t="n">
        <v>0</v>
      </c>
      <c r="M5765" t="n">
        <v>0</v>
      </c>
      <c r="N5765" t="n">
        <v>0</v>
      </c>
      <c r="O5765" t="n">
        <v>0</v>
      </c>
      <c r="P5765" t="n">
        <v>0</v>
      </c>
      <c r="Q5765" t="n">
        <v>0</v>
      </c>
      <c r="R5765" s="2" t="inlineStr"/>
    </row>
    <row r="5766" ht="15" customHeight="1">
      <c r="A5766" t="inlineStr">
        <is>
          <t>A 50833-2022</t>
        </is>
      </c>
      <c r="B5766" s="1" t="n">
        <v>44867</v>
      </c>
      <c r="C5766" s="1" t="n">
        <v>45212</v>
      </c>
      <c r="D5766" t="inlineStr">
        <is>
          <t>VÄSTERNORRLANDS LÄN</t>
        </is>
      </c>
      <c r="E5766" t="inlineStr">
        <is>
          <t>ÖRNSKÖLDSVIK</t>
        </is>
      </c>
      <c r="F5766" t="inlineStr">
        <is>
          <t>Holmen skog AB</t>
        </is>
      </c>
      <c r="G5766" t="n">
        <v>6.3</v>
      </c>
      <c r="H5766" t="n">
        <v>0</v>
      </c>
      <c r="I5766" t="n">
        <v>0</v>
      </c>
      <c r="J5766" t="n">
        <v>0</v>
      </c>
      <c r="K5766" t="n">
        <v>0</v>
      </c>
      <c r="L5766" t="n">
        <v>0</v>
      </c>
      <c r="M5766" t="n">
        <v>0</v>
      </c>
      <c r="N5766" t="n">
        <v>0</v>
      </c>
      <c r="O5766" t="n">
        <v>0</v>
      </c>
      <c r="P5766" t="n">
        <v>0</v>
      </c>
      <c r="Q5766" t="n">
        <v>0</v>
      </c>
      <c r="R5766" s="2" t="inlineStr"/>
    </row>
    <row r="5767" ht="15" customHeight="1">
      <c r="A5767" t="inlineStr">
        <is>
          <t>A 50867-2022</t>
        </is>
      </c>
      <c r="B5767" s="1" t="n">
        <v>44867</v>
      </c>
      <c r="C5767" s="1" t="n">
        <v>45212</v>
      </c>
      <c r="D5767" t="inlineStr">
        <is>
          <t>VÄSTERNORRLANDS LÄN</t>
        </is>
      </c>
      <c r="E5767" t="inlineStr">
        <is>
          <t>ÖRNSKÖLDSVIK</t>
        </is>
      </c>
      <c r="F5767" t="inlineStr">
        <is>
          <t>Holmen skog AB</t>
        </is>
      </c>
      <c r="G5767" t="n">
        <v>14.5</v>
      </c>
      <c r="H5767" t="n">
        <v>0</v>
      </c>
      <c r="I5767" t="n">
        <v>0</v>
      </c>
      <c r="J5767" t="n">
        <v>0</v>
      </c>
      <c r="K5767" t="n">
        <v>0</v>
      </c>
      <c r="L5767" t="n">
        <v>0</v>
      </c>
      <c r="M5767" t="n">
        <v>0</v>
      </c>
      <c r="N5767" t="n">
        <v>0</v>
      </c>
      <c r="O5767" t="n">
        <v>0</v>
      </c>
      <c r="P5767" t="n">
        <v>0</v>
      </c>
      <c r="Q5767" t="n">
        <v>0</v>
      </c>
      <c r="R5767" s="2" t="inlineStr"/>
    </row>
    <row r="5768" ht="15" customHeight="1">
      <c r="A5768" t="inlineStr">
        <is>
          <t>A 50926-2022</t>
        </is>
      </c>
      <c r="B5768" s="1" t="n">
        <v>44867</v>
      </c>
      <c r="C5768" s="1" t="n">
        <v>45212</v>
      </c>
      <c r="D5768" t="inlineStr">
        <is>
          <t>VÄSTERNORRLANDS LÄN</t>
        </is>
      </c>
      <c r="E5768" t="inlineStr">
        <is>
          <t>ÖRNSKÖLDSVIK</t>
        </is>
      </c>
      <c r="F5768" t="inlineStr">
        <is>
          <t>Holmen skog AB</t>
        </is>
      </c>
      <c r="G5768" t="n">
        <v>8</v>
      </c>
      <c r="H5768" t="n">
        <v>0</v>
      </c>
      <c r="I5768" t="n">
        <v>0</v>
      </c>
      <c r="J5768" t="n">
        <v>0</v>
      </c>
      <c r="K5768" t="n">
        <v>0</v>
      </c>
      <c r="L5768" t="n">
        <v>0</v>
      </c>
      <c r="M5768" t="n">
        <v>0</v>
      </c>
      <c r="N5768" t="n">
        <v>0</v>
      </c>
      <c r="O5768" t="n">
        <v>0</v>
      </c>
      <c r="P5768" t="n">
        <v>0</v>
      </c>
      <c r="Q5768" t="n">
        <v>0</v>
      </c>
      <c r="R5768" s="2" t="inlineStr"/>
    </row>
    <row r="5769" ht="15" customHeight="1">
      <c r="A5769" t="inlineStr">
        <is>
          <t>A 51006-2022</t>
        </is>
      </c>
      <c r="B5769" s="1" t="n">
        <v>44867</v>
      </c>
      <c r="C5769" s="1" t="n">
        <v>45212</v>
      </c>
      <c r="D5769" t="inlineStr">
        <is>
          <t>VÄSTERNORRLANDS LÄN</t>
        </is>
      </c>
      <c r="E5769" t="inlineStr">
        <is>
          <t>SOLLEFTEÅ</t>
        </is>
      </c>
      <c r="F5769" t="inlineStr">
        <is>
          <t>SCA</t>
        </is>
      </c>
      <c r="G5769" t="n">
        <v>3.4</v>
      </c>
      <c r="H5769" t="n">
        <v>0</v>
      </c>
      <c r="I5769" t="n">
        <v>0</v>
      </c>
      <c r="J5769" t="n">
        <v>0</v>
      </c>
      <c r="K5769" t="n">
        <v>0</v>
      </c>
      <c r="L5769" t="n">
        <v>0</v>
      </c>
      <c r="M5769" t="n">
        <v>0</v>
      </c>
      <c r="N5769" t="n">
        <v>0</v>
      </c>
      <c r="O5769" t="n">
        <v>0</v>
      </c>
      <c r="P5769" t="n">
        <v>0</v>
      </c>
      <c r="Q5769" t="n">
        <v>0</v>
      </c>
      <c r="R5769" s="2" t="inlineStr"/>
    </row>
    <row r="5770" ht="15" customHeight="1">
      <c r="A5770" t="inlineStr">
        <is>
          <t>A 51317-2022</t>
        </is>
      </c>
      <c r="B5770" s="1" t="n">
        <v>44868</v>
      </c>
      <c r="C5770" s="1" t="n">
        <v>45212</v>
      </c>
      <c r="D5770" t="inlineStr">
        <is>
          <t>VÄSTERNORRLANDS LÄN</t>
        </is>
      </c>
      <c r="E5770" t="inlineStr">
        <is>
          <t>SOLLEFTEÅ</t>
        </is>
      </c>
      <c r="F5770" t="inlineStr">
        <is>
          <t>SCA</t>
        </is>
      </c>
      <c r="G5770" t="n">
        <v>2.4</v>
      </c>
      <c r="H5770" t="n">
        <v>0</v>
      </c>
      <c r="I5770" t="n">
        <v>0</v>
      </c>
      <c r="J5770" t="n">
        <v>0</v>
      </c>
      <c r="K5770" t="n">
        <v>0</v>
      </c>
      <c r="L5770" t="n">
        <v>0</v>
      </c>
      <c r="M5770" t="n">
        <v>0</v>
      </c>
      <c r="N5770" t="n">
        <v>0</v>
      </c>
      <c r="O5770" t="n">
        <v>0</v>
      </c>
      <c r="P5770" t="n">
        <v>0</v>
      </c>
      <c r="Q5770" t="n">
        <v>0</v>
      </c>
      <c r="R5770" s="2" t="inlineStr"/>
    </row>
    <row r="5771" ht="15" customHeight="1">
      <c r="A5771" t="inlineStr">
        <is>
          <t>A 52096-2022</t>
        </is>
      </c>
      <c r="B5771" s="1" t="n">
        <v>44868</v>
      </c>
      <c r="C5771" s="1" t="n">
        <v>45212</v>
      </c>
      <c r="D5771" t="inlineStr">
        <is>
          <t>VÄSTERNORRLANDS LÄN</t>
        </is>
      </c>
      <c r="E5771" t="inlineStr">
        <is>
          <t>TIMRÅ</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51319-2022</t>
        </is>
      </c>
      <c r="B5772" s="1" t="n">
        <v>44868</v>
      </c>
      <c r="C5772" s="1" t="n">
        <v>45212</v>
      </c>
      <c r="D5772" t="inlineStr">
        <is>
          <t>VÄSTERNORRLANDS LÄN</t>
        </is>
      </c>
      <c r="E5772" t="inlineStr">
        <is>
          <t>SUNDSVALL</t>
        </is>
      </c>
      <c r="F5772" t="inlineStr">
        <is>
          <t>SCA</t>
        </is>
      </c>
      <c r="G5772" t="n">
        <v>4.5</v>
      </c>
      <c r="H5772" t="n">
        <v>0</v>
      </c>
      <c r="I5772" t="n">
        <v>0</v>
      </c>
      <c r="J5772" t="n">
        <v>0</v>
      </c>
      <c r="K5772" t="n">
        <v>0</v>
      </c>
      <c r="L5772" t="n">
        <v>0</v>
      </c>
      <c r="M5772" t="n">
        <v>0</v>
      </c>
      <c r="N5772" t="n">
        <v>0</v>
      </c>
      <c r="O5772" t="n">
        <v>0</v>
      </c>
      <c r="P5772" t="n">
        <v>0</v>
      </c>
      <c r="Q5772" t="n">
        <v>0</v>
      </c>
      <c r="R5772" s="2" t="inlineStr"/>
    </row>
    <row r="5773" ht="15" customHeight="1">
      <c r="A5773" t="inlineStr">
        <is>
          <t>A 51131-2022</t>
        </is>
      </c>
      <c r="B5773" s="1" t="n">
        <v>44868</v>
      </c>
      <c r="C5773" s="1" t="n">
        <v>45212</v>
      </c>
      <c r="D5773" t="inlineStr">
        <is>
          <t>VÄSTERNORRLANDS LÄN</t>
        </is>
      </c>
      <c r="E5773" t="inlineStr">
        <is>
          <t>ÅNGE</t>
        </is>
      </c>
      <c r="G5773" t="n">
        <v>11.1</v>
      </c>
      <c r="H5773" t="n">
        <v>0</v>
      </c>
      <c r="I5773" t="n">
        <v>0</v>
      </c>
      <c r="J5773" t="n">
        <v>0</v>
      </c>
      <c r="K5773" t="n">
        <v>0</v>
      </c>
      <c r="L5773" t="n">
        <v>0</v>
      </c>
      <c r="M5773" t="n">
        <v>0</v>
      </c>
      <c r="N5773" t="n">
        <v>0</v>
      </c>
      <c r="O5773" t="n">
        <v>0</v>
      </c>
      <c r="P5773" t="n">
        <v>0</v>
      </c>
      <c r="Q5773" t="n">
        <v>0</v>
      </c>
      <c r="R5773" s="2" t="inlineStr"/>
    </row>
    <row r="5774" ht="15" customHeight="1">
      <c r="A5774" t="inlineStr">
        <is>
          <t>A 51272-2022</t>
        </is>
      </c>
      <c r="B5774" s="1" t="n">
        <v>44868</v>
      </c>
      <c r="C5774" s="1" t="n">
        <v>45212</v>
      </c>
      <c r="D5774" t="inlineStr">
        <is>
          <t>VÄSTERNORRLANDS LÄN</t>
        </is>
      </c>
      <c r="E5774" t="inlineStr">
        <is>
          <t>HÄRNÖSAND</t>
        </is>
      </c>
      <c r="F5774" t="inlineStr">
        <is>
          <t>Kyrkan</t>
        </is>
      </c>
      <c r="G5774" t="n">
        <v>3.7</v>
      </c>
      <c r="H5774" t="n">
        <v>0</v>
      </c>
      <c r="I5774" t="n">
        <v>0</v>
      </c>
      <c r="J5774" t="n">
        <v>0</v>
      </c>
      <c r="K5774" t="n">
        <v>0</v>
      </c>
      <c r="L5774" t="n">
        <v>0</v>
      </c>
      <c r="M5774" t="n">
        <v>0</v>
      </c>
      <c r="N5774" t="n">
        <v>0</v>
      </c>
      <c r="O5774" t="n">
        <v>0</v>
      </c>
      <c r="P5774" t="n">
        <v>0</v>
      </c>
      <c r="Q5774" t="n">
        <v>0</v>
      </c>
      <c r="R5774" s="2" t="inlineStr"/>
    </row>
    <row r="5775" ht="15" customHeight="1">
      <c r="A5775" t="inlineStr">
        <is>
          <t>A 51313-2022</t>
        </is>
      </c>
      <c r="B5775" s="1" t="n">
        <v>44868</v>
      </c>
      <c r="C5775" s="1" t="n">
        <v>45212</v>
      </c>
      <c r="D5775" t="inlineStr">
        <is>
          <t>VÄSTERNORRLANDS LÄN</t>
        </is>
      </c>
      <c r="E5775" t="inlineStr">
        <is>
          <t>ÅNGE</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51311-2022</t>
        </is>
      </c>
      <c r="B5776" s="1" t="n">
        <v>44868</v>
      </c>
      <c r="C5776" s="1" t="n">
        <v>45212</v>
      </c>
      <c r="D5776" t="inlineStr">
        <is>
          <t>VÄSTERNORRLANDS LÄN</t>
        </is>
      </c>
      <c r="E5776" t="inlineStr">
        <is>
          <t>ÅNGE</t>
        </is>
      </c>
      <c r="F5776" t="inlineStr">
        <is>
          <t>SCA</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51366-2022</t>
        </is>
      </c>
      <c r="B5777" s="1" t="n">
        <v>44869</v>
      </c>
      <c r="C5777" s="1" t="n">
        <v>45212</v>
      </c>
      <c r="D5777" t="inlineStr">
        <is>
          <t>VÄSTERNORRLANDS LÄN</t>
        </is>
      </c>
      <c r="E5777" t="inlineStr">
        <is>
          <t>SUNDSVALL</t>
        </is>
      </c>
      <c r="G5777" t="n">
        <v>31.8</v>
      </c>
      <c r="H5777" t="n">
        <v>0</v>
      </c>
      <c r="I5777" t="n">
        <v>0</v>
      </c>
      <c r="J5777" t="n">
        <v>0</v>
      </c>
      <c r="K5777" t="n">
        <v>0</v>
      </c>
      <c r="L5777" t="n">
        <v>0</v>
      </c>
      <c r="M5777" t="n">
        <v>0</v>
      </c>
      <c r="N5777" t="n">
        <v>0</v>
      </c>
      <c r="O5777" t="n">
        <v>0</v>
      </c>
      <c r="P5777" t="n">
        <v>0</v>
      </c>
      <c r="Q5777" t="n">
        <v>0</v>
      </c>
      <c r="R5777" s="2" t="inlineStr"/>
    </row>
    <row r="5778" ht="15" customHeight="1">
      <c r="A5778" t="inlineStr">
        <is>
          <t>A 51413-2022</t>
        </is>
      </c>
      <c r="B5778" s="1" t="n">
        <v>44869</v>
      </c>
      <c r="C5778" s="1" t="n">
        <v>45212</v>
      </c>
      <c r="D5778" t="inlineStr">
        <is>
          <t>VÄSTERNORRLANDS LÄN</t>
        </is>
      </c>
      <c r="E5778" t="inlineStr">
        <is>
          <t>SUNDSVALL</t>
        </is>
      </c>
      <c r="G5778" t="n">
        <v>6.1</v>
      </c>
      <c r="H5778" t="n">
        <v>0</v>
      </c>
      <c r="I5778" t="n">
        <v>0</v>
      </c>
      <c r="J5778" t="n">
        <v>0</v>
      </c>
      <c r="K5778" t="n">
        <v>0</v>
      </c>
      <c r="L5778" t="n">
        <v>0</v>
      </c>
      <c r="M5778" t="n">
        <v>0</v>
      </c>
      <c r="N5778" t="n">
        <v>0</v>
      </c>
      <c r="O5778" t="n">
        <v>0</v>
      </c>
      <c r="P5778" t="n">
        <v>0</v>
      </c>
      <c r="Q5778" t="n">
        <v>0</v>
      </c>
      <c r="R5778" s="2" t="inlineStr"/>
    </row>
    <row r="5779" ht="15" customHeight="1">
      <c r="A5779" t="inlineStr">
        <is>
          <t>A 51544-2022</t>
        </is>
      </c>
      <c r="B5779" s="1" t="n">
        <v>44869</v>
      </c>
      <c r="C5779" s="1" t="n">
        <v>45212</v>
      </c>
      <c r="D5779" t="inlineStr">
        <is>
          <t>VÄSTERNORRLANDS LÄN</t>
        </is>
      </c>
      <c r="E5779" t="inlineStr">
        <is>
          <t>SOLLEFTEÅ</t>
        </is>
      </c>
      <c r="F5779" t="inlineStr">
        <is>
          <t>SCA</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51329-2022</t>
        </is>
      </c>
      <c r="B5780" s="1" t="n">
        <v>44869</v>
      </c>
      <c r="C5780" s="1" t="n">
        <v>45212</v>
      </c>
      <c r="D5780" t="inlineStr">
        <is>
          <t>VÄSTERNORRLANDS LÄN</t>
        </is>
      </c>
      <c r="E5780" t="inlineStr">
        <is>
          <t>ÖRNSKÖLDSVIK</t>
        </is>
      </c>
      <c r="F5780" t="inlineStr">
        <is>
          <t>Holmen skog AB</t>
        </is>
      </c>
      <c r="G5780" t="n">
        <v>7.5</v>
      </c>
      <c r="H5780" t="n">
        <v>0</v>
      </c>
      <c r="I5780" t="n">
        <v>0</v>
      </c>
      <c r="J5780" t="n">
        <v>0</v>
      </c>
      <c r="K5780" t="n">
        <v>0</v>
      </c>
      <c r="L5780" t="n">
        <v>0</v>
      </c>
      <c r="M5780" t="n">
        <v>0</v>
      </c>
      <c r="N5780" t="n">
        <v>0</v>
      </c>
      <c r="O5780" t="n">
        <v>0</v>
      </c>
      <c r="P5780" t="n">
        <v>0</v>
      </c>
      <c r="Q5780" t="n">
        <v>0</v>
      </c>
      <c r="R5780" s="2" t="inlineStr"/>
    </row>
    <row r="5781" ht="15" customHeight="1">
      <c r="A5781" t="inlineStr">
        <is>
          <t>A 51370-2022</t>
        </is>
      </c>
      <c r="B5781" s="1" t="n">
        <v>44869</v>
      </c>
      <c r="C5781" s="1" t="n">
        <v>45212</v>
      </c>
      <c r="D5781" t="inlineStr">
        <is>
          <t>VÄSTERNORRLANDS LÄN</t>
        </is>
      </c>
      <c r="E5781" t="inlineStr">
        <is>
          <t>SUNDSVALL</t>
        </is>
      </c>
      <c r="G5781" t="n">
        <v>18.7</v>
      </c>
      <c r="H5781" t="n">
        <v>0</v>
      </c>
      <c r="I5781" t="n">
        <v>0</v>
      </c>
      <c r="J5781" t="n">
        <v>0</v>
      </c>
      <c r="K5781" t="n">
        <v>0</v>
      </c>
      <c r="L5781" t="n">
        <v>0</v>
      </c>
      <c r="M5781" t="n">
        <v>0</v>
      </c>
      <c r="N5781" t="n">
        <v>0</v>
      </c>
      <c r="O5781" t="n">
        <v>0</v>
      </c>
      <c r="P5781" t="n">
        <v>0</v>
      </c>
      <c r="Q5781" t="n">
        <v>0</v>
      </c>
      <c r="R5781" s="2" t="inlineStr"/>
    </row>
    <row r="5782" ht="15" customHeight="1">
      <c r="A5782" t="inlineStr">
        <is>
          <t>A 52232-2022</t>
        </is>
      </c>
      <c r="B5782" s="1" t="n">
        <v>44869</v>
      </c>
      <c r="C5782" s="1" t="n">
        <v>45212</v>
      </c>
      <c r="D5782" t="inlineStr">
        <is>
          <t>VÄSTERNORRLANDS LÄN</t>
        </is>
      </c>
      <c r="E5782" t="inlineStr">
        <is>
          <t>TIMRÅ</t>
        </is>
      </c>
      <c r="G5782" t="n">
        <v>7.9</v>
      </c>
      <c r="H5782" t="n">
        <v>0</v>
      </c>
      <c r="I5782" t="n">
        <v>0</v>
      </c>
      <c r="J5782" t="n">
        <v>0</v>
      </c>
      <c r="K5782" t="n">
        <v>0</v>
      </c>
      <c r="L5782" t="n">
        <v>0</v>
      </c>
      <c r="M5782" t="n">
        <v>0</v>
      </c>
      <c r="N5782" t="n">
        <v>0</v>
      </c>
      <c r="O5782" t="n">
        <v>0</v>
      </c>
      <c r="P5782" t="n">
        <v>0</v>
      </c>
      <c r="Q5782" t="n">
        <v>0</v>
      </c>
      <c r="R5782" s="2" t="inlineStr"/>
    </row>
    <row r="5783" ht="15" customHeight="1">
      <c r="A5783" t="inlineStr">
        <is>
          <t>A 52501-2022</t>
        </is>
      </c>
      <c r="B5783" s="1" t="n">
        <v>44869</v>
      </c>
      <c r="C5783" s="1" t="n">
        <v>45212</v>
      </c>
      <c r="D5783" t="inlineStr">
        <is>
          <t>VÄSTERNORRLANDS LÄN</t>
        </is>
      </c>
      <c r="E5783" t="inlineStr">
        <is>
          <t>KRAMFORS</t>
        </is>
      </c>
      <c r="G5783" t="n">
        <v>2.9</v>
      </c>
      <c r="H5783" t="n">
        <v>0</v>
      </c>
      <c r="I5783" t="n">
        <v>0</v>
      </c>
      <c r="J5783" t="n">
        <v>0</v>
      </c>
      <c r="K5783" t="n">
        <v>0</v>
      </c>
      <c r="L5783" t="n">
        <v>0</v>
      </c>
      <c r="M5783" t="n">
        <v>0</v>
      </c>
      <c r="N5783" t="n">
        <v>0</v>
      </c>
      <c r="O5783" t="n">
        <v>0</v>
      </c>
      <c r="P5783" t="n">
        <v>0</v>
      </c>
      <c r="Q5783" t="n">
        <v>0</v>
      </c>
      <c r="R5783" s="2" t="inlineStr"/>
    </row>
    <row r="5784" ht="15" customHeight="1">
      <c r="A5784" t="inlineStr">
        <is>
          <t>A 51360-2022</t>
        </is>
      </c>
      <c r="B5784" s="1" t="n">
        <v>44869</v>
      </c>
      <c r="C5784" s="1" t="n">
        <v>45212</v>
      </c>
      <c r="D5784" t="inlineStr">
        <is>
          <t>VÄSTERNORRLANDS LÄN</t>
        </is>
      </c>
      <c r="E5784" t="inlineStr">
        <is>
          <t>SUNDSVALL</t>
        </is>
      </c>
      <c r="G5784" t="n">
        <v>30.9</v>
      </c>
      <c r="H5784" t="n">
        <v>0</v>
      </c>
      <c r="I5784" t="n">
        <v>0</v>
      </c>
      <c r="J5784" t="n">
        <v>0</v>
      </c>
      <c r="K5784" t="n">
        <v>0</v>
      </c>
      <c r="L5784" t="n">
        <v>0</v>
      </c>
      <c r="M5784" t="n">
        <v>0</v>
      </c>
      <c r="N5784" t="n">
        <v>0</v>
      </c>
      <c r="O5784" t="n">
        <v>0</v>
      </c>
      <c r="P5784" t="n">
        <v>0</v>
      </c>
      <c r="Q5784" t="n">
        <v>0</v>
      </c>
      <c r="R5784" s="2" t="inlineStr"/>
    </row>
    <row r="5785" ht="15" customHeight="1">
      <c r="A5785" t="inlineStr">
        <is>
          <t>A 51385-2022</t>
        </is>
      </c>
      <c r="B5785" s="1" t="n">
        <v>44869</v>
      </c>
      <c r="C5785" s="1" t="n">
        <v>45212</v>
      </c>
      <c r="D5785" t="inlineStr">
        <is>
          <t>VÄSTERNORRLANDS LÄN</t>
        </is>
      </c>
      <c r="E5785" t="inlineStr">
        <is>
          <t>KRAMFORS</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51543-2022</t>
        </is>
      </c>
      <c r="B5786" s="1" t="n">
        <v>44869</v>
      </c>
      <c r="C5786" s="1" t="n">
        <v>45212</v>
      </c>
      <c r="D5786" t="inlineStr">
        <is>
          <t>VÄSTERNORRLANDS LÄN</t>
        </is>
      </c>
      <c r="E5786" t="inlineStr">
        <is>
          <t>SOLLEFTEÅ</t>
        </is>
      </c>
      <c r="F5786" t="inlineStr">
        <is>
          <t>SCA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51564-2022</t>
        </is>
      </c>
      <c r="B5787" s="1" t="n">
        <v>44869</v>
      </c>
      <c r="C5787" s="1" t="n">
        <v>45212</v>
      </c>
      <c r="D5787" t="inlineStr">
        <is>
          <t>VÄSTERNORRLANDS LÄN</t>
        </is>
      </c>
      <c r="E5787" t="inlineStr">
        <is>
          <t>TIMRÅ</t>
        </is>
      </c>
      <c r="F5787" t="inlineStr">
        <is>
          <t>SCA</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52213-2022</t>
        </is>
      </c>
      <c r="B5788" s="1" t="n">
        <v>44869</v>
      </c>
      <c r="C5788" s="1" t="n">
        <v>45212</v>
      </c>
      <c r="D5788" t="inlineStr">
        <is>
          <t>VÄSTERNORRLANDS LÄN</t>
        </is>
      </c>
      <c r="E5788" t="inlineStr">
        <is>
          <t>TIMRÅ</t>
        </is>
      </c>
      <c r="G5788" t="n">
        <v>11.4</v>
      </c>
      <c r="H5788" t="n">
        <v>0</v>
      </c>
      <c r="I5788" t="n">
        <v>0</v>
      </c>
      <c r="J5788" t="n">
        <v>0</v>
      </c>
      <c r="K5788" t="n">
        <v>0</v>
      </c>
      <c r="L5788" t="n">
        <v>0</v>
      </c>
      <c r="M5788" t="n">
        <v>0</v>
      </c>
      <c r="N5788" t="n">
        <v>0</v>
      </c>
      <c r="O5788" t="n">
        <v>0</v>
      </c>
      <c r="P5788" t="n">
        <v>0</v>
      </c>
      <c r="Q5788" t="n">
        <v>0</v>
      </c>
      <c r="R5788" s="2" t="inlineStr"/>
    </row>
    <row r="5789" ht="15" customHeight="1">
      <c r="A5789" t="inlineStr">
        <is>
          <t>A 52237-2022</t>
        </is>
      </c>
      <c r="B5789" s="1" t="n">
        <v>44869</v>
      </c>
      <c r="C5789" s="1" t="n">
        <v>45212</v>
      </c>
      <c r="D5789" t="inlineStr">
        <is>
          <t>VÄSTERNORRLANDS LÄN</t>
        </is>
      </c>
      <c r="E5789" t="inlineStr">
        <is>
          <t>HÄRNÖSAND</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51382-2022</t>
        </is>
      </c>
      <c r="B5790" s="1" t="n">
        <v>44869</v>
      </c>
      <c r="C5790" s="1" t="n">
        <v>45212</v>
      </c>
      <c r="D5790" t="inlineStr">
        <is>
          <t>VÄSTERNORRLANDS LÄN</t>
        </is>
      </c>
      <c r="E5790" t="inlineStr">
        <is>
          <t>SUNDSVALL</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51454-2022</t>
        </is>
      </c>
      <c r="B5791" s="1" t="n">
        <v>44869</v>
      </c>
      <c r="C5791" s="1" t="n">
        <v>45212</v>
      </c>
      <c r="D5791" t="inlineStr">
        <is>
          <t>VÄSTERNORRLANDS LÄN</t>
        </is>
      </c>
      <c r="E5791" t="inlineStr">
        <is>
          <t>ÖRNSKÖLDSVIK</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51494-2022</t>
        </is>
      </c>
      <c r="B5792" s="1" t="n">
        <v>44869</v>
      </c>
      <c r="C5792" s="1" t="n">
        <v>45212</v>
      </c>
      <c r="D5792" t="inlineStr">
        <is>
          <t>VÄSTERNORRLANDS LÄN</t>
        </is>
      </c>
      <c r="E5792" t="inlineStr">
        <is>
          <t>ÅNGE</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51506-2022</t>
        </is>
      </c>
      <c r="B5793" s="1" t="n">
        <v>44869</v>
      </c>
      <c r="C5793" s="1" t="n">
        <v>45212</v>
      </c>
      <c r="D5793" t="inlineStr">
        <is>
          <t>VÄSTERNORRLANDS LÄN</t>
        </is>
      </c>
      <c r="E5793" t="inlineStr">
        <is>
          <t>ÖRNSKÖLDSVIK</t>
        </is>
      </c>
      <c r="F5793" t="inlineStr">
        <is>
          <t>Holmen skog AB</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51547-2022</t>
        </is>
      </c>
      <c r="B5794" s="1" t="n">
        <v>44869</v>
      </c>
      <c r="C5794" s="1" t="n">
        <v>45212</v>
      </c>
      <c r="D5794" t="inlineStr">
        <is>
          <t>VÄSTERNORRLANDS LÄN</t>
        </is>
      </c>
      <c r="E5794" t="inlineStr">
        <is>
          <t>SUNDSVALL</t>
        </is>
      </c>
      <c r="F5794" t="inlineStr">
        <is>
          <t>SCA</t>
        </is>
      </c>
      <c r="G5794" t="n">
        <v>11.3</v>
      </c>
      <c r="H5794" t="n">
        <v>0</v>
      </c>
      <c r="I5794" t="n">
        <v>0</v>
      </c>
      <c r="J5794" t="n">
        <v>0</v>
      </c>
      <c r="K5794" t="n">
        <v>0</v>
      </c>
      <c r="L5794" t="n">
        <v>0</v>
      </c>
      <c r="M5794" t="n">
        <v>0</v>
      </c>
      <c r="N5794" t="n">
        <v>0</v>
      </c>
      <c r="O5794" t="n">
        <v>0</v>
      </c>
      <c r="P5794" t="n">
        <v>0</v>
      </c>
      <c r="Q5794" t="n">
        <v>0</v>
      </c>
      <c r="R5794" s="2" t="inlineStr"/>
    </row>
    <row r="5795" ht="15" customHeight="1">
      <c r="A5795" t="inlineStr">
        <is>
          <t>A 52220-2022</t>
        </is>
      </c>
      <c r="B5795" s="1" t="n">
        <v>44869</v>
      </c>
      <c r="C5795" s="1" t="n">
        <v>45212</v>
      </c>
      <c r="D5795" t="inlineStr">
        <is>
          <t>VÄSTERNORRLANDS LÄN</t>
        </is>
      </c>
      <c r="E5795" t="inlineStr">
        <is>
          <t>TIMRÅ</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52406-2022</t>
        </is>
      </c>
      <c r="B5796" s="1" t="n">
        <v>44869</v>
      </c>
      <c r="C5796" s="1" t="n">
        <v>45212</v>
      </c>
      <c r="D5796" t="inlineStr">
        <is>
          <t>VÄSTERNORRLANDS LÄN</t>
        </is>
      </c>
      <c r="E5796" t="inlineStr">
        <is>
          <t>KRAMFORS</t>
        </is>
      </c>
      <c r="G5796" t="n">
        <v>13.2</v>
      </c>
      <c r="H5796" t="n">
        <v>0</v>
      </c>
      <c r="I5796" t="n">
        <v>0</v>
      </c>
      <c r="J5796" t="n">
        <v>0</v>
      </c>
      <c r="K5796" t="n">
        <v>0</v>
      </c>
      <c r="L5796" t="n">
        <v>0</v>
      </c>
      <c r="M5796" t="n">
        <v>0</v>
      </c>
      <c r="N5796" t="n">
        <v>0</v>
      </c>
      <c r="O5796" t="n">
        <v>0</v>
      </c>
      <c r="P5796" t="n">
        <v>0</v>
      </c>
      <c r="Q5796" t="n">
        <v>0</v>
      </c>
      <c r="R5796" s="2" t="inlineStr"/>
    </row>
    <row r="5797" ht="15" customHeight="1">
      <c r="A5797" t="inlineStr">
        <is>
          <t>A 51992-2022</t>
        </is>
      </c>
      <c r="B5797" s="1" t="n">
        <v>44872</v>
      </c>
      <c r="C5797" s="1" t="n">
        <v>45212</v>
      </c>
      <c r="D5797" t="inlineStr">
        <is>
          <t>VÄSTERNORRLANDS LÄN</t>
        </is>
      </c>
      <c r="E5797" t="inlineStr">
        <is>
          <t>ÖRNSKÖLDSVIK</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51997-2022</t>
        </is>
      </c>
      <c r="B5798" s="1" t="n">
        <v>44872</v>
      </c>
      <c r="C5798" s="1" t="n">
        <v>45212</v>
      </c>
      <c r="D5798" t="inlineStr">
        <is>
          <t>VÄSTERNORRLANDS LÄN</t>
        </is>
      </c>
      <c r="E5798" t="inlineStr">
        <is>
          <t>ÅNGE</t>
        </is>
      </c>
      <c r="G5798" t="n">
        <v>3.3</v>
      </c>
      <c r="H5798" t="n">
        <v>0</v>
      </c>
      <c r="I5798" t="n">
        <v>0</v>
      </c>
      <c r="J5798" t="n">
        <v>0</v>
      </c>
      <c r="K5798" t="n">
        <v>0</v>
      </c>
      <c r="L5798" t="n">
        <v>0</v>
      </c>
      <c r="M5798" t="n">
        <v>0</v>
      </c>
      <c r="N5798" t="n">
        <v>0</v>
      </c>
      <c r="O5798" t="n">
        <v>0</v>
      </c>
      <c r="P5798" t="n">
        <v>0</v>
      </c>
      <c r="Q5798" t="n">
        <v>0</v>
      </c>
      <c r="R5798" s="2" t="inlineStr"/>
    </row>
    <row r="5799" ht="15" customHeight="1">
      <c r="A5799" t="inlineStr">
        <is>
          <t>A 52005-2022</t>
        </is>
      </c>
      <c r="B5799" s="1" t="n">
        <v>44872</v>
      </c>
      <c r="C5799" s="1" t="n">
        <v>45212</v>
      </c>
      <c r="D5799" t="inlineStr">
        <is>
          <t>VÄSTERNORRLANDS LÄN</t>
        </is>
      </c>
      <c r="E5799" t="inlineStr">
        <is>
          <t>KRAMFORS</t>
        </is>
      </c>
      <c r="G5799" t="n">
        <v>2.4</v>
      </c>
      <c r="H5799" t="n">
        <v>0</v>
      </c>
      <c r="I5799" t="n">
        <v>0</v>
      </c>
      <c r="J5799" t="n">
        <v>0</v>
      </c>
      <c r="K5799" t="n">
        <v>0</v>
      </c>
      <c r="L5799" t="n">
        <v>0</v>
      </c>
      <c r="M5799" t="n">
        <v>0</v>
      </c>
      <c r="N5799" t="n">
        <v>0</v>
      </c>
      <c r="O5799" t="n">
        <v>0</v>
      </c>
      <c r="P5799" t="n">
        <v>0</v>
      </c>
      <c r="Q5799" t="n">
        <v>0</v>
      </c>
      <c r="R5799" s="2" t="inlineStr"/>
    </row>
    <row r="5800" ht="15" customHeight="1">
      <c r="A5800" t="inlineStr">
        <is>
          <t>A 52015-2022</t>
        </is>
      </c>
      <c r="B5800" s="1" t="n">
        <v>44872</v>
      </c>
      <c r="C5800" s="1" t="n">
        <v>45212</v>
      </c>
      <c r="D5800" t="inlineStr">
        <is>
          <t>VÄSTERNORRLANDS LÄN</t>
        </is>
      </c>
      <c r="E5800" t="inlineStr">
        <is>
          <t>ÅNGE</t>
        </is>
      </c>
      <c r="F5800" t="inlineStr">
        <is>
          <t>SCA</t>
        </is>
      </c>
      <c r="G5800" t="n">
        <v>4.1</v>
      </c>
      <c r="H5800" t="n">
        <v>0</v>
      </c>
      <c r="I5800" t="n">
        <v>0</v>
      </c>
      <c r="J5800" t="n">
        <v>0</v>
      </c>
      <c r="K5800" t="n">
        <v>0</v>
      </c>
      <c r="L5800" t="n">
        <v>0</v>
      </c>
      <c r="M5800" t="n">
        <v>0</v>
      </c>
      <c r="N5800" t="n">
        <v>0</v>
      </c>
      <c r="O5800" t="n">
        <v>0</v>
      </c>
      <c r="P5800" t="n">
        <v>0</v>
      </c>
      <c r="Q5800" t="n">
        <v>0</v>
      </c>
      <c r="R5800" s="2" t="inlineStr"/>
    </row>
    <row r="5801" ht="15" customHeight="1">
      <c r="A5801" t="inlineStr">
        <is>
          <t>A 52035-2022</t>
        </is>
      </c>
      <c r="B5801" s="1" t="n">
        <v>44872</v>
      </c>
      <c r="C5801" s="1" t="n">
        <v>45212</v>
      </c>
      <c r="D5801" t="inlineStr">
        <is>
          <t>VÄSTERNORRLANDS LÄN</t>
        </is>
      </c>
      <c r="E5801" t="inlineStr">
        <is>
          <t>SOLLEFTEÅ</t>
        </is>
      </c>
      <c r="F5801" t="inlineStr">
        <is>
          <t>SCA</t>
        </is>
      </c>
      <c r="G5801" t="n">
        <v>2.5</v>
      </c>
      <c r="H5801" t="n">
        <v>0</v>
      </c>
      <c r="I5801" t="n">
        <v>0</v>
      </c>
      <c r="J5801" t="n">
        <v>0</v>
      </c>
      <c r="K5801" t="n">
        <v>0</v>
      </c>
      <c r="L5801" t="n">
        <v>0</v>
      </c>
      <c r="M5801" t="n">
        <v>0</v>
      </c>
      <c r="N5801" t="n">
        <v>0</v>
      </c>
      <c r="O5801" t="n">
        <v>0</v>
      </c>
      <c r="P5801" t="n">
        <v>0</v>
      </c>
      <c r="Q5801" t="n">
        <v>0</v>
      </c>
      <c r="R5801" s="2" t="inlineStr"/>
    </row>
    <row r="5802" ht="15" customHeight="1">
      <c r="A5802" t="inlineStr">
        <is>
          <t>A 51630-2022</t>
        </is>
      </c>
      <c r="B5802" s="1" t="n">
        <v>44872</v>
      </c>
      <c r="C5802" s="1" t="n">
        <v>45212</v>
      </c>
      <c r="D5802" t="inlineStr">
        <is>
          <t>VÄSTERNORRLANDS LÄN</t>
        </is>
      </c>
      <c r="E5802" t="inlineStr">
        <is>
          <t>ÖRNSKÖLDSVIK</t>
        </is>
      </c>
      <c r="F5802" t="inlineStr">
        <is>
          <t>Holmen skog AB</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51996-2022</t>
        </is>
      </c>
      <c r="B5803" s="1" t="n">
        <v>44872</v>
      </c>
      <c r="C5803" s="1" t="n">
        <v>45212</v>
      </c>
      <c r="D5803" t="inlineStr">
        <is>
          <t>VÄSTERNORRLANDS LÄN</t>
        </is>
      </c>
      <c r="E5803" t="inlineStr">
        <is>
          <t>ÅNGE</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52002-2022</t>
        </is>
      </c>
      <c r="B5804" s="1" t="n">
        <v>44872</v>
      </c>
      <c r="C5804" s="1" t="n">
        <v>45212</v>
      </c>
      <c r="D5804" t="inlineStr">
        <is>
          <t>VÄSTERNORRLANDS LÄN</t>
        </is>
      </c>
      <c r="E5804" t="inlineStr">
        <is>
          <t>KRAMFORS</t>
        </is>
      </c>
      <c r="G5804" t="n">
        <v>7.7</v>
      </c>
      <c r="H5804" t="n">
        <v>0</v>
      </c>
      <c r="I5804" t="n">
        <v>0</v>
      </c>
      <c r="J5804" t="n">
        <v>0</v>
      </c>
      <c r="K5804" t="n">
        <v>0</v>
      </c>
      <c r="L5804" t="n">
        <v>0</v>
      </c>
      <c r="M5804" t="n">
        <v>0</v>
      </c>
      <c r="N5804" t="n">
        <v>0</v>
      </c>
      <c r="O5804" t="n">
        <v>0</v>
      </c>
      <c r="P5804" t="n">
        <v>0</v>
      </c>
      <c r="Q5804" t="n">
        <v>0</v>
      </c>
      <c r="R5804" s="2" t="inlineStr"/>
    </row>
    <row r="5805" ht="15" customHeight="1">
      <c r="A5805" t="inlineStr">
        <is>
          <t>A 52013-2022</t>
        </is>
      </c>
      <c r="B5805" s="1" t="n">
        <v>44872</v>
      </c>
      <c r="C5805" s="1" t="n">
        <v>45212</v>
      </c>
      <c r="D5805" t="inlineStr">
        <is>
          <t>VÄSTERNORRLANDS LÄN</t>
        </is>
      </c>
      <c r="E5805" t="inlineStr">
        <is>
          <t>SOLLEFTEÅ</t>
        </is>
      </c>
      <c r="F5805" t="inlineStr">
        <is>
          <t>SCA</t>
        </is>
      </c>
      <c r="G5805" t="n">
        <v>6.9</v>
      </c>
      <c r="H5805" t="n">
        <v>0</v>
      </c>
      <c r="I5805" t="n">
        <v>0</v>
      </c>
      <c r="J5805" t="n">
        <v>0</v>
      </c>
      <c r="K5805" t="n">
        <v>0</v>
      </c>
      <c r="L5805" t="n">
        <v>0</v>
      </c>
      <c r="M5805" t="n">
        <v>0</v>
      </c>
      <c r="N5805" t="n">
        <v>0</v>
      </c>
      <c r="O5805" t="n">
        <v>0</v>
      </c>
      <c r="P5805" t="n">
        <v>0</v>
      </c>
      <c r="Q5805" t="n">
        <v>0</v>
      </c>
      <c r="R5805" s="2" t="inlineStr"/>
    </row>
    <row r="5806" ht="15" customHeight="1">
      <c r="A5806" t="inlineStr">
        <is>
          <t>A 52034-2022</t>
        </is>
      </c>
      <c r="B5806" s="1" t="n">
        <v>44872</v>
      </c>
      <c r="C5806" s="1" t="n">
        <v>45212</v>
      </c>
      <c r="D5806" t="inlineStr">
        <is>
          <t>VÄSTERNORRLANDS LÄN</t>
        </is>
      </c>
      <c r="E5806" t="inlineStr">
        <is>
          <t>SOLLEFTEÅ</t>
        </is>
      </c>
      <c r="F5806" t="inlineStr">
        <is>
          <t>SCA</t>
        </is>
      </c>
      <c r="G5806" t="n">
        <v>0.7</v>
      </c>
      <c r="H5806" t="n">
        <v>0</v>
      </c>
      <c r="I5806" t="n">
        <v>0</v>
      </c>
      <c r="J5806" t="n">
        <v>0</v>
      </c>
      <c r="K5806" t="n">
        <v>0</v>
      </c>
      <c r="L5806" t="n">
        <v>0</v>
      </c>
      <c r="M5806" t="n">
        <v>0</v>
      </c>
      <c r="N5806" t="n">
        <v>0</v>
      </c>
      <c r="O5806" t="n">
        <v>0</v>
      </c>
      <c r="P5806" t="n">
        <v>0</v>
      </c>
      <c r="Q5806" t="n">
        <v>0</v>
      </c>
      <c r="R5806" s="2" t="inlineStr"/>
    </row>
    <row r="5807" ht="15" customHeight="1">
      <c r="A5807" t="inlineStr">
        <is>
          <t>A 52796-2022</t>
        </is>
      </c>
      <c r="B5807" s="1" t="n">
        <v>44872</v>
      </c>
      <c r="C5807" s="1" t="n">
        <v>45212</v>
      </c>
      <c r="D5807" t="inlineStr">
        <is>
          <t>VÄSTERNORRLANDS LÄN</t>
        </is>
      </c>
      <c r="E5807" t="inlineStr">
        <is>
          <t>ÖRNSKÖLDSVIK</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51920-2022</t>
        </is>
      </c>
      <c r="B5808" s="1" t="n">
        <v>44872</v>
      </c>
      <c r="C5808" s="1" t="n">
        <v>45212</v>
      </c>
      <c r="D5808" t="inlineStr">
        <is>
          <t>VÄSTERNORRLANDS LÄN</t>
        </is>
      </c>
      <c r="E5808" t="inlineStr">
        <is>
          <t>ÖRNSKÖLDSVIK</t>
        </is>
      </c>
      <c r="F5808" t="inlineStr">
        <is>
          <t>Holmen skog AB</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52000-2022</t>
        </is>
      </c>
      <c r="B5809" s="1" t="n">
        <v>44872</v>
      </c>
      <c r="C5809" s="1" t="n">
        <v>45212</v>
      </c>
      <c r="D5809" t="inlineStr">
        <is>
          <t>VÄSTERNORRLANDS LÄN</t>
        </is>
      </c>
      <c r="E5809" t="inlineStr">
        <is>
          <t>HÄRNÖSAND</t>
        </is>
      </c>
      <c r="G5809" t="n">
        <v>3</v>
      </c>
      <c r="H5809" t="n">
        <v>0</v>
      </c>
      <c r="I5809" t="n">
        <v>0</v>
      </c>
      <c r="J5809" t="n">
        <v>0</v>
      </c>
      <c r="K5809" t="n">
        <v>0</v>
      </c>
      <c r="L5809" t="n">
        <v>0</v>
      </c>
      <c r="M5809" t="n">
        <v>0</v>
      </c>
      <c r="N5809" t="n">
        <v>0</v>
      </c>
      <c r="O5809" t="n">
        <v>0</v>
      </c>
      <c r="P5809" t="n">
        <v>0</v>
      </c>
      <c r="Q5809" t="n">
        <v>0</v>
      </c>
      <c r="R5809" s="2" t="inlineStr"/>
    </row>
    <row r="5810" ht="15" customHeight="1">
      <c r="A5810" t="inlineStr">
        <is>
          <t>A 52010-2022</t>
        </is>
      </c>
      <c r="B5810" s="1" t="n">
        <v>44872</v>
      </c>
      <c r="C5810" s="1" t="n">
        <v>45212</v>
      </c>
      <c r="D5810" t="inlineStr">
        <is>
          <t>VÄSTERNORRLANDS LÄN</t>
        </is>
      </c>
      <c r="E5810" t="inlineStr">
        <is>
          <t>TIMRÅ</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51739-2022</t>
        </is>
      </c>
      <c r="B5811" s="1" t="n">
        <v>44872</v>
      </c>
      <c r="C5811" s="1" t="n">
        <v>45212</v>
      </c>
      <c r="D5811" t="inlineStr">
        <is>
          <t>VÄSTERNORRLANDS LÄN</t>
        </is>
      </c>
      <c r="E5811" t="inlineStr">
        <is>
          <t>SOLLEFTEÅ</t>
        </is>
      </c>
      <c r="G5811" t="n">
        <v>8.6</v>
      </c>
      <c r="H5811" t="n">
        <v>0</v>
      </c>
      <c r="I5811" t="n">
        <v>0</v>
      </c>
      <c r="J5811" t="n">
        <v>0</v>
      </c>
      <c r="K5811" t="n">
        <v>0</v>
      </c>
      <c r="L5811" t="n">
        <v>0</v>
      </c>
      <c r="M5811" t="n">
        <v>0</v>
      </c>
      <c r="N5811" t="n">
        <v>0</v>
      </c>
      <c r="O5811" t="n">
        <v>0</v>
      </c>
      <c r="P5811" t="n">
        <v>0</v>
      </c>
      <c r="Q5811" t="n">
        <v>0</v>
      </c>
      <c r="R5811" s="2" t="inlineStr"/>
    </row>
    <row r="5812" ht="15" customHeight="1">
      <c r="A5812" t="inlineStr">
        <is>
          <t>A 51832-2022</t>
        </is>
      </c>
      <c r="B5812" s="1" t="n">
        <v>44872</v>
      </c>
      <c r="C5812" s="1" t="n">
        <v>45212</v>
      </c>
      <c r="D5812" t="inlineStr">
        <is>
          <t>VÄSTERNORRLANDS LÄN</t>
        </is>
      </c>
      <c r="E5812" t="inlineStr">
        <is>
          <t>ÖRNSKÖLDSVIK</t>
        </is>
      </c>
      <c r="F5812" t="inlineStr">
        <is>
          <t>Holmen skog AB</t>
        </is>
      </c>
      <c r="G5812" t="n">
        <v>13.8</v>
      </c>
      <c r="H5812" t="n">
        <v>0</v>
      </c>
      <c r="I5812" t="n">
        <v>0</v>
      </c>
      <c r="J5812" t="n">
        <v>0</v>
      </c>
      <c r="K5812" t="n">
        <v>0</v>
      </c>
      <c r="L5812" t="n">
        <v>0</v>
      </c>
      <c r="M5812" t="n">
        <v>0</v>
      </c>
      <c r="N5812" t="n">
        <v>0</v>
      </c>
      <c r="O5812" t="n">
        <v>0</v>
      </c>
      <c r="P5812" t="n">
        <v>0</v>
      </c>
      <c r="Q5812" t="n">
        <v>0</v>
      </c>
      <c r="R5812" s="2" t="inlineStr"/>
    </row>
    <row r="5813" ht="15" customHeight="1">
      <c r="A5813" t="inlineStr">
        <is>
          <t>A 51999-2022</t>
        </is>
      </c>
      <c r="B5813" s="1" t="n">
        <v>44872</v>
      </c>
      <c r="C5813" s="1" t="n">
        <v>45212</v>
      </c>
      <c r="D5813" t="inlineStr">
        <is>
          <t>VÄSTERNORRLANDS LÄN</t>
        </is>
      </c>
      <c r="E5813" t="inlineStr">
        <is>
          <t>TIMRÅ</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52007-2022</t>
        </is>
      </c>
      <c r="B5814" s="1" t="n">
        <v>44872</v>
      </c>
      <c r="C5814" s="1" t="n">
        <v>45212</v>
      </c>
      <c r="D5814" t="inlineStr">
        <is>
          <t>VÄSTERNORRLANDS LÄN</t>
        </is>
      </c>
      <c r="E5814" t="inlineStr">
        <is>
          <t>KRAMFORS</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52016-2022</t>
        </is>
      </c>
      <c r="B5815" s="1" t="n">
        <v>44872</v>
      </c>
      <c r="C5815" s="1" t="n">
        <v>45212</v>
      </c>
      <c r="D5815" t="inlineStr">
        <is>
          <t>VÄSTERNORRLANDS LÄN</t>
        </is>
      </c>
      <c r="E5815" t="inlineStr">
        <is>
          <t>ÅNGE</t>
        </is>
      </c>
      <c r="F5815" t="inlineStr">
        <is>
          <t>SCA</t>
        </is>
      </c>
      <c r="G5815" t="n">
        <v>20.4</v>
      </c>
      <c r="H5815" t="n">
        <v>0</v>
      </c>
      <c r="I5815" t="n">
        <v>0</v>
      </c>
      <c r="J5815" t="n">
        <v>0</v>
      </c>
      <c r="K5815" t="n">
        <v>0</v>
      </c>
      <c r="L5815" t="n">
        <v>0</v>
      </c>
      <c r="M5815" t="n">
        <v>0</v>
      </c>
      <c r="N5815" t="n">
        <v>0</v>
      </c>
      <c r="O5815" t="n">
        <v>0</v>
      </c>
      <c r="P5815" t="n">
        <v>0</v>
      </c>
      <c r="Q5815" t="n">
        <v>0</v>
      </c>
      <c r="R5815" s="2" t="inlineStr"/>
    </row>
    <row r="5816" ht="15" customHeight="1">
      <c r="A5816" t="inlineStr">
        <is>
          <t>A 52039-2022</t>
        </is>
      </c>
      <c r="B5816" s="1" t="n">
        <v>44872</v>
      </c>
      <c r="C5816" s="1" t="n">
        <v>45212</v>
      </c>
      <c r="D5816" t="inlineStr">
        <is>
          <t>VÄSTERNORRLANDS LÄN</t>
        </is>
      </c>
      <c r="E5816" t="inlineStr">
        <is>
          <t>SOLLEFTEÅ</t>
        </is>
      </c>
      <c r="F5816" t="inlineStr">
        <is>
          <t>SCA</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53123-2022</t>
        </is>
      </c>
      <c r="B5817" s="1" t="n">
        <v>44873</v>
      </c>
      <c r="C5817" s="1" t="n">
        <v>45212</v>
      </c>
      <c r="D5817" t="inlineStr">
        <is>
          <t>VÄSTERNORRLANDS LÄN</t>
        </is>
      </c>
      <c r="E5817" t="inlineStr">
        <is>
          <t>SOLLEFTEÅ</t>
        </is>
      </c>
      <c r="G5817" t="n">
        <v>9.800000000000001</v>
      </c>
      <c r="H5817" t="n">
        <v>0</v>
      </c>
      <c r="I5817" t="n">
        <v>0</v>
      </c>
      <c r="J5817" t="n">
        <v>0</v>
      </c>
      <c r="K5817" t="n">
        <v>0</v>
      </c>
      <c r="L5817" t="n">
        <v>0</v>
      </c>
      <c r="M5817" t="n">
        <v>0</v>
      </c>
      <c r="N5817" t="n">
        <v>0</v>
      </c>
      <c r="O5817" t="n">
        <v>0</v>
      </c>
      <c r="P5817" t="n">
        <v>0</v>
      </c>
      <c r="Q5817" t="n">
        <v>0</v>
      </c>
      <c r="R5817" s="2" t="inlineStr"/>
    </row>
    <row r="5818" ht="15" customHeight="1">
      <c r="A5818" t="inlineStr">
        <is>
          <t>A 52194-2022</t>
        </is>
      </c>
      <c r="B5818" s="1" t="n">
        <v>44873</v>
      </c>
      <c r="C5818" s="1" t="n">
        <v>45212</v>
      </c>
      <c r="D5818" t="inlineStr">
        <is>
          <t>VÄSTERNORRLANDS LÄN</t>
        </is>
      </c>
      <c r="E5818" t="inlineStr">
        <is>
          <t>ÖRNSKÖLDSVIK</t>
        </is>
      </c>
      <c r="F5818" t="inlineStr">
        <is>
          <t>Holmen skog AB</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52334-2022</t>
        </is>
      </c>
      <c r="B5819" s="1" t="n">
        <v>44873</v>
      </c>
      <c r="C5819" s="1" t="n">
        <v>45212</v>
      </c>
      <c r="D5819" t="inlineStr">
        <is>
          <t>VÄSTERNORRLANDS LÄN</t>
        </is>
      </c>
      <c r="E5819" t="inlineStr">
        <is>
          <t>SUNDSVALL</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53128-2022</t>
        </is>
      </c>
      <c r="B5820" s="1" t="n">
        <v>44873</v>
      </c>
      <c r="C5820" s="1" t="n">
        <v>45212</v>
      </c>
      <c r="D5820" t="inlineStr">
        <is>
          <t>VÄSTERNORRLANDS LÄN</t>
        </is>
      </c>
      <c r="E5820" t="inlineStr">
        <is>
          <t>SOLLEFTEÅ</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52335-2022</t>
        </is>
      </c>
      <c r="B5821" s="1" t="n">
        <v>44873</v>
      </c>
      <c r="C5821" s="1" t="n">
        <v>45212</v>
      </c>
      <c r="D5821" t="inlineStr">
        <is>
          <t>VÄSTERNORRLANDS LÄN</t>
        </is>
      </c>
      <c r="E5821" t="inlineStr">
        <is>
          <t>KRAMFORS</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52948-2022</t>
        </is>
      </c>
      <c r="B5822" s="1" t="n">
        <v>44873</v>
      </c>
      <c r="C5822" s="1" t="n">
        <v>45212</v>
      </c>
      <c r="D5822" t="inlineStr">
        <is>
          <t>VÄSTERNORRLANDS LÄN</t>
        </is>
      </c>
      <c r="E5822" t="inlineStr">
        <is>
          <t>ÖRNSKÖLDSVIK</t>
        </is>
      </c>
      <c r="G5822" t="n">
        <v>4.2</v>
      </c>
      <c r="H5822" t="n">
        <v>0</v>
      </c>
      <c r="I5822" t="n">
        <v>0</v>
      </c>
      <c r="J5822" t="n">
        <v>0</v>
      </c>
      <c r="K5822" t="n">
        <v>0</v>
      </c>
      <c r="L5822" t="n">
        <v>0</v>
      </c>
      <c r="M5822" t="n">
        <v>0</v>
      </c>
      <c r="N5822" t="n">
        <v>0</v>
      </c>
      <c r="O5822" t="n">
        <v>0</v>
      </c>
      <c r="P5822" t="n">
        <v>0</v>
      </c>
      <c r="Q5822" t="n">
        <v>0</v>
      </c>
      <c r="R5822" s="2" t="inlineStr"/>
    </row>
    <row r="5823" ht="15" customHeight="1">
      <c r="A5823" t="inlineStr">
        <is>
          <t>A 53095-2022</t>
        </is>
      </c>
      <c r="B5823" s="1" t="n">
        <v>44873</v>
      </c>
      <c r="C5823" s="1" t="n">
        <v>45212</v>
      </c>
      <c r="D5823" t="inlineStr">
        <is>
          <t>VÄSTERNORRLANDS LÄN</t>
        </is>
      </c>
      <c r="E5823" t="inlineStr">
        <is>
          <t>ÖRNSKÖLDSVIK</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52346-2022</t>
        </is>
      </c>
      <c r="B5824" s="1" t="n">
        <v>44873</v>
      </c>
      <c r="C5824" s="1" t="n">
        <v>45212</v>
      </c>
      <c r="D5824" t="inlineStr">
        <is>
          <t>VÄSTERNORRLANDS LÄN</t>
        </is>
      </c>
      <c r="E5824" t="inlineStr">
        <is>
          <t>ÅNGE</t>
        </is>
      </c>
      <c r="F5824" t="inlineStr">
        <is>
          <t>SCA</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52467-2022</t>
        </is>
      </c>
      <c r="B5825" s="1" t="n">
        <v>44874</v>
      </c>
      <c r="C5825" s="1" t="n">
        <v>45212</v>
      </c>
      <c r="D5825" t="inlineStr">
        <is>
          <t>VÄSTERNORRLANDS LÄN</t>
        </is>
      </c>
      <c r="E5825" t="inlineStr">
        <is>
          <t>ÖRNSKÖLDSVIK</t>
        </is>
      </c>
      <c r="F5825" t="inlineStr">
        <is>
          <t>Holmen skog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52701-2022</t>
        </is>
      </c>
      <c r="B5826" s="1" t="n">
        <v>44874</v>
      </c>
      <c r="C5826" s="1" t="n">
        <v>45212</v>
      </c>
      <c r="D5826" t="inlineStr">
        <is>
          <t>VÄSTERNORRLANDS LÄN</t>
        </is>
      </c>
      <c r="E5826" t="inlineStr">
        <is>
          <t>KRAMFORS</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52740-2022</t>
        </is>
      </c>
      <c r="B5827" s="1" t="n">
        <v>44874</v>
      </c>
      <c r="C5827" s="1" t="n">
        <v>45212</v>
      </c>
      <c r="D5827" t="inlineStr">
        <is>
          <t>VÄSTERNORRLANDS LÄN</t>
        </is>
      </c>
      <c r="E5827" t="inlineStr">
        <is>
          <t>SUNDSVALL</t>
        </is>
      </c>
      <c r="F5827" t="inlineStr">
        <is>
          <t>SCA</t>
        </is>
      </c>
      <c r="G5827" t="n">
        <v>5.5</v>
      </c>
      <c r="H5827" t="n">
        <v>0</v>
      </c>
      <c r="I5827" t="n">
        <v>0</v>
      </c>
      <c r="J5827" t="n">
        <v>0</v>
      </c>
      <c r="K5827" t="n">
        <v>0</v>
      </c>
      <c r="L5827" t="n">
        <v>0</v>
      </c>
      <c r="M5827" t="n">
        <v>0</v>
      </c>
      <c r="N5827" t="n">
        <v>0</v>
      </c>
      <c r="O5827" t="n">
        <v>0</v>
      </c>
      <c r="P5827" t="n">
        <v>0</v>
      </c>
      <c r="Q5827" t="n">
        <v>0</v>
      </c>
      <c r="R5827" s="2" t="inlineStr"/>
    </row>
    <row r="5828" ht="15" customHeight="1">
      <c r="A5828" t="inlineStr">
        <is>
          <t>A 52703-2022</t>
        </is>
      </c>
      <c r="B5828" s="1" t="n">
        <v>44874</v>
      </c>
      <c r="C5828" s="1" t="n">
        <v>45212</v>
      </c>
      <c r="D5828" t="inlineStr">
        <is>
          <t>VÄSTERNORRLANDS LÄN</t>
        </is>
      </c>
      <c r="E5828" t="inlineStr">
        <is>
          <t>KRAMFORS</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52718-2022</t>
        </is>
      </c>
      <c r="B5829" s="1" t="n">
        <v>44874</v>
      </c>
      <c r="C5829" s="1" t="n">
        <v>45212</v>
      </c>
      <c r="D5829" t="inlineStr">
        <is>
          <t>VÄSTERNORRLANDS LÄN</t>
        </is>
      </c>
      <c r="E5829" t="inlineStr">
        <is>
          <t>SOLLEFTEÅ</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52742-2022</t>
        </is>
      </c>
      <c r="B5830" s="1" t="n">
        <v>44874</v>
      </c>
      <c r="C5830" s="1" t="n">
        <v>45212</v>
      </c>
      <c r="D5830" t="inlineStr">
        <is>
          <t>VÄSTERNORRLANDS LÄN</t>
        </is>
      </c>
      <c r="E5830" t="inlineStr">
        <is>
          <t>SUNDSVALL</t>
        </is>
      </c>
      <c r="F5830" t="inlineStr">
        <is>
          <t>SCA</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52572-2022</t>
        </is>
      </c>
      <c r="B5831" s="1" t="n">
        <v>44874</v>
      </c>
      <c r="C5831" s="1" t="n">
        <v>45212</v>
      </c>
      <c r="D5831" t="inlineStr">
        <is>
          <t>VÄSTERNORRLANDS LÄN</t>
        </is>
      </c>
      <c r="E5831" t="inlineStr">
        <is>
          <t>ÖRNSKÖLDSVIK</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52702-2022</t>
        </is>
      </c>
      <c r="B5832" s="1" t="n">
        <v>44874</v>
      </c>
      <c r="C5832" s="1" t="n">
        <v>45212</v>
      </c>
      <c r="D5832" t="inlineStr">
        <is>
          <t>VÄSTERNORRLANDS LÄN</t>
        </is>
      </c>
      <c r="E5832" t="inlineStr">
        <is>
          <t>KRAMFORS</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52717-2022</t>
        </is>
      </c>
      <c r="B5833" s="1" t="n">
        <v>44874</v>
      </c>
      <c r="C5833" s="1" t="n">
        <v>45212</v>
      </c>
      <c r="D5833" t="inlineStr">
        <is>
          <t>VÄSTERNORRLANDS LÄN</t>
        </is>
      </c>
      <c r="E5833" t="inlineStr">
        <is>
          <t>SOLLEFTEÅ</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52748-2022</t>
        </is>
      </c>
      <c r="B5834" s="1" t="n">
        <v>44874</v>
      </c>
      <c r="C5834" s="1" t="n">
        <v>45212</v>
      </c>
      <c r="D5834" t="inlineStr">
        <is>
          <t>VÄSTERNORRLANDS LÄN</t>
        </is>
      </c>
      <c r="E5834" t="inlineStr">
        <is>
          <t>ÖRNSKÖLDSVIK</t>
        </is>
      </c>
      <c r="F5834" t="inlineStr">
        <is>
          <t>SCA</t>
        </is>
      </c>
      <c r="G5834" t="n">
        <v>2.5</v>
      </c>
      <c r="H5834" t="n">
        <v>0</v>
      </c>
      <c r="I5834" t="n">
        <v>0</v>
      </c>
      <c r="J5834" t="n">
        <v>0</v>
      </c>
      <c r="K5834" t="n">
        <v>0</v>
      </c>
      <c r="L5834" t="n">
        <v>0</v>
      </c>
      <c r="M5834" t="n">
        <v>0</v>
      </c>
      <c r="N5834" t="n">
        <v>0</v>
      </c>
      <c r="O5834" t="n">
        <v>0</v>
      </c>
      <c r="P5834" t="n">
        <v>0</v>
      </c>
      <c r="Q5834" t="n">
        <v>0</v>
      </c>
      <c r="R5834" s="2" t="inlineStr"/>
    </row>
    <row r="5835" ht="15" customHeight="1">
      <c r="A5835" t="inlineStr">
        <is>
          <t>A 52549-2022</t>
        </is>
      </c>
      <c r="B5835" s="1" t="n">
        <v>44874</v>
      </c>
      <c r="C5835" s="1" t="n">
        <v>45212</v>
      </c>
      <c r="D5835" t="inlineStr">
        <is>
          <t>VÄSTERNORRLANDS LÄN</t>
        </is>
      </c>
      <c r="E5835" t="inlineStr">
        <is>
          <t>SOLLEFTEÅ</t>
        </is>
      </c>
      <c r="F5835" t="inlineStr">
        <is>
          <t>Holmen skog AB</t>
        </is>
      </c>
      <c r="G5835" t="n">
        <v>7.4</v>
      </c>
      <c r="H5835" t="n">
        <v>0</v>
      </c>
      <c r="I5835" t="n">
        <v>0</v>
      </c>
      <c r="J5835" t="n">
        <v>0</v>
      </c>
      <c r="K5835" t="n">
        <v>0</v>
      </c>
      <c r="L5835" t="n">
        <v>0</v>
      </c>
      <c r="M5835" t="n">
        <v>0</v>
      </c>
      <c r="N5835" t="n">
        <v>0</v>
      </c>
      <c r="O5835" t="n">
        <v>0</v>
      </c>
      <c r="P5835" t="n">
        <v>0</v>
      </c>
      <c r="Q5835" t="n">
        <v>0</v>
      </c>
      <c r="R5835" s="2" t="inlineStr"/>
    </row>
    <row r="5836" ht="15" customHeight="1">
      <c r="A5836" t="inlineStr">
        <is>
          <t>A 52575-2022</t>
        </is>
      </c>
      <c r="B5836" s="1" t="n">
        <v>44874</v>
      </c>
      <c r="C5836" s="1" t="n">
        <v>45212</v>
      </c>
      <c r="D5836" t="inlineStr">
        <is>
          <t>VÄSTERNORRLANDS LÄN</t>
        </is>
      </c>
      <c r="E5836" t="inlineStr">
        <is>
          <t>ÖRNSKÖLDSVIK</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52595-2022</t>
        </is>
      </c>
      <c r="B5837" s="1" t="n">
        <v>44874</v>
      </c>
      <c r="C5837" s="1" t="n">
        <v>45212</v>
      </c>
      <c r="D5837" t="inlineStr">
        <is>
          <t>VÄSTERNORRLANDS LÄN</t>
        </is>
      </c>
      <c r="E5837" t="inlineStr">
        <is>
          <t>SOLLEFTEÅ</t>
        </is>
      </c>
      <c r="F5837" t="inlineStr">
        <is>
          <t>Holmen skog AB</t>
        </is>
      </c>
      <c r="G5837" t="n">
        <v>3</v>
      </c>
      <c r="H5837" t="n">
        <v>0</v>
      </c>
      <c r="I5837" t="n">
        <v>0</v>
      </c>
      <c r="J5837" t="n">
        <v>0</v>
      </c>
      <c r="K5837" t="n">
        <v>0</v>
      </c>
      <c r="L5837" t="n">
        <v>0</v>
      </c>
      <c r="M5837" t="n">
        <v>0</v>
      </c>
      <c r="N5837" t="n">
        <v>0</v>
      </c>
      <c r="O5837" t="n">
        <v>0</v>
      </c>
      <c r="P5837" t="n">
        <v>0</v>
      </c>
      <c r="Q5837" t="n">
        <v>0</v>
      </c>
      <c r="R5837" s="2" t="inlineStr"/>
    </row>
    <row r="5838" ht="15" customHeight="1">
      <c r="A5838" t="inlineStr">
        <is>
          <t>A 52700-2022</t>
        </is>
      </c>
      <c r="B5838" s="1" t="n">
        <v>44874</v>
      </c>
      <c r="C5838" s="1" t="n">
        <v>45212</v>
      </c>
      <c r="D5838" t="inlineStr">
        <is>
          <t>VÄSTERNORRLANDS LÄN</t>
        </is>
      </c>
      <c r="E5838" t="inlineStr">
        <is>
          <t>HÄRNÖSAND</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52706-2022</t>
        </is>
      </c>
      <c r="B5839" s="1" t="n">
        <v>44874</v>
      </c>
      <c r="C5839" s="1" t="n">
        <v>45212</v>
      </c>
      <c r="D5839" t="inlineStr">
        <is>
          <t>VÄSTERNORRLANDS LÄN</t>
        </is>
      </c>
      <c r="E5839" t="inlineStr">
        <is>
          <t>SUNDSVALL</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52760-2022</t>
        </is>
      </c>
      <c r="B5840" s="1" t="n">
        <v>44875</v>
      </c>
      <c r="C5840" s="1" t="n">
        <v>45212</v>
      </c>
      <c r="D5840" t="inlineStr">
        <is>
          <t>VÄSTERNORRLANDS LÄN</t>
        </is>
      </c>
      <c r="E5840" t="inlineStr">
        <is>
          <t>ÖRNSKÖLDSVIK</t>
        </is>
      </c>
      <c r="F5840" t="inlineStr">
        <is>
          <t>Holmen skog AB</t>
        </is>
      </c>
      <c r="G5840" t="n">
        <v>2.6</v>
      </c>
      <c r="H5840" t="n">
        <v>0</v>
      </c>
      <c r="I5840" t="n">
        <v>0</v>
      </c>
      <c r="J5840" t="n">
        <v>0</v>
      </c>
      <c r="K5840" t="n">
        <v>0</v>
      </c>
      <c r="L5840" t="n">
        <v>0</v>
      </c>
      <c r="M5840" t="n">
        <v>0</v>
      </c>
      <c r="N5840" t="n">
        <v>0</v>
      </c>
      <c r="O5840" t="n">
        <v>0</v>
      </c>
      <c r="P5840" t="n">
        <v>0</v>
      </c>
      <c r="Q5840" t="n">
        <v>0</v>
      </c>
      <c r="R5840" s="2" t="inlineStr"/>
    </row>
    <row r="5841" ht="15" customHeight="1">
      <c r="A5841" t="inlineStr">
        <is>
          <t>A 53001-2022</t>
        </is>
      </c>
      <c r="B5841" s="1" t="n">
        <v>44875</v>
      </c>
      <c r="C5841" s="1" t="n">
        <v>45212</v>
      </c>
      <c r="D5841" t="inlineStr">
        <is>
          <t>VÄSTERNORRLANDS LÄN</t>
        </is>
      </c>
      <c r="E5841" t="inlineStr">
        <is>
          <t>SUNDSVALL</t>
        </is>
      </c>
      <c r="F5841" t="inlineStr">
        <is>
          <t>SCA</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53009-2022</t>
        </is>
      </c>
      <c r="B5842" s="1" t="n">
        <v>44875</v>
      </c>
      <c r="C5842" s="1" t="n">
        <v>45212</v>
      </c>
      <c r="D5842" t="inlineStr">
        <is>
          <t>VÄSTERNORRLANDS LÄN</t>
        </is>
      </c>
      <c r="E5842" t="inlineStr">
        <is>
          <t>HÄRNÖSAND</t>
        </is>
      </c>
      <c r="F5842" t="inlineStr">
        <is>
          <t>SCA</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53008-2022</t>
        </is>
      </c>
      <c r="B5843" s="1" t="n">
        <v>44875</v>
      </c>
      <c r="C5843" s="1" t="n">
        <v>45212</v>
      </c>
      <c r="D5843" t="inlineStr">
        <is>
          <t>VÄSTERNORRLANDS LÄN</t>
        </is>
      </c>
      <c r="E5843" t="inlineStr">
        <is>
          <t>HÄRNÖSAND</t>
        </is>
      </c>
      <c r="F5843" t="inlineStr">
        <is>
          <t>SCA</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53003-2022</t>
        </is>
      </c>
      <c r="B5844" s="1" t="n">
        <v>44875</v>
      </c>
      <c r="C5844" s="1" t="n">
        <v>45212</v>
      </c>
      <c r="D5844" t="inlineStr">
        <is>
          <t>VÄSTERNORRLANDS LÄN</t>
        </is>
      </c>
      <c r="E5844" t="inlineStr">
        <is>
          <t>SUNDSVALL</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53010-2022</t>
        </is>
      </c>
      <c r="B5845" s="1" t="n">
        <v>44875</v>
      </c>
      <c r="C5845" s="1" t="n">
        <v>45212</v>
      </c>
      <c r="D5845" t="inlineStr">
        <is>
          <t>VÄSTERNORRLANDS LÄN</t>
        </is>
      </c>
      <c r="E5845" t="inlineStr">
        <is>
          <t>ÅNGE</t>
        </is>
      </c>
      <c r="F5845" t="inlineStr">
        <is>
          <t>SCA</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53023-2022</t>
        </is>
      </c>
      <c r="B5846" s="1" t="n">
        <v>44875</v>
      </c>
      <c r="C5846" s="1" t="n">
        <v>45212</v>
      </c>
      <c r="D5846" t="inlineStr">
        <is>
          <t>VÄSTERNORRLANDS LÄN</t>
        </is>
      </c>
      <c r="E5846" t="inlineStr">
        <is>
          <t>SUNDSVALL</t>
        </is>
      </c>
      <c r="F5846" t="inlineStr">
        <is>
          <t>SCA</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52865-2022</t>
        </is>
      </c>
      <c r="B5847" s="1" t="n">
        <v>44875</v>
      </c>
      <c r="C5847" s="1" t="n">
        <v>45212</v>
      </c>
      <c r="D5847" t="inlineStr">
        <is>
          <t>VÄSTERNORRLANDS LÄN</t>
        </is>
      </c>
      <c r="E5847" t="inlineStr">
        <is>
          <t>ÖRNSKÖLDSVIK</t>
        </is>
      </c>
      <c r="F5847" t="inlineStr">
        <is>
          <t>Holmen skog AB</t>
        </is>
      </c>
      <c r="G5847" t="n">
        <v>7.1</v>
      </c>
      <c r="H5847" t="n">
        <v>0</v>
      </c>
      <c r="I5847" t="n">
        <v>0</v>
      </c>
      <c r="J5847" t="n">
        <v>0</v>
      </c>
      <c r="K5847" t="n">
        <v>0</v>
      </c>
      <c r="L5847" t="n">
        <v>0</v>
      </c>
      <c r="M5847" t="n">
        <v>0</v>
      </c>
      <c r="N5847" t="n">
        <v>0</v>
      </c>
      <c r="O5847" t="n">
        <v>0</v>
      </c>
      <c r="P5847" t="n">
        <v>0</v>
      </c>
      <c r="Q5847" t="n">
        <v>0</v>
      </c>
      <c r="R5847" s="2" t="inlineStr"/>
    </row>
    <row r="5848" ht="15" customHeight="1">
      <c r="A5848" t="inlineStr">
        <is>
          <t>A 52987-2022</t>
        </is>
      </c>
      <c r="B5848" s="1" t="n">
        <v>44875</v>
      </c>
      <c r="C5848" s="1" t="n">
        <v>45212</v>
      </c>
      <c r="D5848" t="inlineStr">
        <is>
          <t>VÄSTERNORRLANDS LÄN</t>
        </is>
      </c>
      <c r="E5848" t="inlineStr">
        <is>
          <t>HÄRNÖSAND</t>
        </is>
      </c>
      <c r="G5848" t="n">
        <v>3.5</v>
      </c>
      <c r="H5848" t="n">
        <v>0</v>
      </c>
      <c r="I5848" t="n">
        <v>0</v>
      </c>
      <c r="J5848" t="n">
        <v>0</v>
      </c>
      <c r="K5848" t="n">
        <v>0</v>
      </c>
      <c r="L5848" t="n">
        <v>0</v>
      </c>
      <c r="M5848" t="n">
        <v>0</v>
      </c>
      <c r="N5848" t="n">
        <v>0</v>
      </c>
      <c r="O5848" t="n">
        <v>0</v>
      </c>
      <c r="P5848" t="n">
        <v>0</v>
      </c>
      <c r="Q5848" t="n">
        <v>0</v>
      </c>
      <c r="R5848" s="2" t="inlineStr"/>
    </row>
    <row r="5849" ht="15" customHeight="1">
      <c r="A5849" t="inlineStr">
        <is>
          <t>A 53272-2022</t>
        </is>
      </c>
      <c r="B5849" s="1" t="n">
        <v>44876</v>
      </c>
      <c r="C5849" s="1" t="n">
        <v>45212</v>
      </c>
      <c r="D5849" t="inlineStr">
        <is>
          <t>VÄSTERNORRLANDS LÄN</t>
        </is>
      </c>
      <c r="E5849" t="inlineStr">
        <is>
          <t>SUNDSVALL</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53147-2022</t>
        </is>
      </c>
      <c r="B5850" s="1" t="n">
        <v>44876</v>
      </c>
      <c r="C5850" s="1" t="n">
        <v>45212</v>
      </c>
      <c r="D5850" t="inlineStr">
        <is>
          <t>VÄSTERNORRLANDS LÄN</t>
        </is>
      </c>
      <c r="E5850" t="inlineStr">
        <is>
          <t>ÖRNSKÖLDSVIK</t>
        </is>
      </c>
      <c r="F5850" t="inlineStr">
        <is>
          <t>Holmen skog AB</t>
        </is>
      </c>
      <c r="G5850" t="n">
        <v>7.3</v>
      </c>
      <c r="H5850" t="n">
        <v>0</v>
      </c>
      <c r="I5850" t="n">
        <v>0</v>
      </c>
      <c r="J5850" t="n">
        <v>0</v>
      </c>
      <c r="K5850" t="n">
        <v>0</v>
      </c>
      <c r="L5850" t="n">
        <v>0</v>
      </c>
      <c r="M5850" t="n">
        <v>0</v>
      </c>
      <c r="N5850" t="n">
        <v>0</v>
      </c>
      <c r="O5850" t="n">
        <v>0</v>
      </c>
      <c r="P5850" t="n">
        <v>0</v>
      </c>
      <c r="Q5850" t="n">
        <v>0</v>
      </c>
      <c r="R5850" s="2" t="inlineStr"/>
    </row>
    <row r="5851" ht="15" customHeight="1">
      <c r="A5851" t="inlineStr">
        <is>
          <t>A 53223-2022</t>
        </is>
      </c>
      <c r="B5851" s="1" t="n">
        <v>44876</v>
      </c>
      <c r="C5851" s="1" t="n">
        <v>45212</v>
      </c>
      <c r="D5851" t="inlineStr">
        <is>
          <t>VÄSTERNORRLANDS LÄN</t>
        </is>
      </c>
      <c r="E5851" t="inlineStr">
        <is>
          <t>ÖRNSKÖLDSVIK</t>
        </is>
      </c>
      <c r="F5851" t="inlineStr">
        <is>
          <t>Holmen skog AB</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53810-2022</t>
        </is>
      </c>
      <c r="B5852" s="1" t="n">
        <v>44876</v>
      </c>
      <c r="C5852" s="1" t="n">
        <v>45212</v>
      </c>
      <c r="D5852" t="inlineStr">
        <is>
          <t>VÄSTERNORRLANDS LÄN</t>
        </is>
      </c>
      <c r="E5852" t="inlineStr">
        <is>
          <t>KRAMFORS</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53385-2022</t>
        </is>
      </c>
      <c r="B5853" s="1" t="n">
        <v>44879</v>
      </c>
      <c r="C5853" s="1" t="n">
        <v>45212</v>
      </c>
      <c r="D5853" t="inlineStr">
        <is>
          <t>VÄSTERNORRLANDS LÄN</t>
        </is>
      </c>
      <c r="E5853" t="inlineStr">
        <is>
          <t>KRAMFORS</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53647-2022</t>
        </is>
      </c>
      <c r="B5854" s="1" t="n">
        <v>44879</v>
      </c>
      <c r="C5854" s="1" t="n">
        <v>45212</v>
      </c>
      <c r="D5854" t="inlineStr">
        <is>
          <t>VÄSTERNORRLANDS LÄN</t>
        </is>
      </c>
      <c r="E5854" t="inlineStr">
        <is>
          <t>SUNDSVALL</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54333-2022</t>
        </is>
      </c>
      <c r="B5855" s="1" t="n">
        <v>44879</v>
      </c>
      <c r="C5855" s="1" t="n">
        <v>45212</v>
      </c>
      <c r="D5855" t="inlineStr">
        <is>
          <t>VÄSTERNORRLANDS LÄN</t>
        </is>
      </c>
      <c r="E5855" t="inlineStr">
        <is>
          <t>ÖRNSKÖLDSVIK</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53439-2022</t>
        </is>
      </c>
      <c r="B5856" s="1" t="n">
        <v>44879</v>
      </c>
      <c r="C5856" s="1" t="n">
        <v>45212</v>
      </c>
      <c r="D5856" t="inlineStr">
        <is>
          <t>VÄSTERNORRLANDS LÄN</t>
        </is>
      </c>
      <c r="E5856" t="inlineStr">
        <is>
          <t>ÅNGE</t>
        </is>
      </c>
      <c r="F5856" t="inlineStr">
        <is>
          <t>Holmen skog AB</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53645-2022</t>
        </is>
      </c>
      <c r="B5857" s="1" t="n">
        <v>44879</v>
      </c>
      <c r="C5857" s="1" t="n">
        <v>45212</v>
      </c>
      <c r="D5857" t="inlineStr">
        <is>
          <t>VÄSTERNORRLANDS LÄN</t>
        </is>
      </c>
      <c r="E5857" t="inlineStr">
        <is>
          <t>SUNDSVALL</t>
        </is>
      </c>
      <c r="G5857" t="n">
        <v>0.2</v>
      </c>
      <c r="H5857" t="n">
        <v>0</v>
      </c>
      <c r="I5857" t="n">
        <v>0</v>
      </c>
      <c r="J5857" t="n">
        <v>0</v>
      </c>
      <c r="K5857" t="n">
        <v>0</v>
      </c>
      <c r="L5857" t="n">
        <v>0</v>
      </c>
      <c r="M5857" t="n">
        <v>0</v>
      </c>
      <c r="N5857" t="n">
        <v>0</v>
      </c>
      <c r="O5857" t="n">
        <v>0</v>
      </c>
      <c r="P5857" t="n">
        <v>0</v>
      </c>
      <c r="Q5857" t="n">
        <v>0</v>
      </c>
      <c r="R5857" s="2" t="inlineStr"/>
    </row>
    <row r="5858" ht="15" customHeight="1">
      <c r="A5858" t="inlineStr">
        <is>
          <t>A 53649-2022</t>
        </is>
      </c>
      <c r="B5858" s="1" t="n">
        <v>44879</v>
      </c>
      <c r="C5858" s="1" t="n">
        <v>45212</v>
      </c>
      <c r="D5858" t="inlineStr">
        <is>
          <t>VÄSTERNORRLANDS LÄN</t>
        </is>
      </c>
      <c r="E5858" t="inlineStr">
        <is>
          <t>SUNDSVALL</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53656-2022</t>
        </is>
      </c>
      <c r="B5859" s="1" t="n">
        <v>44879</v>
      </c>
      <c r="C5859" s="1" t="n">
        <v>45212</v>
      </c>
      <c r="D5859" t="inlineStr">
        <is>
          <t>VÄSTERNORRLANDS LÄN</t>
        </is>
      </c>
      <c r="E5859" t="inlineStr">
        <is>
          <t>SOLLEFTEÅ</t>
        </is>
      </c>
      <c r="F5859" t="inlineStr">
        <is>
          <t>SCA</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53663-2022</t>
        </is>
      </c>
      <c r="B5860" s="1" t="n">
        <v>44879</v>
      </c>
      <c r="C5860" s="1" t="n">
        <v>45212</v>
      </c>
      <c r="D5860" t="inlineStr">
        <is>
          <t>VÄSTERNORRLANDS LÄN</t>
        </is>
      </c>
      <c r="E5860" t="inlineStr">
        <is>
          <t>ÅNGE</t>
        </is>
      </c>
      <c r="F5860" t="inlineStr">
        <is>
          <t>SCA</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54325-2022</t>
        </is>
      </c>
      <c r="B5861" s="1" t="n">
        <v>44879</v>
      </c>
      <c r="C5861" s="1" t="n">
        <v>45212</v>
      </c>
      <c r="D5861" t="inlineStr">
        <is>
          <t>VÄSTERNORRLANDS LÄN</t>
        </is>
      </c>
      <c r="E5861" t="inlineStr">
        <is>
          <t>ÖRNSKÖLDSVIK</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53791-2022</t>
        </is>
      </c>
      <c r="B5862" s="1" t="n">
        <v>44880</v>
      </c>
      <c r="C5862" s="1" t="n">
        <v>45212</v>
      </c>
      <c r="D5862" t="inlineStr">
        <is>
          <t>VÄSTERNORRLANDS LÄN</t>
        </is>
      </c>
      <c r="E5862" t="inlineStr">
        <is>
          <t>ÖRNSKÖLDSVIK</t>
        </is>
      </c>
      <c r="F5862" t="inlineStr">
        <is>
          <t>Holmen skog AB</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53854-2022</t>
        </is>
      </c>
      <c r="B5863" s="1" t="n">
        <v>44880</v>
      </c>
      <c r="C5863" s="1" t="n">
        <v>45212</v>
      </c>
      <c r="D5863" t="inlineStr">
        <is>
          <t>VÄSTERNORRLANDS LÄN</t>
        </is>
      </c>
      <c r="E5863" t="inlineStr">
        <is>
          <t>ÅNGE</t>
        </is>
      </c>
      <c r="G5863" t="n">
        <v>2.2</v>
      </c>
      <c r="H5863" t="n">
        <v>0</v>
      </c>
      <c r="I5863" t="n">
        <v>0</v>
      </c>
      <c r="J5863" t="n">
        <v>0</v>
      </c>
      <c r="K5863" t="n">
        <v>0</v>
      </c>
      <c r="L5863" t="n">
        <v>0</v>
      </c>
      <c r="M5863" t="n">
        <v>0</v>
      </c>
      <c r="N5863" t="n">
        <v>0</v>
      </c>
      <c r="O5863" t="n">
        <v>0</v>
      </c>
      <c r="P5863" t="n">
        <v>0</v>
      </c>
      <c r="Q5863" t="n">
        <v>0</v>
      </c>
      <c r="R5863" s="2" t="inlineStr"/>
    </row>
    <row r="5864" ht="15" customHeight="1">
      <c r="A5864" t="inlineStr">
        <is>
          <t>A 53929-2022</t>
        </is>
      </c>
      <c r="B5864" s="1" t="n">
        <v>44880</v>
      </c>
      <c r="C5864" s="1" t="n">
        <v>45212</v>
      </c>
      <c r="D5864" t="inlineStr">
        <is>
          <t>VÄSTERNORRLANDS LÄN</t>
        </is>
      </c>
      <c r="E5864" t="inlineStr">
        <is>
          <t>SOLLEFTEÅ</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53949-2022</t>
        </is>
      </c>
      <c r="B5865" s="1" t="n">
        <v>44880</v>
      </c>
      <c r="C5865" s="1" t="n">
        <v>45212</v>
      </c>
      <c r="D5865" t="inlineStr">
        <is>
          <t>VÄSTERNORRLANDS LÄN</t>
        </is>
      </c>
      <c r="E5865" t="inlineStr">
        <is>
          <t>SUNDSVALL</t>
        </is>
      </c>
      <c r="F5865" t="inlineStr">
        <is>
          <t>SCA</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53857-2022</t>
        </is>
      </c>
      <c r="B5866" s="1" t="n">
        <v>44880</v>
      </c>
      <c r="C5866" s="1" t="n">
        <v>45212</v>
      </c>
      <c r="D5866" t="inlineStr">
        <is>
          <t>VÄSTERNORRLANDS LÄN</t>
        </is>
      </c>
      <c r="E5866" t="inlineStr">
        <is>
          <t>KRAMFORS</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53921-2022</t>
        </is>
      </c>
      <c r="B5867" s="1" t="n">
        <v>44880</v>
      </c>
      <c r="C5867" s="1" t="n">
        <v>45212</v>
      </c>
      <c r="D5867" t="inlineStr">
        <is>
          <t>VÄSTERNORRLANDS LÄN</t>
        </is>
      </c>
      <c r="E5867" t="inlineStr">
        <is>
          <t>SUNDSVALL</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53943-2022</t>
        </is>
      </c>
      <c r="B5868" s="1" t="n">
        <v>44880</v>
      </c>
      <c r="C5868" s="1" t="n">
        <v>45212</v>
      </c>
      <c r="D5868" t="inlineStr">
        <is>
          <t>VÄSTERNORRLANDS LÄN</t>
        </is>
      </c>
      <c r="E5868" t="inlineStr">
        <is>
          <t>SUNDSVALL</t>
        </is>
      </c>
      <c r="F5868" t="inlineStr">
        <is>
          <t>SCA</t>
        </is>
      </c>
      <c r="G5868" t="n">
        <v>2.6</v>
      </c>
      <c r="H5868" t="n">
        <v>0</v>
      </c>
      <c r="I5868" t="n">
        <v>0</v>
      </c>
      <c r="J5868" t="n">
        <v>0</v>
      </c>
      <c r="K5868" t="n">
        <v>0</v>
      </c>
      <c r="L5868" t="n">
        <v>0</v>
      </c>
      <c r="M5868" t="n">
        <v>0</v>
      </c>
      <c r="N5868" t="n">
        <v>0</v>
      </c>
      <c r="O5868" t="n">
        <v>0</v>
      </c>
      <c r="P5868" t="n">
        <v>0</v>
      </c>
      <c r="Q5868" t="n">
        <v>0</v>
      </c>
      <c r="R5868" s="2" t="inlineStr"/>
    </row>
    <row r="5869" ht="15" customHeight="1">
      <c r="A5869" t="inlineStr">
        <is>
          <t>A 53944-2022</t>
        </is>
      </c>
      <c r="B5869" s="1" t="n">
        <v>44880</v>
      </c>
      <c r="C5869" s="1" t="n">
        <v>45212</v>
      </c>
      <c r="D5869" t="inlineStr">
        <is>
          <t>VÄSTERNORRLANDS LÄN</t>
        </is>
      </c>
      <c r="E5869" t="inlineStr">
        <is>
          <t>SOLLEFTEÅ</t>
        </is>
      </c>
      <c r="F5869" t="inlineStr">
        <is>
          <t>SCA</t>
        </is>
      </c>
      <c r="G5869" t="n">
        <v>9.800000000000001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55007-2022</t>
        </is>
      </c>
      <c r="B5870" s="1" t="n">
        <v>44881</v>
      </c>
      <c r="C5870" s="1" t="n">
        <v>45212</v>
      </c>
      <c r="D5870" t="inlineStr">
        <is>
          <t>VÄSTERNORRLANDS LÄN</t>
        </is>
      </c>
      <c r="E5870" t="inlineStr">
        <is>
          <t>ÅNGE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54180-2022</t>
        </is>
      </c>
      <c r="B5871" s="1" t="n">
        <v>44881</v>
      </c>
      <c r="C5871" s="1" t="n">
        <v>45212</v>
      </c>
      <c r="D5871" t="inlineStr">
        <is>
          <t>VÄSTERNORRLANDS LÄN</t>
        </is>
      </c>
      <c r="E5871" t="inlineStr">
        <is>
          <t>SUNDSVALL</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54993-2022</t>
        </is>
      </c>
      <c r="B5872" s="1" t="n">
        <v>44881</v>
      </c>
      <c r="C5872" s="1" t="n">
        <v>45212</v>
      </c>
      <c r="D5872" t="inlineStr">
        <is>
          <t>VÄSTERNORRLANDS LÄN</t>
        </is>
      </c>
      <c r="E5872" t="inlineStr">
        <is>
          <t>SUNDSVALL</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55019-2022</t>
        </is>
      </c>
      <c r="B5873" s="1" t="n">
        <v>44881</v>
      </c>
      <c r="C5873" s="1" t="n">
        <v>45212</v>
      </c>
      <c r="D5873" t="inlineStr">
        <is>
          <t>VÄSTERNORRLANDS LÄN</t>
        </is>
      </c>
      <c r="E5873" t="inlineStr">
        <is>
          <t>SUNDSVALL</t>
        </is>
      </c>
      <c r="G5873" t="n">
        <v>4.3</v>
      </c>
      <c r="H5873" t="n">
        <v>0</v>
      </c>
      <c r="I5873" t="n">
        <v>0</v>
      </c>
      <c r="J5873" t="n">
        <v>0</v>
      </c>
      <c r="K5873" t="n">
        <v>0</v>
      </c>
      <c r="L5873" t="n">
        <v>0</v>
      </c>
      <c r="M5873" t="n">
        <v>0</v>
      </c>
      <c r="N5873" t="n">
        <v>0</v>
      </c>
      <c r="O5873" t="n">
        <v>0</v>
      </c>
      <c r="P5873" t="n">
        <v>0</v>
      </c>
      <c r="Q5873" t="n">
        <v>0</v>
      </c>
      <c r="R5873" s="2" t="inlineStr"/>
    </row>
    <row r="5874" ht="15" customHeight="1">
      <c r="A5874" t="inlineStr">
        <is>
          <t>A 53985-2022</t>
        </is>
      </c>
      <c r="B5874" s="1" t="n">
        <v>44881</v>
      </c>
      <c r="C5874" s="1" t="n">
        <v>45212</v>
      </c>
      <c r="D5874" t="inlineStr">
        <is>
          <t>VÄSTERNORRLANDS LÄN</t>
        </is>
      </c>
      <c r="E5874" t="inlineStr">
        <is>
          <t>SOLLEFTEÅ</t>
        </is>
      </c>
      <c r="F5874" t="inlineStr">
        <is>
          <t>Holmen skog AB</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54251-2022</t>
        </is>
      </c>
      <c r="B5875" s="1" t="n">
        <v>44881</v>
      </c>
      <c r="C5875" s="1" t="n">
        <v>45212</v>
      </c>
      <c r="D5875" t="inlineStr">
        <is>
          <t>VÄSTERNORRLANDS LÄN</t>
        </is>
      </c>
      <c r="E5875" t="inlineStr">
        <is>
          <t>HÄRNÖSAND</t>
        </is>
      </c>
      <c r="F5875" t="inlineStr">
        <is>
          <t>SCA</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54714-2022</t>
        </is>
      </c>
      <c r="B5876" s="1" t="n">
        <v>44881</v>
      </c>
      <c r="C5876" s="1" t="n">
        <v>45212</v>
      </c>
      <c r="D5876" t="inlineStr">
        <is>
          <t>VÄSTERNORRLANDS LÄN</t>
        </is>
      </c>
      <c r="E5876" t="inlineStr">
        <is>
          <t>ÖRNSKÖLDSVIK</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54998-2022</t>
        </is>
      </c>
      <c r="B5877" s="1" t="n">
        <v>44881</v>
      </c>
      <c r="C5877" s="1" t="n">
        <v>45212</v>
      </c>
      <c r="D5877" t="inlineStr">
        <is>
          <t>VÄSTERNORRLANDS LÄN</t>
        </is>
      </c>
      <c r="E5877" t="inlineStr">
        <is>
          <t>SUNDSVALL</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53989-2022</t>
        </is>
      </c>
      <c r="B5878" s="1" t="n">
        <v>44881</v>
      </c>
      <c r="C5878" s="1" t="n">
        <v>45212</v>
      </c>
      <c r="D5878" t="inlineStr">
        <is>
          <t>VÄSTERNORRLANDS LÄN</t>
        </is>
      </c>
      <c r="E5878" t="inlineStr">
        <is>
          <t>ÖRNSKÖLDSVIK</t>
        </is>
      </c>
      <c r="F5878" t="inlineStr">
        <is>
          <t>Holmen skog AB</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54559-2022</t>
        </is>
      </c>
      <c r="B5879" s="1" t="n">
        <v>44882</v>
      </c>
      <c r="C5879" s="1" t="n">
        <v>45212</v>
      </c>
      <c r="D5879" t="inlineStr">
        <is>
          <t>VÄSTERNORRLANDS LÄN</t>
        </is>
      </c>
      <c r="E5879" t="inlineStr">
        <is>
          <t>SOLLEFTEÅ</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54578-2022</t>
        </is>
      </c>
      <c r="B5880" s="1" t="n">
        <v>44882</v>
      </c>
      <c r="C5880" s="1" t="n">
        <v>45212</v>
      </c>
      <c r="D5880" t="inlineStr">
        <is>
          <t>VÄSTERNORRLANDS LÄN</t>
        </is>
      </c>
      <c r="E5880" t="inlineStr">
        <is>
          <t>SUNDSVALL</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55283-2022</t>
        </is>
      </c>
      <c r="B5881" s="1" t="n">
        <v>44882</v>
      </c>
      <c r="C5881" s="1" t="n">
        <v>45212</v>
      </c>
      <c r="D5881" t="inlineStr">
        <is>
          <t>VÄSTERNORRLANDS LÄN</t>
        </is>
      </c>
      <c r="E5881" t="inlineStr">
        <is>
          <t>ÖRNSKÖLDSVIK</t>
        </is>
      </c>
      <c r="G5881" t="n">
        <v>0.2</v>
      </c>
      <c r="H5881" t="n">
        <v>0</v>
      </c>
      <c r="I5881" t="n">
        <v>0</v>
      </c>
      <c r="J5881" t="n">
        <v>0</v>
      </c>
      <c r="K5881" t="n">
        <v>0</v>
      </c>
      <c r="L5881" t="n">
        <v>0</v>
      </c>
      <c r="M5881" t="n">
        <v>0</v>
      </c>
      <c r="N5881" t="n">
        <v>0</v>
      </c>
      <c r="O5881" t="n">
        <v>0</v>
      </c>
      <c r="P5881" t="n">
        <v>0</v>
      </c>
      <c r="Q5881" t="n">
        <v>0</v>
      </c>
      <c r="R5881" s="2" t="inlineStr"/>
    </row>
    <row r="5882" ht="15" customHeight="1">
      <c r="A5882" t="inlineStr">
        <is>
          <t>A 55357-2022</t>
        </is>
      </c>
      <c r="B5882" s="1" t="n">
        <v>44882</v>
      </c>
      <c r="C5882" s="1" t="n">
        <v>45212</v>
      </c>
      <c r="D5882" t="inlineStr">
        <is>
          <t>VÄSTERNORRLANDS LÄN</t>
        </is>
      </c>
      <c r="E5882" t="inlineStr">
        <is>
          <t>TIMRÅ</t>
        </is>
      </c>
      <c r="G5882" t="n">
        <v>17.3</v>
      </c>
      <c r="H5882" t="n">
        <v>0</v>
      </c>
      <c r="I5882" t="n">
        <v>0</v>
      </c>
      <c r="J5882" t="n">
        <v>0</v>
      </c>
      <c r="K5882" t="n">
        <v>0</v>
      </c>
      <c r="L5882" t="n">
        <v>0</v>
      </c>
      <c r="M5882" t="n">
        <v>0</v>
      </c>
      <c r="N5882" t="n">
        <v>0</v>
      </c>
      <c r="O5882" t="n">
        <v>0</v>
      </c>
      <c r="P5882" t="n">
        <v>0</v>
      </c>
      <c r="Q5882" t="n">
        <v>0</v>
      </c>
      <c r="R5882" s="2" t="inlineStr"/>
    </row>
    <row r="5883" ht="15" customHeight="1">
      <c r="A5883" t="inlineStr">
        <is>
          <t>A 54280-2022</t>
        </is>
      </c>
      <c r="B5883" s="1" t="n">
        <v>44882</v>
      </c>
      <c r="C5883" s="1" t="n">
        <v>45212</v>
      </c>
      <c r="D5883" t="inlineStr">
        <is>
          <t>VÄSTERNORRLANDS LÄN</t>
        </is>
      </c>
      <c r="E5883" t="inlineStr">
        <is>
          <t>SOLLEFTEÅ</t>
        </is>
      </c>
      <c r="F5883" t="inlineStr">
        <is>
          <t>Holmen skog AB</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55273-2022</t>
        </is>
      </c>
      <c r="B5884" s="1" t="n">
        <v>44882</v>
      </c>
      <c r="C5884" s="1" t="n">
        <v>45212</v>
      </c>
      <c r="D5884" t="inlineStr">
        <is>
          <t>VÄSTERNORRLANDS LÄN</t>
        </is>
      </c>
      <c r="E5884" t="inlineStr">
        <is>
          <t>ÖRNSKÖLDSVIK</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55345-2022</t>
        </is>
      </c>
      <c r="B5885" s="1" t="n">
        <v>44882</v>
      </c>
      <c r="C5885" s="1" t="n">
        <v>45212</v>
      </c>
      <c r="D5885" t="inlineStr">
        <is>
          <t>VÄSTERNORRLANDS LÄN</t>
        </is>
      </c>
      <c r="E5885" t="inlineStr">
        <is>
          <t>SUNDSVALL</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54558-2022</t>
        </is>
      </c>
      <c r="B5886" s="1" t="n">
        <v>44882</v>
      </c>
      <c r="C5886" s="1" t="n">
        <v>45212</v>
      </c>
      <c r="D5886" t="inlineStr">
        <is>
          <t>VÄSTERNORRLANDS LÄN</t>
        </is>
      </c>
      <c r="E5886" t="inlineStr">
        <is>
          <t>SOLLEFTEÅ</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54560-2022</t>
        </is>
      </c>
      <c r="B5887" s="1" t="n">
        <v>44882</v>
      </c>
      <c r="C5887" s="1" t="n">
        <v>45212</v>
      </c>
      <c r="D5887" t="inlineStr">
        <is>
          <t>VÄSTERNORRLANDS LÄN</t>
        </is>
      </c>
      <c r="E5887" t="inlineStr">
        <is>
          <t>SUNDSVALL</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54579-2022</t>
        </is>
      </c>
      <c r="B5888" s="1" t="n">
        <v>44882</v>
      </c>
      <c r="C5888" s="1" t="n">
        <v>45212</v>
      </c>
      <c r="D5888" t="inlineStr">
        <is>
          <t>VÄSTERNORRLANDS LÄN</t>
        </is>
      </c>
      <c r="E5888" t="inlineStr">
        <is>
          <t>ÅNGE</t>
        </is>
      </c>
      <c r="F5888" t="inlineStr">
        <is>
          <t>SCA</t>
        </is>
      </c>
      <c r="G5888" t="n">
        <v>8.699999999999999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55340-2022</t>
        </is>
      </c>
      <c r="B5889" s="1" t="n">
        <v>44882</v>
      </c>
      <c r="C5889" s="1" t="n">
        <v>45212</v>
      </c>
      <c r="D5889" t="inlineStr">
        <is>
          <t>VÄSTERNORRLANDS LÄN</t>
        </is>
      </c>
      <c r="E5889" t="inlineStr">
        <is>
          <t>SUNDSVALL</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54585-2022</t>
        </is>
      </c>
      <c r="B5890" s="1" t="n">
        <v>44883</v>
      </c>
      <c r="C5890" s="1" t="n">
        <v>45212</v>
      </c>
      <c r="D5890" t="inlineStr">
        <is>
          <t>VÄSTERNORRLANDS LÄN</t>
        </is>
      </c>
      <c r="E5890" t="inlineStr">
        <is>
          <t>KRAMFORS</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54821-2022</t>
        </is>
      </c>
      <c r="B5891" s="1" t="n">
        <v>44883</v>
      </c>
      <c r="C5891" s="1" t="n">
        <v>45212</v>
      </c>
      <c r="D5891" t="inlineStr">
        <is>
          <t>VÄSTERNORRLANDS LÄN</t>
        </is>
      </c>
      <c r="E5891" t="inlineStr">
        <is>
          <t>ÅNGE</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54831-2022</t>
        </is>
      </c>
      <c r="B5892" s="1" t="n">
        <v>44883</v>
      </c>
      <c r="C5892" s="1" t="n">
        <v>45212</v>
      </c>
      <c r="D5892" t="inlineStr">
        <is>
          <t>VÄSTERNORRLANDS LÄN</t>
        </is>
      </c>
      <c r="E5892" t="inlineStr">
        <is>
          <t>SUNDSVALL</t>
        </is>
      </c>
      <c r="F5892" t="inlineStr">
        <is>
          <t>SCA</t>
        </is>
      </c>
      <c r="G5892" t="n">
        <v>5.1</v>
      </c>
      <c r="H5892" t="n">
        <v>0</v>
      </c>
      <c r="I5892" t="n">
        <v>0</v>
      </c>
      <c r="J5892" t="n">
        <v>0</v>
      </c>
      <c r="K5892" t="n">
        <v>0</v>
      </c>
      <c r="L5892" t="n">
        <v>0</v>
      </c>
      <c r="M5892" t="n">
        <v>0</v>
      </c>
      <c r="N5892" t="n">
        <v>0</v>
      </c>
      <c r="O5892" t="n">
        <v>0</v>
      </c>
      <c r="P5892" t="n">
        <v>0</v>
      </c>
      <c r="Q5892" t="n">
        <v>0</v>
      </c>
      <c r="R5892" s="2" t="inlineStr"/>
    </row>
    <row r="5893" ht="15" customHeight="1">
      <c r="A5893" t="inlineStr">
        <is>
          <t>A 54638-2022</t>
        </is>
      </c>
      <c r="B5893" s="1" t="n">
        <v>44883</v>
      </c>
      <c r="C5893" s="1" t="n">
        <v>45212</v>
      </c>
      <c r="D5893" t="inlineStr">
        <is>
          <t>VÄSTERNORRLANDS LÄN</t>
        </is>
      </c>
      <c r="E5893" t="inlineStr">
        <is>
          <t>KRAMFORS</t>
        </is>
      </c>
      <c r="G5893" t="n">
        <v>3.6</v>
      </c>
      <c r="H5893" t="n">
        <v>0</v>
      </c>
      <c r="I5893" t="n">
        <v>0</v>
      </c>
      <c r="J5893" t="n">
        <v>0</v>
      </c>
      <c r="K5893" t="n">
        <v>0</v>
      </c>
      <c r="L5893" t="n">
        <v>0</v>
      </c>
      <c r="M5893" t="n">
        <v>0</v>
      </c>
      <c r="N5893" t="n">
        <v>0</v>
      </c>
      <c r="O5893" t="n">
        <v>0</v>
      </c>
      <c r="P5893" t="n">
        <v>0</v>
      </c>
      <c r="Q5893" t="n">
        <v>0</v>
      </c>
      <c r="R5893" s="2" t="inlineStr"/>
    </row>
    <row r="5894" ht="15" customHeight="1">
      <c r="A5894" t="inlineStr">
        <is>
          <t>A 54846-2022</t>
        </is>
      </c>
      <c r="B5894" s="1" t="n">
        <v>44883</v>
      </c>
      <c r="C5894" s="1" t="n">
        <v>45212</v>
      </c>
      <c r="D5894" t="inlineStr">
        <is>
          <t>VÄSTERNORRLANDS LÄN</t>
        </is>
      </c>
      <c r="E5894" t="inlineStr">
        <is>
          <t>HÄRNÖSAND</t>
        </is>
      </c>
      <c r="F5894" t="inlineStr">
        <is>
          <t>SCA</t>
        </is>
      </c>
      <c r="G5894" t="n">
        <v>7.1</v>
      </c>
      <c r="H5894" t="n">
        <v>0</v>
      </c>
      <c r="I5894" t="n">
        <v>0</v>
      </c>
      <c r="J5894" t="n">
        <v>0</v>
      </c>
      <c r="K5894" t="n">
        <v>0</v>
      </c>
      <c r="L5894" t="n">
        <v>0</v>
      </c>
      <c r="M5894" t="n">
        <v>0</v>
      </c>
      <c r="N5894" t="n">
        <v>0</v>
      </c>
      <c r="O5894" t="n">
        <v>0</v>
      </c>
      <c r="P5894" t="n">
        <v>0</v>
      </c>
      <c r="Q5894" t="n">
        <v>0</v>
      </c>
      <c r="R5894" s="2" t="inlineStr"/>
    </row>
    <row r="5895" ht="15" customHeight="1">
      <c r="A5895" t="inlineStr">
        <is>
          <t>A 55179-2022</t>
        </is>
      </c>
      <c r="B5895" s="1" t="n">
        <v>44886</v>
      </c>
      <c r="C5895" s="1" t="n">
        <v>45212</v>
      </c>
      <c r="D5895" t="inlineStr">
        <is>
          <t>VÄSTERNORRLANDS LÄN</t>
        </is>
      </c>
      <c r="E5895" t="inlineStr">
        <is>
          <t>TIMRÅ</t>
        </is>
      </c>
      <c r="G5895" t="n">
        <v>0.4</v>
      </c>
      <c r="H5895" t="n">
        <v>0</v>
      </c>
      <c r="I5895" t="n">
        <v>0</v>
      </c>
      <c r="J5895" t="n">
        <v>0</v>
      </c>
      <c r="K5895" t="n">
        <v>0</v>
      </c>
      <c r="L5895" t="n">
        <v>0</v>
      </c>
      <c r="M5895" t="n">
        <v>0</v>
      </c>
      <c r="N5895" t="n">
        <v>0</v>
      </c>
      <c r="O5895" t="n">
        <v>0</v>
      </c>
      <c r="P5895" t="n">
        <v>0</v>
      </c>
      <c r="Q5895" t="n">
        <v>0</v>
      </c>
      <c r="R5895" s="2" t="inlineStr"/>
    </row>
    <row r="5896" ht="15" customHeight="1">
      <c r="A5896" t="inlineStr">
        <is>
          <t>A 54982-2022</t>
        </is>
      </c>
      <c r="B5896" s="1" t="n">
        <v>44886</v>
      </c>
      <c r="C5896" s="1" t="n">
        <v>45212</v>
      </c>
      <c r="D5896" t="inlineStr">
        <is>
          <t>VÄSTERNORRLANDS LÄN</t>
        </is>
      </c>
      <c r="E5896" t="inlineStr">
        <is>
          <t>ÖRNSKÖLDSVIK</t>
        </is>
      </c>
      <c r="G5896" t="n">
        <v>3.1</v>
      </c>
      <c r="H5896" t="n">
        <v>0</v>
      </c>
      <c r="I5896" t="n">
        <v>0</v>
      </c>
      <c r="J5896" t="n">
        <v>0</v>
      </c>
      <c r="K5896" t="n">
        <v>0</v>
      </c>
      <c r="L5896" t="n">
        <v>0</v>
      </c>
      <c r="M5896" t="n">
        <v>0</v>
      </c>
      <c r="N5896" t="n">
        <v>0</v>
      </c>
      <c r="O5896" t="n">
        <v>0</v>
      </c>
      <c r="P5896" t="n">
        <v>0</v>
      </c>
      <c r="Q5896" t="n">
        <v>0</v>
      </c>
      <c r="R5896" s="2" t="inlineStr"/>
    </row>
    <row r="5897" ht="15" customHeight="1">
      <c r="A5897" t="inlineStr">
        <is>
          <t>A 55112-2022</t>
        </is>
      </c>
      <c r="B5897" s="1" t="n">
        <v>44886</v>
      </c>
      <c r="C5897" s="1" t="n">
        <v>45212</v>
      </c>
      <c r="D5897" t="inlineStr">
        <is>
          <t>VÄSTERNORRLANDS LÄN</t>
        </is>
      </c>
      <c r="E5897" t="inlineStr">
        <is>
          <t>ÅNGE</t>
        </is>
      </c>
      <c r="F5897" t="inlineStr">
        <is>
          <t>Holmen skog AB</t>
        </is>
      </c>
      <c r="G5897" t="n">
        <v>3.9</v>
      </c>
      <c r="H5897" t="n">
        <v>0</v>
      </c>
      <c r="I5897" t="n">
        <v>0</v>
      </c>
      <c r="J5897" t="n">
        <v>0</v>
      </c>
      <c r="K5897" t="n">
        <v>0</v>
      </c>
      <c r="L5897" t="n">
        <v>0</v>
      </c>
      <c r="M5897" t="n">
        <v>0</v>
      </c>
      <c r="N5897" t="n">
        <v>0</v>
      </c>
      <c r="O5897" t="n">
        <v>0</v>
      </c>
      <c r="P5897" t="n">
        <v>0</v>
      </c>
      <c r="Q5897" t="n">
        <v>0</v>
      </c>
      <c r="R5897" s="2" t="inlineStr"/>
    </row>
    <row r="5898" ht="15" customHeight="1">
      <c r="A5898" t="inlineStr">
        <is>
          <t>A 55131-2022</t>
        </is>
      </c>
      <c r="B5898" s="1" t="n">
        <v>44886</v>
      </c>
      <c r="C5898" s="1" t="n">
        <v>45212</v>
      </c>
      <c r="D5898" t="inlineStr">
        <is>
          <t>VÄSTERNORRLANDS LÄN</t>
        </is>
      </c>
      <c r="E5898" t="inlineStr">
        <is>
          <t>ÖRNSKÖLDSVIK</t>
        </is>
      </c>
      <c r="F5898" t="inlineStr">
        <is>
          <t>Holmen skog AB</t>
        </is>
      </c>
      <c r="G5898" t="n">
        <v>5.9</v>
      </c>
      <c r="H5898" t="n">
        <v>0</v>
      </c>
      <c r="I5898" t="n">
        <v>0</v>
      </c>
      <c r="J5898" t="n">
        <v>0</v>
      </c>
      <c r="K5898" t="n">
        <v>0</v>
      </c>
      <c r="L5898" t="n">
        <v>0</v>
      </c>
      <c r="M5898" t="n">
        <v>0</v>
      </c>
      <c r="N5898" t="n">
        <v>0</v>
      </c>
      <c r="O5898" t="n">
        <v>0</v>
      </c>
      <c r="P5898" t="n">
        <v>0</v>
      </c>
      <c r="Q5898" t="n">
        <v>0</v>
      </c>
      <c r="R5898" s="2" t="inlineStr"/>
    </row>
    <row r="5899" ht="15" customHeight="1">
      <c r="A5899" t="inlineStr">
        <is>
          <t>A 55212-2022</t>
        </is>
      </c>
      <c r="B5899" s="1" t="n">
        <v>44886</v>
      </c>
      <c r="C5899" s="1" t="n">
        <v>45212</v>
      </c>
      <c r="D5899" t="inlineStr">
        <is>
          <t>VÄSTERNORRLANDS LÄN</t>
        </is>
      </c>
      <c r="E5899" t="inlineStr">
        <is>
          <t>ÅNGE</t>
        </is>
      </c>
      <c r="F5899" t="inlineStr">
        <is>
          <t>SCA</t>
        </is>
      </c>
      <c r="G5899" t="n">
        <v>4.4</v>
      </c>
      <c r="H5899" t="n">
        <v>0</v>
      </c>
      <c r="I5899" t="n">
        <v>0</v>
      </c>
      <c r="J5899" t="n">
        <v>0</v>
      </c>
      <c r="K5899" t="n">
        <v>0</v>
      </c>
      <c r="L5899" t="n">
        <v>0</v>
      </c>
      <c r="M5899" t="n">
        <v>0</v>
      </c>
      <c r="N5899" t="n">
        <v>0</v>
      </c>
      <c r="O5899" t="n">
        <v>0</v>
      </c>
      <c r="P5899" t="n">
        <v>0</v>
      </c>
      <c r="Q5899" t="n">
        <v>0</v>
      </c>
      <c r="R5899" s="2" t="inlineStr"/>
    </row>
    <row r="5900" ht="15" customHeight="1">
      <c r="A5900" t="inlineStr">
        <is>
          <t>A 55510-2022</t>
        </is>
      </c>
      <c r="B5900" s="1" t="n">
        <v>44887</v>
      </c>
      <c r="C5900" s="1" t="n">
        <v>45212</v>
      </c>
      <c r="D5900" t="inlineStr">
        <is>
          <t>VÄSTERNORRLANDS LÄN</t>
        </is>
      </c>
      <c r="E5900" t="inlineStr">
        <is>
          <t>TIMRÅ</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55528-2022</t>
        </is>
      </c>
      <c r="B5901" s="1" t="n">
        <v>44887</v>
      </c>
      <c r="C5901" s="1" t="n">
        <v>45212</v>
      </c>
      <c r="D5901" t="inlineStr">
        <is>
          <t>VÄSTERNORRLANDS LÄN</t>
        </is>
      </c>
      <c r="E5901" t="inlineStr">
        <is>
          <t>SUNDSVALL</t>
        </is>
      </c>
      <c r="F5901" t="inlineStr">
        <is>
          <t>SCA</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56465-2022</t>
        </is>
      </c>
      <c r="B5902" s="1" t="n">
        <v>44887</v>
      </c>
      <c r="C5902" s="1" t="n">
        <v>45212</v>
      </c>
      <c r="D5902" t="inlineStr">
        <is>
          <t>VÄSTERNORRLANDS LÄN</t>
        </is>
      </c>
      <c r="E5902" t="inlineStr">
        <is>
          <t>ÖRNSKÖLDSVIK</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56023-2022</t>
        </is>
      </c>
      <c r="B5903" s="1" t="n">
        <v>44887</v>
      </c>
      <c r="C5903" s="1" t="n">
        <v>45212</v>
      </c>
      <c r="D5903" t="inlineStr">
        <is>
          <t>VÄSTERNORRLANDS LÄN</t>
        </is>
      </c>
      <c r="E5903" t="inlineStr">
        <is>
          <t>ÖRNSKÖLDSVIK</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56470-2022</t>
        </is>
      </c>
      <c r="B5904" s="1" t="n">
        <v>44887</v>
      </c>
      <c r="C5904" s="1" t="n">
        <v>45212</v>
      </c>
      <c r="D5904" t="inlineStr">
        <is>
          <t>VÄSTERNORRLANDS LÄN</t>
        </is>
      </c>
      <c r="E5904" t="inlineStr">
        <is>
          <t>ÖRNSKÖLDSVIK</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55361-2022</t>
        </is>
      </c>
      <c r="B5905" s="1" t="n">
        <v>44887</v>
      </c>
      <c r="C5905" s="1" t="n">
        <v>45212</v>
      </c>
      <c r="D5905" t="inlineStr">
        <is>
          <t>VÄSTERNORRLANDS LÄN</t>
        </is>
      </c>
      <c r="E5905" t="inlineStr">
        <is>
          <t>ÅNGE</t>
        </is>
      </c>
      <c r="G5905" t="n">
        <v>2.2</v>
      </c>
      <c r="H5905" t="n">
        <v>0</v>
      </c>
      <c r="I5905" t="n">
        <v>0</v>
      </c>
      <c r="J5905" t="n">
        <v>0</v>
      </c>
      <c r="K5905" t="n">
        <v>0</v>
      </c>
      <c r="L5905" t="n">
        <v>0</v>
      </c>
      <c r="M5905" t="n">
        <v>0</v>
      </c>
      <c r="N5905" t="n">
        <v>0</v>
      </c>
      <c r="O5905" t="n">
        <v>0</v>
      </c>
      <c r="P5905" t="n">
        <v>0</v>
      </c>
      <c r="Q5905" t="n">
        <v>0</v>
      </c>
      <c r="R5905" s="2" t="inlineStr"/>
    </row>
    <row r="5906" ht="15" customHeight="1">
      <c r="A5906" t="inlineStr">
        <is>
          <t>A 56485-2022</t>
        </is>
      </c>
      <c r="B5906" s="1" t="n">
        <v>44887</v>
      </c>
      <c r="C5906" s="1" t="n">
        <v>45212</v>
      </c>
      <c r="D5906" t="inlineStr">
        <is>
          <t>VÄSTERNORRLANDS LÄN</t>
        </is>
      </c>
      <c r="E5906" t="inlineStr">
        <is>
          <t>ÖRNSKÖLDSVIK</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55752-2022</t>
        </is>
      </c>
      <c r="B5907" s="1" t="n">
        <v>44888</v>
      </c>
      <c r="C5907" s="1" t="n">
        <v>45212</v>
      </c>
      <c r="D5907" t="inlineStr">
        <is>
          <t>VÄSTERNORRLANDS LÄN</t>
        </is>
      </c>
      <c r="E5907" t="inlineStr">
        <is>
          <t>ÖRNSKÖLDSVIK</t>
        </is>
      </c>
      <c r="F5907" t="inlineStr">
        <is>
          <t>Holmen skog AB</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55816-2022</t>
        </is>
      </c>
      <c r="B5908" s="1" t="n">
        <v>44888</v>
      </c>
      <c r="C5908" s="1" t="n">
        <v>45212</v>
      </c>
      <c r="D5908" t="inlineStr">
        <is>
          <t>VÄSTERNORRLANDS LÄN</t>
        </is>
      </c>
      <c r="E5908" t="inlineStr">
        <is>
          <t>ÅNGE</t>
        </is>
      </c>
      <c r="F5908" t="inlineStr">
        <is>
          <t>Holmen skog AB</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55882-2022</t>
        </is>
      </c>
      <c r="B5909" s="1" t="n">
        <v>44888</v>
      </c>
      <c r="C5909" s="1" t="n">
        <v>45212</v>
      </c>
      <c r="D5909" t="inlineStr">
        <is>
          <t>VÄSTERNORRLANDS LÄN</t>
        </is>
      </c>
      <c r="E5909" t="inlineStr">
        <is>
          <t>ÅNGE</t>
        </is>
      </c>
      <c r="G5909" t="n">
        <v>2.7</v>
      </c>
      <c r="H5909" t="n">
        <v>0</v>
      </c>
      <c r="I5909" t="n">
        <v>0</v>
      </c>
      <c r="J5909" t="n">
        <v>0</v>
      </c>
      <c r="K5909" t="n">
        <v>0</v>
      </c>
      <c r="L5909" t="n">
        <v>0</v>
      </c>
      <c r="M5909" t="n">
        <v>0</v>
      </c>
      <c r="N5909" t="n">
        <v>0</v>
      </c>
      <c r="O5909" t="n">
        <v>0</v>
      </c>
      <c r="P5909" t="n">
        <v>0</v>
      </c>
      <c r="Q5909" t="n">
        <v>0</v>
      </c>
      <c r="R5909" s="2" t="inlineStr"/>
    </row>
    <row r="5910" ht="15" customHeight="1">
      <c r="A5910" t="inlineStr">
        <is>
          <t>A 55890-2022</t>
        </is>
      </c>
      <c r="B5910" s="1" t="n">
        <v>44888</v>
      </c>
      <c r="C5910" s="1" t="n">
        <v>45212</v>
      </c>
      <c r="D5910" t="inlineStr">
        <is>
          <t>VÄSTERNORRLANDS LÄN</t>
        </is>
      </c>
      <c r="E5910" t="inlineStr">
        <is>
          <t>SUNDSVALL</t>
        </is>
      </c>
      <c r="G5910" t="n">
        <v>5.3</v>
      </c>
      <c r="H5910" t="n">
        <v>0</v>
      </c>
      <c r="I5910" t="n">
        <v>0</v>
      </c>
      <c r="J5910" t="n">
        <v>0</v>
      </c>
      <c r="K5910" t="n">
        <v>0</v>
      </c>
      <c r="L5910" t="n">
        <v>0</v>
      </c>
      <c r="M5910" t="n">
        <v>0</v>
      </c>
      <c r="N5910" t="n">
        <v>0</v>
      </c>
      <c r="O5910" t="n">
        <v>0</v>
      </c>
      <c r="P5910" t="n">
        <v>0</v>
      </c>
      <c r="Q5910" t="n">
        <v>0</v>
      </c>
      <c r="R5910" s="2" t="inlineStr"/>
    </row>
    <row r="5911" ht="15" customHeight="1">
      <c r="A5911" t="inlineStr">
        <is>
          <t>A 56812-2022</t>
        </is>
      </c>
      <c r="B5911" s="1" t="n">
        <v>44888</v>
      </c>
      <c r="C5911" s="1" t="n">
        <v>45212</v>
      </c>
      <c r="D5911" t="inlineStr">
        <is>
          <t>VÄSTERNORRLANDS LÄN</t>
        </is>
      </c>
      <c r="E5911" t="inlineStr">
        <is>
          <t>KRAMFORS</t>
        </is>
      </c>
      <c r="G5911" t="n">
        <v>3.4</v>
      </c>
      <c r="H5911" t="n">
        <v>0</v>
      </c>
      <c r="I5911" t="n">
        <v>0</v>
      </c>
      <c r="J5911" t="n">
        <v>0</v>
      </c>
      <c r="K5911" t="n">
        <v>0</v>
      </c>
      <c r="L5911" t="n">
        <v>0</v>
      </c>
      <c r="M5911" t="n">
        <v>0</v>
      </c>
      <c r="N5911" t="n">
        <v>0</v>
      </c>
      <c r="O5911" t="n">
        <v>0</v>
      </c>
      <c r="P5911" t="n">
        <v>0</v>
      </c>
      <c r="Q5911" t="n">
        <v>0</v>
      </c>
      <c r="R5911" s="2" t="inlineStr"/>
    </row>
    <row r="5912" ht="15" customHeight="1">
      <c r="A5912" t="inlineStr">
        <is>
          <t>A 56873-2022</t>
        </is>
      </c>
      <c r="B5912" s="1" t="n">
        <v>44888</v>
      </c>
      <c r="C5912" s="1" t="n">
        <v>45212</v>
      </c>
      <c r="D5912" t="inlineStr">
        <is>
          <t>VÄSTERNORRLANDS LÄN</t>
        </is>
      </c>
      <c r="E5912" t="inlineStr">
        <is>
          <t>ÖRNSKÖLDSVIK</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55643-2022</t>
        </is>
      </c>
      <c r="B5913" s="1" t="n">
        <v>44888</v>
      </c>
      <c r="C5913" s="1" t="n">
        <v>45212</v>
      </c>
      <c r="D5913" t="inlineStr">
        <is>
          <t>VÄSTERNORRLANDS LÄN</t>
        </is>
      </c>
      <c r="E5913" t="inlineStr">
        <is>
          <t>ÖRNSKÖLDSVIK</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55729-2022</t>
        </is>
      </c>
      <c r="B5914" s="1" t="n">
        <v>44888</v>
      </c>
      <c r="C5914" s="1" t="n">
        <v>45212</v>
      </c>
      <c r="D5914" t="inlineStr">
        <is>
          <t>VÄSTERNORRLANDS LÄN</t>
        </is>
      </c>
      <c r="E5914" t="inlineStr">
        <is>
          <t>ÅNGE</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56933-2022</t>
        </is>
      </c>
      <c r="B5915" s="1" t="n">
        <v>44888</v>
      </c>
      <c r="C5915" s="1" t="n">
        <v>45212</v>
      </c>
      <c r="D5915" t="inlineStr">
        <is>
          <t>VÄSTERNORRLANDS LÄN</t>
        </is>
      </c>
      <c r="E5915" t="inlineStr">
        <is>
          <t>KRAMFORS</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55878-2022</t>
        </is>
      </c>
      <c r="B5916" s="1" t="n">
        <v>44888</v>
      </c>
      <c r="C5916" s="1" t="n">
        <v>45212</v>
      </c>
      <c r="D5916" t="inlineStr">
        <is>
          <t>VÄSTERNORRLANDS LÄN</t>
        </is>
      </c>
      <c r="E5916" t="inlineStr">
        <is>
          <t>SUNDSVALL</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55906-2022</t>
        </is>
      </c>
      <c r="B5917" s="1" t="n">
        <v>44888</v>
      </c>
      <c r="C5917" s="1" t="n">
        <v>45212</v>
      </c>
      <c r="D5917" t="inlineStr">
        <is>
          <t>VÄSTERNORRLANDS LÄN</t>
        </is>
      </c>
      <c r="E5917" t="inlineStr">
        <is>
          <t>ÅNGE</t>
        </is>
      </c>
      <c r="F5917" t="inlineStr">
        <is>
          <t>SCA</t>
        </is>
      </c>
      <c r="G5917" t="n">
        <v>7.1</v>
      </c>
      <c r="H5917" t="n">
        <v>0</v>
      </c>
      <c r="I5917" t="n">
        <v>0</v>
      </c>
      <c r="J5917" t="n">
        <v>0</v>
      </c>
      <c r="K5917" t="n">
        <v>0</v>
      </c>
      <c r="L5917" t="n">
        <v>0</v>
      </c>
      <c r="M5917" t="n">
        <v>0</v>
      </c>
      <c r="N5917" t="n">
        <v>0</v>
      </c>
      <c r="O5917" t="n">
        <v>0</v>
      </c>
      <c r="P5917" t="n">
        <v>0</v>
      </c>
      <c r="Q5917" t="n">
        <v>0</v>
      </c>
      <c r="R5917" s="2" t="inlineStr"/>
    </row>
    <row r="5918" ht="15" customHeight="1">
      <c r="A5918" t="inlineStr">
        <is>
          <t>A 55726-2022</t>
        </is>
      </c>
      <c r="B5918" s="1" t="n">
        <v>44888</v>
      </c>
      <c r="C5918" s="1" t="n">
        <v>45212</v>
      </c>
      <c r="D5918" t="inlineStr">
        <is>
          <t>VÄSTERNORRLANDS LÄN</t>
        </is>
      </c>
      <c r="E5918" t="inlineStr">
        <is>
          <t>ÖRNSKÖLDSVIK</t>
        </is>
      </c>
      <c r="F5918" t="inlineStr">
        <is>
          <t>Holmen skog AB</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55883-2022</t>
        </is>
      </c>
      <c r="B5919" s="1" t="n">
        <v>44888</v>
      </c>
      <c r="C5919" s="1" t="n">
        <v>45212</v>
      </c>
      <c r="D5919" t="inlineStr">
        <is>
          <t>VÄSTERNORRLANDS LÄN</t>
        </is>
      </c>
      <c r="E5919" t="inlineStr">
        <is>
          <t>ÅNGE</t>
        </is>
      </c>
      <c r="G5919" t="n">
        <v>4.5</v>
      </c>
      <c r="H5919" t="n">
        <v>0</v>
      </c>
      <c r="I5919" t="n">
        <v>0</v>
      </c>
      <c r="J5919" t="n">
        <v>0</v>
      </c>
      <c r="K5919" t="n">
        <v>0</v>
      </c>
      <c r="L5919" t="n">
        <v>0</v>
      </c>
      <c r="M5919" t="n">
        <v>0</v>
      </c>
      <c r="N5919" t="n">
        <v>0</v>
      </c>
      <c r="O5919" t="n">
        <v>0</v>
      </c>
      <c r="P5919" t="n">
        <v>0</v>
      </c>
      <c r="Q5919" t="n">
        <v>0</v>
      </c>
      <c r="R5919" s="2" t="inlineStr"/>
    </row>
    <row r="5920" ht="15" customHeight="1">
      <c r="A5920" t="inlineStr">
        <is>
          <t>A 56904-2022</t>
        </is>
      </c>
      <c r="B5920" s="1" t="n">
        <v>44888</v>
      </c>
      <c r="C5920" s="1" t="n">
        <v>45212</v>
      </c>
      <c r="D5920" t="inlineStr">
        <is>
          <t>VÄSTERNORRLANDS LÄN</t>
        </is>
      </c>
      <c r="E5920" t="inlineStr">
        <is>
          <t>ÖRNSKÖLDSVIK</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55934-2022</t>
        </is>
      </c>
      <c r="B5921" s="1" t="n">
        <v>44889</v>
      </c>
      <c r="C5921" s="1" t="n">
        <v>45212</v>
      </c>
      <c r="D5921" t="inlineStr">
        <is>
          <t>VÄSTERNORRLANDS LÄN</t>
        </is>
      </c>
      <c r="E5921" t="inlineStr">
        <is>
          <t>ÅNGE</t>
        </is>
      </c>
      <c r="F5921" t="inlineStr">
        <is>
          <t>Holmen skog AB</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56151-2022</t>
        </is>
      </c>
      <c r="B5922" s="1" t="n">
        <v>44889</v>
      </c>
      <c r="C5922" s="1" t="n">
        <v>45212</v>
      </c>
      <c r="D5922" t="inlineStr">
        <is>
          <t>VÄSTERNORRLANDS LÄN</t>
        </is>
      </c>
      <c r="E5922" t="inlineStr">
        <is>
          <t>HÄRNÖSAND</t>
        </is>
      </c>
      <c r="G5922" t="n">
        <v>3.6</v>
      </c>
      <c r="H5922" t="n">
        <v>0</v>
      </c>
      <c r="I5922" t="n">
        <v>0</v>
      </c>
      <c r="J5922" t="n">
        <v>0</v>
      </c>
      <c r="K5922" t="n">
        <v>0</v>
      </c>
      <c r="L5922" t="n">
        <v>0</v>
      </c>
      <c r="M5922" t="n">
        <v>0</v>
      </c>
      <c r="N5922" t="n">
        <v>0</v>
      </c>
      <c r="O5922" t="n">
        <v>0</v>
      </c>
      <c r="P5922" t="n">
        <v>0</v>
      </c>
      <c r="Q5922" t="n">
        <v>0</v>
      </c>
      <c r="R5922" s="2" t="inlineStr"/>
    </row>
    <row r="5923" ht="15" customHeight="1">
      <c r="A5923" t="inlineStr">
        <is>
          <t>A 56165-2022</t>
        </is>
      </c>
      <c r="B5923" s="1" t="n">
        <v>44889</v>
      </c>
      <c r="C5923" s="1" t="n">
        <v>45212</v>
      </c>
      <c r="D5923" t="inlineStr">
        <is>
          <t>VÄSTERNORRLANDS LÄN</t>
        </is>
      </c>
      <c r="E5923" t="inlineStr">
        <is>
          <t>HÄRNÖSAND</t>
        </is>
      </c>
      <c r="F5923" t="inlineStr">
        <is>
          <t>SCA</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56170-2022</t>
        </is>
      </c>
      <c r="B5924" s="1" t="n">
        <v>44889</v>
      </c>
      <c r="C5924" s="1" t="n">
        <v>45212</v>
      </c>
      <c r="D5924" t="inlineStr">
        <is>
          <t>VÄSTERNORRLANDS LÄN</t>
        </is>
      </c>
      <c r="E5924" t="inlineStr">
        <is>
          <t>TIMRÅ</t>
        </is>
      </c>
      <c r="F5924" t="inlineStr">
        <is>
          <t>SCA</t>
        </is>
      </c>
      <c r="G5924" t="n">
        <v>2.8</v>
      </c>
      <c r="H5924" t="n">
        <v>0</v>
      </c>
      <c r="I5924" t="n">
        <v>0</v>
      </c>
      <c r="J5924" t="n">
        <v>0</v>
      </c>
      <c r="K5924" t="n">
        <v>0</v>
      </c>
      <c r="L5924" t="n">
        <v>0</v>
      </c>
      <c r="M5924" t="n">
        <v>0</v>
      </c>
      <c r="N5924" t="n">
        <v>0</v>
      </c>
      <c r="O5924" t="n">
        <v>0</v>
      </c>
      <c r="P5924" t="n">
        <v>0</v>
      </c>
      <c r="Q5924" t="n">
        <v>0</v>
      </c>
      <c r="R5924" s="2" t="inlineStr"/>
    </row>
    <row r="5925" ht="15" customHeight="1">
      <c r="A5925" t="inlineStr">
        <is>
          <t>A 56177-2022</t>
        </is>
      </c>
      <c r="B5925" s="1" t="n">
        <v>44889</v>
      </c>
      <c r="C5925" s="1" t="n">
        <v>45212</v>
      </c>
      <c r="D5925" t="inlineStr">
        <is>
          <t>VÄSTERNORRLANDS LÄN</t>
        </is>
      </c>
      <c r="E5925" t="inlineStr">
        <is>
          <t>HÄRNÖSAND</t>
        </is>
      </c>
      <c r="F5925" t="inlineStr">
        <is>
          <t>SCA</t>
        </is>
      </c>
      <c r="G5925" t="n">
        <v>9.1</v>
      </c>
      <c r="H5925" t="n">
        <v>0</v>
      </c>
      <c r="I5925" t="n">
        <v>0</v>
      </c>
      <c r="J5925" t="n">
        <v>0</v>
      </c>
      <c r="K5925" t="n">
        <v>0</v>
      </c>
      <c r="L5925" t="n">
        <v>0</v>
      </c>
      <c r="M5925" t="n">
        <v>0</v>
      </c>
      <c r="N5925" t="n">
        <v>0</v>
      </c>
      <c r="O5925" t="n">
        <v>0</v>
      </c>
      <c r="P5925" t="n">
        <v>0</v>
      </c>
      <c r="Q5925" t="n">
        <v>0</v>
      </c>
      <c r="R5925" s="2" t="inlineStr"/>
    </row>
    <row r="5926" ht="15" customHeight="1">
      <c r="A5926" t="inlineStr">
        <is>
          <t>A 56181-2022</t>
        </is>
      </c>
      <c r="B5926" s="1" t="n">
        <v>44889</v>
      </c>
      <c r="C5926" s="1" t="n">
        <v>45212</v>
      </c>
      <c r="D5926" t="inlineStr">
        <is>
          <t>VÄSTERNORRLANDS LÄN</t>
        </is>
      </c>
      <c r="E5926" t="inlineStr">
        <is>
          <t>ÅNGE</t>
        </is>
      </c>
      <c r="F5926" t="inlineStr">
        <is>
          <t>SCA</t>
        </is>
      </c>
      <c r="G5926" t="n">
        <v>4.5</v>
      </c>
      <c r="H5926" t="n">
        <v>0</v>
      </c>
      <c r="I5926" t="n">
        <v>0</v>
      </c>
      <c r="J5926" t="n">
        <v>0</v>
      </c>
      <c r="K5926" t="n">
        <v>0</v>
      </c>
      <c r="L5926" t="n">
        <v>0</v>
      </c>
      <c r="M5926" t="n">
        <v>0</v>
      </c>
      <c r="N5926" t="n">
        <v>0</v>
      </c>
      <c r="O5926" t="n">
        <v>0</v>
      </c>
      <c r="P5926" t="n">
        <v>0</v>
      </c>
      <c r="Q5926" t="n">
        <v>0</v>
      </c>
      <c r="R5926" s="2" t="inlineStr"/>
    </row>
    <row r="5927" ht="15" customHeight="1">
      <c r="A5927" t="inlineStr">
        <is>
          <t>A 55916-2022</t>
        </is>
      </c>
      <c r="B5927" s="1" t="n">
        <v>44889</v>
      </c>
      <c r="C5927" s="1" t="n">
        <v>45212</v>
      </c>
      <c r="D5927" t="inlineStr">
        <is>
          <t>VÄSTERNORRLANDS LÄN</t>
        </is>
      </c>
      <c r="E5927" t="inlineStr">
        <is>
          <t>ÖRNSKÖLDSVIK</t>
        </is>
      </c>
      <c r="G5927" t="n">
        <v>7.1</v>
      </c>
      <c r="H5927" t="n">
        <v>0</v>
      </c>
      <c r="I5927" t="n">
        <v>0</v>
      </c>
      <c r="J5927" t="n">
        <v>0</v>
      </c>
      <c r="K5927" t="n">
        <v>0</v>
      </c>
      <c r="L5927" t="n">
        <v>0</v>
      </c>
      <c r="M5927" t="n">
        <v>0</v>
      </c>
      <c r="N5927" t="n">
        <v>0</v>
      </c>
      <c r="O5927" t="n">
        <v>0</v>
      </c>
      <c r="P5927" t="n">
        <v>0</v>
      </c>
      <c r="Q5927" t="n">
        <v>0</v>
      </c>
      <c r="R5927" s="2" t="inlineStr"/>
    </row>
    <row r="5928" ht="15" customHeight="1">
      <c r="A5928" t="inlineStr">
        <is>
          <t>A 55942-2022</t>
        </is>
      </c>
      <c r="B5928" s="1" t="n">
        <v>44889</v>
      </c>
      <c r="C5928" s="1" t="n">
        <v>45212</v>
      </c>
      <c r="D5928" t="inlineStr">
        <is>
          <t>VÄSTERNORRLANDS LÄN</t>
        </is>
      </c>
      <c r="E5928" t="inlineStr">
        <is>
          <t>ÖRNSKÖLDSVIK</t>
        </is>
      </c>
      <c r="F5928" t="inlineStr">
        <is>
          <t>Holmen skog AB</t>
        </is>
      </c>
      <c r="G5928" t="n">
        <v>1.8</v>
      </c>
      <c r="H5928" t="n">
        <v>0</v>
      </c>
      <c r="I5928" t="n">
        <v>0</v>
      </c>
      <c r="J5928" t="n">
        <v>0</v>
      </c>
      <c r="K5928" t="n">
        <v>0</v>
      </c>
      <c r="L5928" t="n">
        <v>0</v>
      </c>
      <c r="M5928" t="n">
        <v>0</v>
      </c>
      <c r="N5928" t="n">
        <v>0</v>
      </c>
      <c r="O5928" t="n">
        <v>0</v>
      </c>
      <c r="P5928" t="n">
        <v>0</v>
      </c>
      <c r="Q5928" t="n">
        <v>0</v>
      </c>
      <c r="R5928" s="2" t="inlineStr"/>
    </row>
    <row r="5929" ht="15" customHeight="1">
      <c r="A5929" t="inlineStr">
        <is>
          <t>A 56082-2022</t>
        </is>
      </c>
      <c r="B5929" s="1" t="n">
        <v>44889</v>
      </c>
      <c r="C5929" s="1" t="n">
        <v>45212</v>
      </c>
      <c r="D5929" t="inlineStr">
        <is>
          <t>VÄSTERNORRLANDS LÄN</t>
        </is>
      </c>
      <c r="E5929" t="inlineStr">
        <is>
          <t>ÖRNSKÖLDSVIK</t>
        </is>
      </c>
      <c r="F5929" t="inlineStr">
        <is>
          <t>Holmen skog AB</t>
        </is>
      </c>
      <c r="G5929" t="n">
        <v>6.4</v>
      </c>
      <c r="H5929" t="n">
        <v>0</v>
      </c>
      <c r="I5929" t="n">
        <v>0</v>
      </c>
      <c r="J5929" t="n">
        <v>0</v>
      </c>
      <c r="K5929" t="n">
        <v>0</v>
      </c>
      <c r="L5929" t="n">
        <v>0</v>
      </c>
      <c r="M5929" t="n">
        <v>0</v>
      </c>
      <c r="N5929" t="n">
        <v>0</v>
      </c>
      <c r="O5929" t="n">
        <v>0</v>
      </c>
      <c r="P5929" t="n">
        <v>0</v>
      </c>
      <c r="Q5929" t="n">
        <v>0</v>
      </c>
      <c r="R5929" s="2" t="inlineStr"/>
    </row>
    <row r="5930" ht="15" customHeight="1">
      <c r="A5930" t="inlineStr">
        <is>
          <t>A 56159-2022</t>
        </is>
      </c>
      <c r="B5930" s="1" t="n">
        <v>44889</v>
      </c>
      <c r="C5930" s="1" t="n">
        <v>45212</v>
      </c>
      <c r="D5930" t="inlineStr">
        <is>
          <t>VÄSTERNORRLANDS LÄN</t>
        </is>
      </c>
      <c r="E5930" t="inlineStr">
        <is>
          <t>HÄRNÖSAND</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57403-2022</t>
        </is>
      </c>
      <c r="B5931" s="1" t="n">
        <v>44889</v>
      </c>
      <c r="C5931" s="1" t="n">
        <v>45212</v>
      </c>
      <c r="D5931" t="inlineStr">
        <is>
          <t>VÄSTERNORRLANDS LÄN</t>
        </is>
      </c>
      <c r="E5931" t="inlineStr">
        <is>
          <t>TIMRÅ</t>
        </is>
      </c>
      <c r="G5931" t="n">
        <v>9.6</v>
      </c>
      <c r="H5931" t="n">
        <v>0</v>
      </c>
      <c r="I5931" t="n">
        <v>0</v>
      </c>
      <c r="J5931" t="n">
        <v>0</v>
      </c>
      <c r="K5931" t="n">
        <v>0</v>
      </c>
      <c r="L5931" t="n">
        <v>0</v>
      </c>
      <c r="M5931" t="n">
        <v>0</v>
      </c>
      <c r="N5931" t="n">
        <v>0</v>
      </c>
      <c r="O5931" t="n">
        <v>0</v>
      </c>
      <c r="P5931" t="n">
        <v>0</v>
      </c>
      <c r="Q5931" t="n">
        <v>0</v>
      </c>
      <c r="R5931" s="2" t="inlineStr"/>
    </row>
    <row r="5932" ht="15" customHeight="1">
      <c r="A5932" t="inlineStr">
        <is>
          <t>A 55913-2022</t>
        </is>
      </c>
      <c r="B5932" s="1" t="n">
        <v>44889</v>
      </c>
      <c r="C5932" s="1" t="n">
        <v>45212</v>
      </c>
      <c r="D5932" t="inlineStr">
        <is>
          <t>VÄSTERNORRLANDS LÄN</t>
        </is>
      </c>
      <c r="E5932" t="inlineStr">
        <is>
          <t>ÖRNSKÖLDSVIK</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56041-2022</t>
        </is>
      </c>
      <c r="B5933" s="1" t="n">
        <v>44889</v>
      </c>
      <c r="C5933" s="1" t="n">
        <v>45212</v>
      </c>
      <c r="D5933" t="inlineStr">
        <is>
          <t>VÄSTERNORRLANDS LÄN</t>
        </is>
      </c>
      <c r="E5933" t="inlineStr">
        <is>
          <t>ÖRNSKÖLDSVIK</t>
        </is>
      </c>
      <c r="F5933" t="inlineStr">
        <is>
          <t>Holmen skog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56158-2022</t>
        </is>
      </c>
      <c r="B5934" s="1" t="n">
        <v>44889</v>
      </c>
      <c r="C5934" s="1" t="n">
        <v>45212</v>
      </c>
      <c r="D5934" t="inlineStr">
        <is>
          <t>VÄSTERNORRLANDS LÄN</t>
        </is>
      </c>
      <c r="E5934" t="inlineStr">
        <is>
          <t>HÄRNÖSAND</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56189-2022</t>
        </is>
      </c>
      <c r="B5935" s="1" t="n">
        <v>44889</v>
      </c>
      <c r="C5935" s="1" t="n">
        <v>45212</v>
      </c>
      <c r="D5935" t="inlineStr">
        <is>
          <t>VÄSTERNORRLANDS LÄN</t>
        </is>
      </c>
      <c r="E5935" t="inlineStr">
        <is>
          <t>ÖRNSKÖLDSVIK</t>
        </is>
      </c>
      <c r="F5935" t="inlineStr">
        <is>
          <t>SCA</t>
        </is>
      </c>
      <c r="G5935" t="n">
        <v>8.6</v>
      </c>
      <c r="H5935" t="n">
        <v>0</v>
      </c>
      <c r="I5935" t="n">
        <v>0</v>
      </c>
      <c r="J5935" t="n">
        <v>0</v>
      </c>
      <c r="K5935" t="n">
        <v>0</v>
      </c>
      <c r="L5935" t="n">
        <v>0</v>
      </c>
      <c r="M5935" t="n">
        <v>0</v>
      </c>
      <c r="N5935" t="n">
        <v>0</v>
      </c>
      <c r="O5935" t="n">
        <v>0</v>
      </c>
      <c r="P5935" t="n">
        <v>0</v>
      </c>
      <c r="Q5935" t="n">
        <v>0</v>
      </c>
      <c r="R5935" s="2" t="inlineStr"/>
    </row>
    <row r="5936" ht="15" customHeight="1">
      <c r="A5936" t="inlineStr">
        <is>
          <t>A 57380-2022</t>
        </is>
      </c>
      <c r="B5936" s="1" t="n">
        <v>44889</v>
      </c>
      <c r="C5936" s="1" t="n">
        <v>45212</v>
      </c>
      <c r="D5936" t="inlineStr">
        <is>
          <t>VÄSTERNORRLANDS LÄN</t>
        </is>
      </c>
      <c r="E5936" t="inlineStr">
        <is>
          <t>TIMRÅ</t>
        </is>
      </c>
      <c r="G5936" t="n">
        <v>9.300000000000001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56410-2022</t>
        </is>
      </c>
      <c r="B5937" s="1" t="n">
        <v>44890</v>
      </c>
      <c r="C5937" s="1" t="n">
        <v>45212</v>
      </c>
      <c r="D5937" t="inlineStr">
        <is>
          <t>VÄSTERNORRLANDS LÄN</t>
        </is>
      </c>
      <c r="E5937" t="inlineStr">
        <is>
          <t>TIMRÅ</t>
        </is>
      </c>
      <c r="F5937" t="inlineStr">
        <is>
          <t>SCA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56397-2022</t>
        </is>
      </c>
      <c r="B5938" s="1" t="n">
        <v>44890</v>
      </c>
      <c r="C5938" s="1" t="n">
        <v>45212</v>
      </c>
      <c r="D5938" t="inlineStr">
        <is>
          <t>VÄSTERNORRLANDS LÄN</t>
        </is>
      </c>
      <c r="E5938" t="inlineStr">
        <is>
          <t>ÖRNSKÖLDSVIK</t>
        </is>
      </c>
      <c r="G5938" t="n">
        <v>7.2</v>
      </c>
      <c r="H5938" t="n">
        <v>0</v>
      </c>
      <c r="I5938" t="n">
        <v>0</v>
      </c>
      <c r="J5938" t="n">
        <v>0</v>
      </c>
      <c r="K5938" t="n">
        <v>0</v>
      </c>
      <c r="L5938" t="n">
        <v>0</v>
      </c>
      <c r="M5938" t="n">
        <v>0</v>
      </c>
      <c r="N5938" t="n">
        <v>0</v>
      </c>
      <c r="O5938" t="n">
        <v>0</v>
      </c>
      <c r="P5938" t="n">
        <v>0</v>
      </c>
      <c r="Q5938" t="n">
        <v>0</v>
      </c>
      <c r="R5938" s="2" t="inlineStr"/>
    </row>
    <row r="5939" ht="15" customHeight="1">
      <c r="A5939" t="inlineStr">
        <is>
          <t>A 56348-2022</t>
        </is>
      </c>
      <c r="B5939" s="1" t="n">
        <v>44890</v>
      </c>
      <c r="C5939" s="1" t="n">
        <v>45212</v>
      </c>
      <c r="D5939" t="inlineStr">
        <is>
          <t>VÄSTERNORRLANDS LÄN</t>
        </is>
      </c>
      <c r="E5939" t="inlineStr">
        <is>
          <t>ÖRNSKÖLDSVIK</t>
        </is>
      </c>
      <c r="G5939" t="n">
        <v>1.7</v>
      </c>
      <c r="H5939" t="n">
        <v>0</v>
      </c>
      <c r="I5939" t="n">
        <v>0</v>
      </c>
      <c r="J5939" t="n">
        <v>0</v>
      </c>
      <c r="K5939" t="n">
        <v>0</v>
      </c>
      <c r="L5939" t="n">
        <v>0</v>
      </c>
      <c r="M5939" t="n">
        <v>0</v>
      </c>
      <c r="N5939" t="n">
        <v>0</v>
      </c>
      <c r="O5939" t="n">
        <v>0</v>
      </c>
      <c r="P5939" t="n">
        <v>0</v>
      </c>
      <c r="Q5939" t="n">
        <v>0</v>
      </c>
      <c r="R5939" s="2" t="inlineStr"/>
    </row>
    <row r="5940" ht="15" customHeight="1">
      <c r="A5940" t="inlineStr">
        <is>
          <t>A 56395-2022</t>
        </is>
      </c>
      <c r="B5940" s="1" t="n">
        <v>44890</v>
      </c>
      <c r="C5940" s="1" t="n">
        <v>45212</v>
      </c>
      <c r="D5940" t="inlineStr">
        <is>
          <t>VÄSTERNORRLANDS LÄN</t>
        </is>
      </c>
      <c r="E5940" t="inlineStr">
        <is>
          <t>HÄRNÖSAND</t>
        </is>
      </c>
      <c r="F5940" t="inlineStr">
        <is>
          <t>Kyrkan</t>
        </is>
      </c>
      <c r="G5940" t="n">
        <v>7.4</v>
      </c>
      <c r="H5940" t="n">
        <v>0</v>
      </c>
      <c r="I5940" t="n">
        <v>0</v>
      </c>
      <c r="J5940" t="n">
        <v>0</v>
      </c>
      <c r="K5940" t="n">
        <v>0</v>
      </c>
      <c r="L5940" t="n">
        <v>0</v>
      </c>
      <c r="M5940" t="n">
        <v>0</v>
      </c>
      <c r="N5940" t="n">
        <v>0</v>
      </c>
      <c r="O5940" t="n">
        <v>0</v>
      </c>
      <c r="P5940" t="n">
        <v>0</v>
      </c>
      <c r="Q5940" t="n">
        <v>0</v>
      </c>
      <c r="R5940" s="2" t="inlineStr"/>
    </row>
    <row r="5941" ht="15" customHeight="1">
      <c r="A5941" t="inlineStr">
        <is>
          <t>A 56399-2022</t>
        </is>
      </c>
      <c r="B5941" s="1" t="n">
        <v>44890</v>
      </c>
      <c r="C5941" s="1" t="n">
        <v>45212</v>
      </c>
      <c r="D5941" t="inlineStr">
        <is>
          <t>VÄSTERNORRLANDS LÄN</t>
        </is>
      </c>
      <c r="E5941" t="inlineStr">
        <is>
          <t>ÅNGE</t>
        </is>
      </c>
      <c r="F5941" t="inlineStr">
        <is>
          <t>SCA</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58065-2022</t>
        </is>
      </c>
      <c r="B5942" s="1" t="n">
        <v>44893</v>
      </c>
      <c r="C5942" s="1" t="n">
        <v>45212</v>
      </c>
      <c r="D5942" t="inlineStr">
        <is>
          <t>VÄSTERNORRLANDS LÄN</t>
        </is>
      </c>
      <c r="E5942" t="inlineStr">
        <is>
          <t>ÖRNSKÖLDSVIK</t>
        </is>
      </c>
      <c r="G5942" t="n">
        <v>5.3</v>
      </c>
      <c r="H5942" t="n">
        <v>0</v>
      </c>
      <c r="I5942" t="n">
        <v>0</v>
      </c>
      <c r="J5942" t="n">
        <v>0</v>
      </c>
      <c r="K5942" t="n">
        <v>0</v>
      </c>
      <c r="L5942" t="n">
        <v>0</v>
      </c>
      <c r="M5942" t="n">
        <v>0</v>
      </c>
      <c r="N5942" t="n">
        <v>0</v>
      </c>
      <c r="O5942" t="n">
        <v>0</v>
      </c>
      <c r="P5942" t="n">
        <v>0</v>
      </c>
      <c r="Q5942" t="n">
        <v>0</v>
      </c>
      <c r="R5942" s="2" t="inlineStr"/>
    </row>
    <row r="5943" ht="15" customHeight="1">
      <c r="A5943" t="inlineStr">
        <is>
          <t>A 56662-2022</t>
        </is>
      </c>
      <c r="B5943" s="1" t="n">
        <v>44893</v>
      </c>
      <c r="C5943" s="1" t="n">
        <v>45212</v>
      </c>
      <c r="D5943" t="inlineStr">
        <is>
          <t>VÄSTERNORRLANDS LÄN</t>
        </is>
      </c>
      <c r="E5943" t="inlineStr">
        <is>
          <t>ÖRNSKÖLDSVIK</t>
        </is>
      </c>
      <c r="F5943" t="inlineStr">
        <is>
          <t>Holmen skog AB</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56695-2022</t>
        </is>
      </c>
      <c r="B5944" s="1" t="n">
        <v>44893</v>
      </c>
      <c r="C5944" s="1" t="n">
        <v>45212</v>
      </c>
      <c r="D5944" t="inlineStr">
        <is>
          <t>VÄSTERNORRLANDS LÄN</t>
        </is>
      </c>
      <c r="E5944" t="inlineStr">
        <is>
          <t>ÖRNSKÖLDSVIK</t>
        </is>
      </c>
      <c r="F5944" t="inlineStr">
        <is>
          <t>Holmen skog AB</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58060-2022</t>
        </is>
      </c>
      <c r="B5945" s="1" t="n">
        <v>44893</v>
      </c>
      <c r="C5945" s="1" t="n">
        <v>45212</v>
      </c>
      <c r="D5945" t="inlineStr">
        <is>
          <t>VÄSTERNORRLANDS LÄN</t>
        </is>
      </c>
      <c r="E5945" t="inlineStr">
        <is>
          <t>ÖRNSKÖLDSVIK</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58218-2022</t>
        </is>
      </c>
      <c r="B5946" s="1" t="n">
        <v>44893</v>
      </c>
      <c r="C5946" s="1" t="n">
        <v>45212</v>
      </c>
      <c r="D5946" t="inlineStr">
        <is>
          <t>VÄSTERNORRLANDS LÄN</t>
        </is>
      </c>
      <c r="E5946" t="inlineStr">
        <is>
          <t>SUNDSVALL</t>
        </is>
      </c>
      <c r="G5946" t="n">
        <v>0.8</v>
      </c>
      <c r="H5946" t="n">
        <v>0</v>
      </c>
      <c r="I5946" t="n">
        <v>0</v>
      </c>
      <c r="J5946" t="n">
        <v>0</v>
      </c>
      <c r="K5946" t="n">
        <v>0</v>
      </c>
      <c r="L5946" t="n">
        <v>0</v>
      </c>
      <c r="M5946" t="n">
        <v>0</v>
      </c>
      <c r="N5946" t="n">
        <v>0</v>
      </c>
      <c r="O5946" t="n">
        <v>0</v>
      </c>
      <c r="P5946" t="n">
        <v>0</v>
      </c>
      <c r="Q5946" t="n">
        <v>0</v>
      </c>
      <c r="R5946" s="2" t="inlineStr"/>
    </row>
    <row r="5947" ht="15" customHeight="1">
      <c r="A5947" t="inlineStr">
        <is>
          <t>A 56492-2022</t>
        </is>
      </c>
      <c r="B5947" s="1" t="n">
        <v>44893</v>
      </c>
      <c r="C5947" s="1" t="n">
        <v>45212</v>
      </c>
      <c r="D5947" t="inlineStr">
        <is>
          <t>VÄSTERNORRLANDS LÄN</t>
        </is>
      </c>
      <c r="E5947" t="inlineStr">
        <is>
          <t>ÖRNSKÖLDSVIK</t>
        </is>
      </c>
      <c r="F5947" t="inlineStr">
        <is>
          <t>Holmen skog AB</t>
        </is>
      </c>
      <c r="G5947" t="n">
        <v>8.300000000000001</v>
      </c>
      <c r="H5947" t="n">
        <v>0</v>
      </c>
      <c r="I5947" t="n">
        <v>0</v>
      </c>
      <c r="J5947" t="n">
        <v>0</v>
      </c>
      <c r="K5947" t="n">
        <v>0</v>
      </c>
      <c r="L5947" t="n">
        <v>0</v>
      </c>
      <c r="M5947" t="n">
        <v>0</v>
      </c>
      <c r="N5947" t="n">
        <v>0</v>
      </c>
      <c r="O5947" t="n">
        <v>0</v>
      </c>
      <c r="P5947" t="n">
        <v>0</v>
      </c>
      <c r="Q5947" t="n">
        <v>0</v>
      </c>
      <c r="R5947" s="2" t="inlineStr"/>
      <c r="U5947">
        <f>HYPERLINK("https://klasma.github.io/Logging_2284/knärot/A 56492-2022 knärot.png", "A 56492-2022")</f>
        <v/>
      </c>
      <c r="V5947">
        <f>HYPERLINK("https://klasma.github.io/Logging_2284/klagomål/A 56492-2022 klagomål.docx", "A 56492-2022")</f>
        <v/>
      </c>
      <c r="W5947">
        <f>HYPERLINK("https://klasma.github.io/Logging_2284/klagomålsmail/A 56492-2022 klagomålsmail.docx", "A 56492-2022")</f>
        <v/>
      </c>
      <c r="X5947">
        <f>HYPERLINK("https://klasma.github.io/Logging_2284/tillsyn/A 56492-2022 tillsyn.docx", "A 56492-2022")</f>
        <v/>
      </c>
      <c r="Y5947">
        <f>HYPERLINK("https://klasma.github.io/Logging_2284/tillsynsmail/A 56492-2022 tillsynsmail.docx", "A 56492-2022")</f>
        <v/>
      </c>
    </row>
    <row r="5948" ht="15" customHeight="1">
      <c r="A5948" t="inlineStr">
        <is>
          <t>A 56657-2022</t>
        </is>
      </c>
      <c r="B5948" s="1" t="n">
        <v>44893</v>
      </c>
      <c r="C5948" s="1" t="n">
        <v>45212</v>
      </c>
      <c r="D5948" t="inlineStr">
        <is>
          <t>VÄSTERNORRLANDS LÄN</t>
        </is>
      </c>
      <c r="E5948" t="inlineStr">
        <is>
          <t>ÖRNSKÖLDSVIK</t>
        </is>
      </c>
      <c r="F5948" t="inlineStr">
        <is>
          <t>Holmen skog AB</t>
        </is>
      </c>
      <c r="G5948" t="n">
        <v>3.7</v>
      </c>
      <c r="H5948" t="n">
        <v>0</v>
      </c>
      <c r="I5948" t="n">
        <v>0</v>
      </c>
      <c r="J5948" t="n">
        <v>0</v>
      </c>
      <c r="K5948" t="n">
        <v>0</v>
      </c>
      <c r="L5948" t="n">
        <v>0</v>
      </c>
      <c r="M5948" t="n">
        <v>0</v>
      </c>
      <c r="N5948" t="n">
        <v>0</v>
      </c>
      <c r="O5948" t="n">
        <v>0</v>
      </c>
      <c r="P5948" t="n">
        <v>0</v>
      </c>
      <c r="Q5948" t="n">
        <v>0</v>
      </c>
      <c r="R5948" s="2" t="inlineStr"/>
    </row>
    <row r="5949" ht="15" customHeight="1">
      <c r="A5949" t="inlineStr">
        <is>
          <t>A 56731-2022</t>
        </is>
      </c>
      <c r="B5949" s="1" t="n">
        <v>44893</v>
      </c>
      <c r="C5949" s="1" t="n">
        <v>45212</v>
      </c>
      <c r="D5949" t="inlineStr">
        <is>
          <t>VÄSTERNORRLANDS LÄN</t>
        </is>
      </c>
      <c r="E5949" t="inlineStr">
        <is>
          <t>ÅNGE</t>
        </is>
      </c>
      <c r="F5949" t="inlineStr">
        <is>
          <t>SCA</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56604-2022</t>
        </is>
      </c>
      <c r="B5950" s="1" t="n">
        <v>44893</v>
      </c>
      <c r="C5950" s="1" t="n">
        <v>45212</v>
      </c>
      <c r="D5950" t="inlineStr">
        <is>
          <t>VÄSTERNORRLANDS LÄN</t>
        </is>
      </c>
      <c r="E5950" t="inlineStr">
        <is>
          <t>ÖRNSKÖLDSVIK</t>
        </is>
      </c>
      <c r="F5950" t="inlineStr">
        <is>
          <t>Holmen skog AB</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58057-2022</t>
        </is>
      </c>
      <c r="B5951" s="1" t="n">
        <v>44893</v>
      </c>
      <c r="C5951" s="1" t="n">
        <v>45212</v>
      </c>
      <c r="D5951" t="inlineStr">
        <is>
          <t>VÄSTERNORRLANDS LÄN</t>
        </is>
      </c>
      <c r="E5951" t="inlineStr">
        <is>
          <t>ÖRNSKÖLDSVIK</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58283-2022</t>
        </is>
      </c>
      <c r="B5952" s="1" t="n">
        <v>44893</v>
      </c>
      <c r="C5952" s="1" t="n">
        <v>45212</v>
      </c>
      <c r="D5952" t="inlineStr">
        <is>
          <t>VÄSTERNORRLANDS LÄN</t>
        </is>
      </c>
      <c r="E5952" t="inlineStr">
        <is>
          <t>SUNDSVALL</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56636-2022</t>
        </is>
      </c>
      <c r="B5953" s="1" t="n">
        <v>44893</v>
      </c>
      <c r="C5953" s="1" t="n">
        <v>45212</v>
      </c>
      <c r="D5953" t="inlineStr">
        <is>
          <t>VÄSTERNORRLANDS LÄN</t>
        </is>
      </c>
      <c r="E5953" t="inlineStr">
        <is>
          <t>ÖRNSKÖLDSVIK</t>
        </is>
      </c>
      <c r="F5953" t="inlineStr">
        <is>
          <t>Holmen skog AB</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56769-2022</t>
        </is>
      </c>
      <c r="B5954" s="1" t="n">
        <v>44894</v>
      </c>
      <c r="C5954" s="1" t="n">
        <v>45212</v>
      </c>
      <c r="D5954" t="inlineStr">
        <is>
          <t>VÄSTERNORRLANDS LÄN</t>
        </is>
      </c>
      <c r="E5954" t="inlineStr">
        <is>
          <t>KRAMFORS</t>
        </is>
      </c>
      <c r="G5954" t="n">
        <v>3.6</v>
      </c>
      <c r="H5954" t="n">
        <v>0</v>
      </c>
      <c r="I5954" t="n">
        <v>0</v>
      </c>
      <c r="J5954" t="n">
        <v>0</v>
      </c>
      <c r="K5954" t="n">
        <v>0</v>
      </c>
      <c r="L5954" t="n">
        <v>0</v>
      </c>
      <c r="M5954" t="n">
        <v>0</v>
      </c>
      <c r="N5954" t="n">
        <v>0</v>
      </c>
      <c r="O5954" t="n">
        <v>0</v>
      </c>
      <c r="P5954" t="n">
        <v>0</v>
      </c>
      <c r="Q5954" t="n">
        <v>0</v>
      </c>
      <c r="R5954" s="2" t="inlineStr"/>
    </row>
    <row r="5955" ht="15" customHeight="1">
      <c r="A5955" t="inlineStr">
        <is>
          <t>A 56956-2022</t>
        </is>
      </c>
      <c r="B5955" s="1" t="n">
        <v>44894</v>
      </c>
      <c r="C5955" s="1" t="n">
        <v>45212</v>
      </c>
      <c r="D5955" t="inlineStr">
        <is>
          <t>VÄSTERNORRLANDS LÄN</t>
        </is>
      </c>
      <c r="E5955" t="inlineStr">
        <is>
          <t>ÅNGE</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56996-2022</t>
        </is>
      </c>
      <c r="B5956" s="1" t="n">
        <v>44894</v>
      </c>
      <c r="C5956" s="1" t="n">
        <v>45212</v>
      </c>
      <c r="D5956" t="inlineStr">
        <is>
          <t>VÄSTERNORRLANDS LÄN</t>
        </is>
      </c>
      <c r="E5956" t="inlineStr">
        <is>
          <t>KRAMFORS</t>
        </is>
      </c>
      <c r="G5956" t="n">
        <v>13.8</v>
      </c>
      <c r="H5956" t="n">
        <v>0</v>
      </c>
      <c r="I5956" t="n">
        <v>0</v>
      </c>
      <c r="J5956" t="n">
        <v>0</v>
      </c>
      <c r="K5956" t="n">
        <v>0</v>
      </c>
      <c r="L5956" t="n">
        <v>0</v>
      </c>
      <c r="M5956" t="n">
        <v>0</v>
      </c>
      <c r="N5956" t="n">
        <v>0</v>
      </c>
      <c r="O5956" t="n">
        <v>0</v>
      </c>
      <c r="P5956" t="n">
        <v>0</v>
      </c>
      <c r="Q5956" t="n">
        <v>0</v>
      </c>
      <c r="R5956" s="2" t="inlineStr"/>
    </row>
    <row r="5957" ht="15" customHeight="1">
      <c r="A5957" t="inlineStr">
        <is>
          <t>A 58519-2022</t>
        </is>
      </c>
      <c r="B5957" s="1" t="n">
        <v>44894</v>
      </c>
      <c r="C5957" s="1" t="n">
        <v>45212</v>
      </c>
      <c r="D5957" t="inlineStr">
        <is>
          <t>VÄSTERNORRLANDS LÄN</t>
        </is>
      </c>
      <c r="E5957" t="inlineStr">
        <is>
          <t>SOLLEFTEÅ</t>
        </is>
      </c>
      <c r="G5957" t="n">
        <v>4.5</v>
      </c>
      <c r="H5957" t="n">
        <v>0</v>
      </c>
      <c r="I5957" t="n">
        <v>0</v>
      </c>
      <c r="J5957" t="n">
        <v>0</v>
      </c>
      <c r="K5957" t="n">
        <v>0</v>
      </c>
      <c r="L5957" t="n">
        <v>0</v>
      </c>
      <c r="M5957" t="n">
        <v>0</v>
      </c>
      <c r="N5957" t="n">
        <v>0</v>
      </c>
      <c r="O5957" t="n">
        <v>0</v>
      </c>
      <c r="P5957" t="n">
        <v>0</v>
      </c>
      <c r="Q5957" t="n">
        <v>0</v>
      </c>
      <c r="R5957" s="2" t="inlineStr"/>
    </row>
    <row r="5958" ht="15" customHeight="1">
      <c r="A5958" t="inlineStr">
        <is>
          <t>A 56775-2022</t>
        </is>
      </c>
      <c r="B5958" s="1" t="n">
        <v>44894</v>
      </c>
      <c r="C5958" s="1" t="n">
        <v>45212</v>
      </c>
      <c r="D5958" t="inlineStr">
        <is>
          <t>VÄSTERNORRLANDS LÄN</t>
        </is>
      </c>
      <c r="E5958" t="inlineStr">
        <is>
          <t>ÅNGE</t>
        </is>
      </c>
      <c r="F5958" t="inlineStr">
        <is>
          <t>Holmen skog AB</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56946-2022</t>
        </is>
      </c>
      <c r="B5959" s="1" t="n">
        <v>44894</v>
      </c>
      <c r="C5959" s="1" t="n">
        <v>45212</v>
      </c>
      <c r="D5959" t="inlineStr">
        <is>
          <t>VÄSTERNORRLANDS LÄN</t>
        </is>
      </c>
      <c r="E5959" t="inlineStr">
        <is>
          <t>ÅNGE</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56962-2022</t>
        </is>
      </c>
      <c r="B5960" s="1" t="n">
        <v>44894</v>
      </c>
      <c r="C5960" s="1" t="n">
        <v>45212</v>
      </c>
      <c r="D5960" t="inlineStr">
        <is>
          <t>VÄSTERNORRLANDS LÄN</t>
        </is>
      </c>
      <c r="E5960" t="inlineStr">
        <is>
          <t>ÖRNSKÖLDSVIK</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58588-2022</t>
        </is>
      </c>
      <c r="B5961" s="1" t="n">
        <v>44894</v>
      </c>
      <c r="C5961" s="1" t="n">
        <v>45212</v>
      </c>
      <c r="D5961" t="inlineStr">
        <is>
          <t>VÄSTERNORRLANDS LÄN</t>
        </is>
      </c>
      <c r="E5961" t="inlineStr">
        <is>
          <t>HÄRNÖSAND</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56753-2022</t>
        </is>
      </c>
      <c r="B5962" s="1" t="n">
        <v>44894</v>
      </c>
      <c r="C5962" s="1" t="n">
        <v>45212</v>
      </c>
      <c r="D5962" t="inlineStr">
        <is>
          <t>VÄSTERNORRLANDS LÄN</t>
        </is>
      </c>
      <c r="E5962" t="inlineStr">
        <is>
          <t>KRAMFORS</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56816-2022</t>
        </is>
      </c>
      <c r="B5963" s="1" t="n">
        <v>44894</v>
      </c>
      <c r="C5963" s="1" t="n">
        <v>45212</v>
      </c>
      <c r="D5963" t="inlineStr">
        <is>
          <t>VÄSTERNORRLANDS LÄN</t>
        </is>
      </c>
      <c r="E5963" t="inlineStr">
        <is>
          <t>ÖRNSKÖLDSVIK</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56951-2022</t>
        </is>
      </c>
      <c r="B5964" s="1" t="n">
        <v>44894</v>
      </c>
      <c r="C5964" s="1" t="n">
        <v>45212</v>
      </c>
      <c r="D5964" t="inlineStr">
        <is>
          <t>VÄSTERNORRLANDS LÄN</t>
        </is>
      </c>
      <c r="E5964" t="inlineStr">
        <is>
          <t>ÖRNSKÖLDSVIK</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56998-2022</t>
        </is>
      </c>
      <c r="B5965" s="1" t="n">
        <v>44894</v>
      </c>
      <c r="C5965" s="1" t="n">
        <v>45212</v>
      </c>
      <c r="D5965" t="inlineStr">
        <is>
          <t>VÄSTERNORRLANDS LÄN</t>
        </is>
      </c>
      <c r="E5965" t="inlineStr">
        <is>
          <t>HÄRNÖSAND</t>
        </is>
      </c>
      <c r="F5965" t="inlineStr">
        <is>
          <t>SCA</t>
        </is>
      </c>
      <c r="G5965" t="n">
        <v>1.4</v>
      </c>
      <c r="H5965" t="n">
        <v>0</v>
      </c>
      <c r="I5965" t="n">
        <v>0</v>
      </c>
      <c r="J5965" t="n">
        <v>0</v>
      </c>
      <c r="K5965" t="n">
        <v>0</v>
      </c>
      <c r="L5965" t="n">
        <v>0</v>
      </c>
      <c r="M5965" t="n">
        <v>0</v>
      </c>
      <c r="N5965" t="n">
        <v>0</v>
      </c>
      <c r="O5965" t="n">
        <v>0</v>
      </c>
      <c r="P5965" t="n">
        <v>0</v>
      </c>
      <c r="Q5965" t="n">
        <v>0</v>
      </c>
      <c r="R5965" s="2" t="inlineStr"/>
    </row>
    <row r="5966" ht="15" customHeight="1">
      <c r="A5966" t="inlineStr">
        <is>
          <t>A 57289-2022</t>
        </is>
      </c>
      <c r="B5966" s="1" t="n">
        <v>44895</v>
      </c>
      <c r="C5966" s="1" t="n">
        <v>45212</v>
      </c>
      <c r="D5966" t="inlineStr">
        <is>
          <t>VÄSTERNORRLANDS LÄN</t>
        </is>
      </c>
      <c r="E5966" t="inlineStr">
        <is>
          <t>ÅNGE</t>
        </is>
      </c>
      <c r="F5966" t="inlineStr">
        <is>
          <t>SCA</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57291-2022</t>
        </is>
      </c>
      <c r="B5967" s="1" t="n">
        <v>44895</v>
      </c>
      <c r="C5967" s="1" t="n">
        <v>45212</v>
      </c>
      <c r="D5967" t="inlineStr">
        <is>
          <t>VÄSTERNORRLANDS LÄN</t>
        </is>
      </c>
      <c r="E5967" t="inlineStr">
        <is>
          <t>ÅNGE</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58636-2022</t>
        </is>
      </c>
      <c r="B5968" s="1" t="n">
        <v>44895</v>
      </c>
      <c r="C5968" s="1" t="n">
        <v>45212</v>
      </c>
      <c r="D5968" t="inlineStr">
        <is>
          <t>VÄSTERNORRLANDS LÄN</t>
        </is>
      </c>
      <c r="E5968" t="inlineStr">
        <is>
          <t>SOLLEFTEÅ</t>
        </is>
      </c>
      <c r="G5968" t="n">
        <v>5.7</v>
      </c>
      <c r="H5968" t="n">
        <v>0</v>
      </c>
      <c r="I5968" t="n">
        <v>0</v>
      </c>
      <c r="J5968" t="n">
        <v>0</v>
      </c>
      <c r="K5968" t="n">
        <v>0</v>
      </c>
      <c r="L5968" t="n">
        <v>0</v>
      </c>
      <c r="M5968" t="n">
        <v>0</v>
      </c>
      <c r="N5968" t="n">
        <v>0</v>
      </c>
      <c r="O5968" t="n">
        <v>0</v>
      </c>
      <c r="P5968" t="n">
        <v>0</v>
      </c>
      <c r="Q5968" t="n">
        <v>0</v>
      </c>
      <c r="R5968" s="2" t="inlineStr"/>
    </row>
    <row r="5969" ht="15" customHeight="1">
      <c r="A5969" t="inlineStr">
        <is>
          <t>A 57169-2022</t>
        </is>
      </c>
      <c r="B5969" s="1" t="n">
        <v>44895</v>
      </c>
      <c r="C5969" s="1" t="n">
        <v>45212</v>
      </c>
      <c r="D5969" t="inlineStr">
        <is>
          <t>VÄSTERNORRLANDS LÄN</t>
        </is>
      </c>
      <c r="E5969" t="inlineStr">
        <is>
          <t>ÖRNSKÖLDSVIK</t>
        </is>
      </c>
      <c r="F5969" t="inlineStr">
        <is>
          <t>Holmen skog AB</t>
        </is>
      </c>
      <c r="G5969" t="n">
        <v>8</v>
      </c>
      <c r="H5969" t="n">
        <v>0</v>
      </c>
      <c r="I5969" t="n">
        <v>0</v>
      </c>
      <c r="J5969" t="n">
        <v>0</v>
      </c>
      <c r="K5969" t="n">
        <v>0</v>
      </c>
      <c r="L5969" t="n">
        <v>0</v>
      </c>
      <c r="M5969" t="n">
        <v>0</v>
      </c>
      <c r="N5969" t="n">
        <v>0</v>
      </c>
      <c r="O5969" t="n">
        <v>0</v>
      </c>
      <c r="P5969" t="n">
        <v>0</v>
      </c>
      <c r="Q5969" t="n">
        <v>0</v>
      </c>
      <c r="R5969" s="2" t="inlineStr"/>
    </row>
    <row r="5970" ht="15" customHeight="1">
      <c r="A5970" t="inlineStr">
        <is>
          <t>A 58643-2022</t>
        </is>
      </c>
      <c r="B5970" s="1" t="n">
        <v>44895</v>
      </c>
      <c r="C5970" s="1" t="n">
        <v>45212</v>
      </c>
      <c r="D5970" t="inlineStr">
        <is>
          <t>VÄSTERNORRLANDS LÄN</t>
        </is>
      </c>
      <c r="E5970" t="inlineStr">
        <is>
          <t>SOLLEFTEÅ</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57288-2022</t>
        </is>
      </c>
      <c r="B5971" s="1" t="n">
        <v>44895</v>
      </c>
      <c r="C5971" s="1" t="n">
        <v>45212</v>
      </c>
      <c r="D5971" t="inlineStr">
        <is>
          <t>VÄSTERNORRLANDS LÄN</t>
        </is>
      </c>
      <c r="E5971" t="inlineStr">
        <is>
          <t>ÅNGE</t>
        </is>
      </c>
      <c r="F5971" t="inlineStr">
        <is>
          <t>SCA</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58646-2022</t>
        </is>
      </c>
      <c r="B5972" s="1" t="n">
        <v>44895</v>
      </c>
      <c r="C5972" s="1" t="n">
        <v>45212</v>
      </c>
      <c r="D5972" t="inlineStr">
        <is>
          <t>VÄSTERNORRLANDS LÄN</t>
        </is>
      </c>
      <c r="E5972" t="inlineStr">
        <is>
          <t>SOLLEFTEÅ</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57598-2022</t>
        </is>
      </c>
      <c r="B5973" s="1" t="n">
        <v>44896</v>
      </c>
      <c r="C5973" s="1" t="n">
        <v>45212</v>
      </c>
      <c r="D5973" t="inlineStr">
        <is>
          <t>VÄSTERNORRLANDS LÄN</t>
        </is>
      </c>
      <c r="E5973" t="inlineStr">
        <is>
          <t>ÅNGE</t>
        </is>
      </c>
      <c r="F5973" t="inlineStr">
        <is>
          <t>SCA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57509-2022</t>
        </is>
      </c>
      <c r="B5974" s="1" t="n">
        <v>44896</v>
      </c>
      <c r="C5974" s="1" t="n">
        <v>45212</v>
      </c>
      <c r="D5974" t="inlineStr">
        <is>
          <t>VÄSTERNORRLANDS LÄN</t>
        </is>
      </c>
      <c r="E5974" t="inlineStr">
        <is>
          <t>KRAMFORS</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57602-2022</t>
        </is>
      </c>
      <c r="B5975" s="1" t="n">
        <v>44896</v>
      </c>
      <c r="C5975" s="1" t="n">
        <v>45212</v>
      </c>
      <c r="D5975" t="inlineStr">
        <is>
          <t>VÄSTERNORRLANDS LÄN</t>
        </is>
      </c>
      <c r="E5975" t="inlineStr">
        <is>
          <t>ÅNGE</t>
        </is>
      </c>
      <c r="F5975" t="inlineStr">
        <is>
          <t>SCA</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57567-2022</t>
        </is>
      </c>
      <c r="B5976" s="1" t="n">
        <v>44896</v>
      </c>
      <c r="C5976" s="1" t="n">
        <v>45212</v>
      </c>
      <c r="D5976" t="inlineStr">
        <is>
          <t>VÄSTERNORRLANDS LÄN</t>
        </is>
      </c>
      <c r="E5976" t="inlineStr">
        <is>
          <t>ÖRNSKÖLDSVIK</t>
        </is>
      </c>
      <c r="G5976" t="n">
        <v>5.3</v>
      </c>
      <c r="H5976" t="n">
        <v>0</v>
      </c>
      <c r="I5976" t="n">
        <v>0</v>
      </c>
      <c r="J5976" t="n">
        <v>0</v>
      </c>
      <c r="K5976" t="n">
        <v>0</v>
      </c>
      <c r="L5976" t="n">
        <v>0</v>
      </c>
      <c r="M5976" t="n">
        <v>0</v>
      </c>
      <c r="N5976" t="n">
        <v>0</v>
      </c>
      <c r="O5976" t="n">
        <v>0</v>
      </c>
      <c r="P5976" t="n">
        <v>0</v>
      </c>
      <c r="Q5976" t="n">
        <v>0</v>
      </c>
      <c r="R5976" s="2" t="inlineStr"/>
    </row>
    <row r="5977" ht="15" customHeight="1">
      <c r="A5977" t="inlineStr">
        <is>
          <t>A 57601-2022</t>
        </is>
      </c>
      <c r="B5977" s="1" t="n">
        <v>44896</v>
      </c>
      <c r="C5977" s="1" t="n">
        <v>45212</v>
      </c>
      <c r="D5977" t="inlineStr">
        <is>
          <t>VÄSTERNORRLANDS LÄN</t>
        </is>
      </c>
      <c r="E5977" t="inlineStr">
        <is>
          <t>ÅNGE</t>
        </is>
      </c>
      <c r="F5977" t="inlineStr">
        <is>
          <t>SCA</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57636-2022</t>
        </is>
      </c>
      <c r="B5978" s="1" t="n">
        <v>44897</v>
      </c>
      <c r="C5978" s="1" t="n">
        <v>45212</v>
      </c>
      <c r="D5978" t="inlineStr">
        <is>
          <t>VÄSTERNORRLANDS LÄN</t>
        </is>
      </c>
      <c r="E5978" t="inlineStr">
        <is>
          <t>ÅNGE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57831-2022</t>
        </is>
      </c>
      <c r="B5979" s="1" t="n">
        <v>44897</v>
      </c>
      <c r="C5979" s="1" t="n">
        <v>45212</v>
      </c>
      <c r="D5979" t="inlineStr">
        <is>
          <t>VÄSTERNORRLANDS LÄN</t>
        </is>
      </c>
      <c r="E5979" t="inlineStr">
        <is>
          <t>TIMRÅ</t>
        </is>
      </c>
      <c r="F5979" t="inlineStr">
        <is>
          <t>SCA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57838-2022</t>
        </is>
      </c>
      <c r="B5980" s="1" t="n">
        <v>44897</v>
      </c>
      <c r="C5980" s="1" t="n">
        <v>45212</v>
      </c>
      <c r="D5980" t="inlineStr">
        <is>
          <t>VÄSTERNORRLANDS LÄN</t>
        </is>
      </c>
      <c r="E5980" t="inlineStr">
        <is>
          <t>SUNDSVALL</t>
        </is>
      </c>
      <c r="F5980" t="inlineStr">
        <is>
          <t>SCA</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59073-2022</t>
        </is>
      </c>
      <c r="B5981" s="1" t="n">
        <v>44897</v>
      </c>
      <c r="C5981" s="1" t="n">
        <v>45212</v>
      </c>
      <c r="D5981" t="inlineStr">
        <is>
          <t>VÄSTERNORRLANDS LÄN</t>
        </is>
      </c>
      <c r="E5981" t="inlineStr">
        <is>
          <t>HÄRNÖSAND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59321-2022</t>
        </is>
      </c>
      <c r="B5982" s="1" t="n">
        <v>44897</v>
      </c>
      <c r="C5982" s="1" t="n">
        <v>45212</v>
      </c>
      <c r="D5982" t="inlineStr">
        <is>
          <t>VÄSTERNORRLANDS LÄN</t>
        </is>
      </c>
      <c r="E5982" t="inlineStr">
        <is>
          <t>HÄRNÖSAND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57830-2022</t>
        </is>
      </c>
      <c r="B5983" s="1" t="n">
        <v>44897</v>
      </c>
      <c r="C5983" s="1" t="n">
        <v>45212</v>
      </c>
      <c r="D5983" t="inlineStr">
        <is>
          <t>VÄSTERNORRLANDS LÄN</t>
        </is>
      </c>
      <c r="E5983" t="inlineStr">
        <is>
          <t>SUNDSVALL</t>
        </is>
      </c>
      <c r="F5983" t="inlineStr">
        <is>
          <t>SCA</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57841-2022</t>
        </is>
      </c>
      <c r="B5984" s="1" t="n">
        <v>44897</v>
      </c>
      <c r="C5984" s="1" t="n">
        <v>45212</v>
      </c>
      <c r="D5984" t="inlineStr">
        <is>
          <t>VÄSTERNORRLANDS LÄN</t>
        </is>
      </c>
      <c r="E5984" t="inlineStr">
        <is>
          <t>TIMRÅ</t>
        </is>
      </c>
      <c r="F5984" t="inlineStr">
        <is>
          <t>SCA</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59084-2022</t>
        </is>
      </c>
      <c r="B5985" s="1" t="n">
        <v>44897</v>
      </c>
      <c r="C5985" s="1" t="n">
        <v>45212</v>
      </c>
      <c r="D5985" t="inlineStr">
        <is>
          <t>VÄSTERNORRLANDS LÄN</t>
        </is>
      </c>
      <c r="E5985" t="inlineStr">
        <is>
          <t>KRAMFORS</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57828-2022</t>
        </is>
      </c>
      <c r="B5986" s="1" t="n">
        <v>44897</v>
      </c>
      <c r="C5986" s="1" t="n">
        <v>45212</v>
      </c>
      <c r="D5986" t="inlineStr">
        <is>
          <t>VÄSTERNORRLANDS LÄN</t>
        </is>
      </c>
      <c r="E5986" t="inlineStr">
        <is>
          <t>SUNDSVALL</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57840-2022</t>
        </is>
      </c>
      <c r="B5987" s="1" t="n">
        <v>44897</v>
      </c>
      <c r="C5987" s="1" t="n">
        <v>45212</v>
      </c>
      <c r="D5987" t="inlineStr">
        <is>
          <t>VÄSTERNORRLANDS LÄN</t>
        </is>
      </c>
      <c r="E5987" t="inlineStr">
        <is>
          <t>TIMRÅ</t>
        </is>
      </c>
      <c r="F5987" t="inlineStr">
        <is>
          <t>SCA</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59139-2022</t>
        </is>
      </c>
      <c r="B5988" s="1" t="n">
        <v>44897</v>
      </c>
      <c r="C5988" s="1" t="n">
        <v>45212</v>
      </c>
      <c r="D5988" t="inlineStr">
        <is>
          <t>VÄSTERNORRLANDS LÄN</t>
        </is>
      </c>
      <c r="E5988" t="inlineStr">
        <is>
          <t>ÖRNSKÖLDSVIK</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57686-2022</t>
        </is>
      </c>
      <c r="B5989" s="1" t="n">
        <v>44897</v>
      </c>
      <c r="C5989" s="1" t="n">
        <v>45212</v>
      </c>
      <c r="D5989" t="inlineStr">
        <is>
          <t>VÄSTERNORRLANDS LÄN</t>
        </is>
      </c>
      <c r="E5989" t="inlineStr">
        <is>
          <t>ÖRNSKÖLDSVIK</t>
        </is>
      </c>
      <c r="F5989" t="inlineStr">
        <is>
          <t>Holmen skog AB</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57832-2022</t>
        </is>
      </c>
      <c r="B5990" s="1" t="n">
        <v>44897</v>
      </c>
      <c r="C5990" s="1" t="n">
        <v>45212</v>
      </c>
      <c r="D5990" t="inlineStr">
        <is>
          <t>VÄSTERNORRLANDS LÄN</t>
        </is>
      </c>
      <c r="E5990" t="inlineStr">
        <is>
          <t>SUNDSVALL</t>
        </is>
      </c>
      <c r="F5990" t="inlineStr">
        <is>
          <t>SCA</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59079-2022</t>
        </is>
      </c>
      <c r="B5991" s="1" t="n">
        <v>44897</v>
      </c>
      <c r="C5991" s="1" t="n">
        <v>45212</v>
      </c>
      <c r="D5991" t="inlineStr">
        <is>
          <t>VÄSTERNORRLANDS LÄN</t>
        </is>
      </c>
      <c r="E5991" t="inlineStr">
        <is>
          <t>KRAMFORS</t>
        </is>
      </c>
      <c r="G5991" t="n">
        <v>2.3</v>
      </c>
      <c r="H5991" t="n">
        <v>0</v>
      </c>
      <c r="I5991" t="n">
        <v>0</v>
      </c>
      <c r="J5991" t="n">
        <v>0</v>
      </c>
      <c r="K5991" t="n">
        <v>0</v>
      </c>
      <c r="L5991" t="n">
        <v>0</v>
      </c>
      <c r="M5991" t="n">
        <v>0</v>
      </c>
      <c r="N5991" t="n">
        <v>0</v>
      </c>
      <c r="O5991" t="n">
        <v>0</v>
      </c>
      <c r="P5991" t="n">
        <v>0</v>
      </c>
      <c r="Q5991" t="n">
        <v>0</v>
      </c>
      <c r="R5991" s="2" t="inlineStr"/>
    </row>
    <row r="5992" ht="15" customHeight="1">
      <c r="A5992" t="inlineStr">
        <is>
          <t>A 59336-2022</t>
        </is>
      </c>
      <c r="B5992" s="1" t="n">
        <v>44897</v>
      </c>
      <c r="C5992" s="1" t="n">
        <v>45212</v>
      </c>
      <c r="D5992" t="inlineStr">
        <is>
          <t>VÄSTERNORRLANDS LÄN</t>
        </is>
      </c>
      <c r="E5992" t="inlineStr">
        <is>
          <t>HÄRNÖSAND</t>
        </is>
      </c>
      <c r="G5992" t="n">
        <v>6.7</v>
      </c>
      <c r="H5992" t="n">
        <v>0</v>
      </c>
      <c r="I5992" t="n">
        <v>0</v>
      </c>
      <c r="J5992" t="n">
        <v>0</v>
      </c>
      <c r="K5992" t="n">
        <v>0</v>
      </c>
      <c r="L5992" t="n">
        <v>0</v>
      </c>
      <c r="M5992" t="n">
        <v>0</v>
      </c>
      <c r="N5992" t="n">
        <v>0</v>
      </c>
      <c r="O5992" t="n">
        <v>0</v>
      </c>
      <c r="P5992" t="n">
        <v>0</v>
      </c>
      <c r="Q5992" t="n">
        <v>0</v>
      </c>
      <c r="R5992" s="2" t="inlineStr"/>
    </row>
    <row r="5993" ht="15" customHeight="1">
      <c r="A5993" t="inlineStr">
        <is>
          <t>A 57912-2022</t>
        </is>
      </c>
      <c r="B5993" s="1" t="n">
        <v>44900</v>
      </c>
      <c r="C5993" s="1" t="n">
        <v>45212</v>
      </c>
      <c r="D5993" t="inlineStr">
        <is>
          <t>VÄSTERNORRLANDS LÄN</t>
        </is>
      </c>
      <c r="E5993" t="inlineStr">
        <is>
          <t>ÖRNSKÖLDSVIK</t>
        </is>
      </c>
      <c r="F5993" t="inlineStr">
        <is>
          <t>Holmen skog AB</t>
        </is>
      </c>
      <c r="G5993" t="n">
        <v>18.5</v>
      </c>
      <c r="H5993" t="n">
        <v>0</v>
      </c>
      <c r="I5993" t="n">
        <v>0</v>
      </c>
      <c r="J5993" t="n">
        <v>0</v>
      </c>
      <c r="K5993" t="n">
        <v>0</v>
      </c>
      <c r="L5993" t="n">
        <v>0</v>
      </c>
      <c r="M5993" t="n">
        <v>0</v>
      </c>
      <c r="N5993" t="n">
        <v>0</v>
      </c>
      <c r="O5993" t="n">
        <v>0</v>
      </c>
      <c r="P5993" t="n">
        <v>0</v>
      </c>
      <c r="Q5993" t="n">
        <v>0</v>
      </c>
      <c r="R5993" s="2" t="inlineStr"/>
    </row>
    <row r="5994" ht="15" customHeight="1">
      <c r="A5994" t="inlineStr">
        <is>
          <t>A 58165-2022</t>
        </is>
      </c>
      <c r="B5994" s="1" t="n">
        <v>44900</v>
      </c>
      <c r="C5994" s="1" t="n">
        <v>45212</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58188-2022</t>
        </is>
      </c>
      <c r="B5995" s="1" t="n">
        <v>44900</v>
      </c>
      <c r="C5995" s="1" t="n">
        <v>45212</v>
      </c>
      <c r="D5995" t="inlineStr">
        <is>
          <t>VÄSTERNORRLANDS LÄN</t>
        </is>
      </c>
      <c r="E5995" t="inlineStr">
        <is>
          <t>TIMRÅ</t>
        </is>
      </c>
      <c r="F5995" t="inlineStr">
        <is>
          <t>SCA</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58185-2022</t>
        </is>
      </c>
      <c r="B5996" s="1" t="n">
        <v>44900</v>
      </c>
      <c r="C5996" s="1" t="n">
        <v>45212</v>
      </c>
      <c r="D5996" t="inlineStr">
        <is>
          <t>VÄSTERNORRLANDS LÄN</t>
        </is>
      </c>
      <c r="E5996" t="inlineStr">
        <is>
          <t>SUNDSVALL</t>
        </is>
      </c>
      <c r="F5996" t="inlineStr">
        <is>
          <t>SCA</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58424-2022</t>
        </is>
      </c>
      <c r="B5997" s="1" t="n">
        <v>44901</v>
      </c>
      <c r="C5997" s="1" t="n">
        <v>45212</v>
      </c>
      <c r="D5997" t="inlineStr">
        <is>
          <t>VÄSTERNORRLANDS LÄN</t>
        </is>
      </c>
      <c r="E5997" t="inlineStr">
        <is>
          <t>KRAMFORS</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58358-2022</t>
        </is>
      </c>
      <c r="B5998" s="1" t="n">
        <v>44901</v>
      </c>
      <c r="C5998" s="1" t="n">
        <v>45212</v>
      </c>
      <c r="D5998" t="inlineStr">
        <is>
          <t>VÄSTERNORRLANDS LÄN</t>
        </is>
      </c>
      <c r="E5998" t="inlineStr">
        <is>
          <t>ÖRNSKÖLDSVIK</t>
        </is>
      </c>
      <c r="F5998" t="inlineStr">
        <is>
          <t>Holmen skog AB</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59942-2022</t>
        </is>
      </c>
      <c r="B5999" s="1" t="n">
        <v>44901</v>
      </c>
      <c r="C5999" s="1" t="n">
        <v>45212</v>
      </c>
      <c r="D5999" t="inlineStr">
        <is>
          <t>VÄSTERNORRLANDS LÄN</t>
        </is>
      </c>
      <c r="E5999" t="inlineStr">
        <is>
          <t>TIMRÅ</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58419-2022</t>
        </is>
      </c>
      <c r="B6000" s="1" t="n">
        <v>44901</v>
      </c>
      <c r="C6000" s="1" t="n">
        <v>45212</v>
      </c>
      <c r="D6000" t="inlineStr">
        <is>
          <t>VÄSTERNORRLANDS LÄN</t>
        </is>
      </c>
      <c r="E6000" t="inlineStr">
        <is>
          <t>SUNDSVALL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59954-2022</t>
        </is>
      </c>
      <c r="B6001" s="1" t="n">
        <v>44901</v>
      </c>
      <c r="C6001" s="1" t="n">
        <v>45212</v>
      </c>
      <c r="D6001" t="inlineStr">
        <is>
          <t>VÄSTERNORRLANDS LÄN</t>
        </is>
      </c>
      <c r="E6001" t="inlineStr">
        <is>
          <t>ÖRNSKÖLDSVIK</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58568-2022</t>
        </is>
      </c>
      <c r="B6002" s="1" t="n">
        <v>44902</v>
      </c>
      <c r="C6002" s="1" t="n">
        <v>45212</v>
      </c>
      <c r="D6002" t="inlineStr">
        <is>
          <t>VÄSTERNORRLANDS LÄN</t>
        </is>
      </c>
      <c r="E6002" t="inlineStr">
        <is>
          <t>ÖRNSKÖLDSVIK</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60109-2022</t>
        </is>
      </c>
      <c r="B6003" s="1" t="n">
        <v>44902</v>
      </c>
      <c r="C6003" s="1" t="n">
        <v>45212</v>
      </c>
      <c r="D6003" t="inlineStr">
        <is>
          <t>VÄSTERNORRLANDS LÄN</t>
        </is>
      </c>
      <c r="E6003" t="inlineStr">
        <is>
          <t>ÖRNSKÖLDSVIK</t>
        </is>
      </c>
      <c r="G6003" t="n">
        <v>5.3</v>
      </c>
      <c r="H6003" t="n">
        <v>0</v>
      </c>
      <c r="I6003" t="n">
        <v>0</v>
      </c>
      <c r="J6003" t="n">
        <v>0</v>
      </c>
      <c r="K6003" t="n">
        <v>0</v>
      </c>
      <c r="L6003" t="n">
        <v>0</v>
      </c>
      <c r="M6003" t="n">
        <v>0</v>
      </c>
      <c r="N6003" t="n">
        <v>0</v>
      </c>
      <c r="O6003" t="n">
        <v>0</v>
      </c>
      <c r="P6003" t="n">
        <v>0</v>
      </c>
      <c r="Q6003" t="n">
        <v>0</v>
      </c>
      <c r="R6003" s="2" t="inlineStr"/>
    </row>
    <row r="6004" ht="15" customHeight="1">
      <c r="A6004" t="inlineStr">
        <is>
          <t>A 59034-2022</t>
        </is>
      </c>
      <c r="B6004" s="1" t="n">
        <v>44903</v>
      </c>
      <c r="C6004" s="1" t="n">
        <v>45212</v>
      </c>
      <c r="D6004" t="inlineStr">
        <is>
          <t>VÄSTERNORRLANDS LÄN</t>
        </is>
      </c>
      <c r="E6004" t="inlineStr">
        <is>
          <t>HÄRNÖSAND</t>
        </is>
      </c>
      <c r="F6004" t="inlineStr">
        <is>
          <t>SCA</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60314-2022</t>
        </is>
      </c>
      <c r="B6005" s="1" t="n">
        <v>44903</v>
      </c>
      <c r="C6005" s="1" t="n">
        <v>45212</v>
      </c>
      <c r="D6005" t="inlineStr">
        <is>
          <t>VÄSTERNORRLANDS LÄN</t>
        </is>
      </c>
      <c r="E6005" t="inlineStr">
        <is>
          <t>KRAMFORS</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58781-2022</t>
        </is>
      </c>
      <c r="B6006" s="1" t="n">
        <v>44903</v>
      </c>
      <c r="C6006" s="1" t="n">
        <v>45212</v>
      </c>
      <c r="D6006" t="inlineStr">
        <is>
          <t>VÄSTERNORRLANDS LÄN</t>
        </is>
      </c>
      <c r="E6006" t="inlineStr">
        <is>
          <t>SUNDSVALL</t>
        </is>
      </c>
      <c r="F6006" t="inlineStr">
        <is>
          <t>Holmen skog AB</t>
        </is>
      </c>
      <c r="G6006" t="n">
        <v>16.3</v>
      </c>
      <c r="H6006" t="n">
        <v>0</v>
      </c>
      <c r="I6006" t="n">
        <v>0</v>
      </c>
      <c r="J6006" t="n">
        <v>0</v>
      </c>
      <c r="K6006" t="n">
        <v>0</v>
      </c>
      <c r="L6006" t="n">
        <v>0</v>
      </c>
      <c r="M6006" t="n">
        <v>0</v>
      </c>
      <c r="N6006" t="n">
        <v>0</v>
      </c>
      <c r="O6006" t="n">
        <v>0</v>
      </c>
      <c r="P6006" t="n">
        <v>0</v>
      </c>
      <c r="Q6006" t="n">
        <v>0</v>
      </c>
      <c r="R6006" s="2" t="inlineStr"/>
    </row>
    <row r="6007" ht="15" customHeight="1">
      <c r="A6007" t="inlineStr">
        <is>
          <t>A 60319-2022</t>
        </is>
      </c>
      <c r="B6007" s="1" t="n">
        <v>44903</v>
      </c>
      <c r="C6007" s="1" t="n">
        <v>45212</v>
      </c>
      <c r="D6007" t="inlineStr">
        <is>
          <t>VÄSTERNORRLANDS LÄN</t>
        </is>
      </c>
      <c r="E6007" t="inlineStr">
        <is>
          <t>ÖRNSKÖLDSVIK</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59128-2022</t>
        </is>
      </c>
      <c r="B6008" s="1" t="n">
        <v>44904</v>
      </c>
      <c r="C6008" s="1" t="n">
        <v>45212</v>
      </c>
      <c r="D6008" t="inlineStr">
        <is>
          <t>VÄSTERNORRLANDS LÄN</t>
        </is>
      </c>
      <c r="E6008" t="inlineStr">
        <is>
          <t>TIMRÅ</t>
        </is>
      </c>
      <c r="G6008" t="n">
        <v>9</v>
      </c>
      <c r="H6008" t="n">
        <v>0</v>
      </c>
      <c r="I6008" t="n">
        <v>0</v>
      </c>
      <c r="J6008" t="n">
        <v>0</v>
      </c>
      <c r="K6008" t="n">
        <v>0</v>
      </c>
      <c r="L6008" t="n">
        <v>0</v>
      </c>
      <c r="M6008" t="n">
        <v>0</v>
      </c>
      <c r="N6008" t="n">
        <v>0</v>
      </c>
      <c r="O6008" t="n">
        <v>0</v>
      </c>
      <c r="P6008" t="n">
        <v>0</v>
      </c>
      <c r="Q6008" t="n">
        <v>0</v>
      </c>
      <c r="R6008" s="2" t="inlineStr"/>
    </row>
    <row r="6009" ht="15" customHeight="1">
      <c r="A6009" t="inlineStr">
        <is>
          <t>A 59222-2022</t>
        </is>
      </c>
      <c r="B6009" s="1" t="n">
        <v>44904</v>
      </c>
      <c r="C6009" s="1" t="n">
        <v>45212</v>
      </c>
      <c r="D6009" t="inlineStr">
        <is>
          <t>VÄSTERNORRLANDS LÄN</t>
        </is>
      </c>
      <c r="E6009" t="inlineStr">
        <is>
          <t>ÖRNSKÖLDSVIK</t>
        </is>
      </c>
      <c r="F6009" t="inlineStr">
        <is>
          <t>Holmen skog AB</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59363-2022</t>
        </is>
      </c>
      <c r="B6010" s="1" t="n">
        <v>44904</v>
      </c>
      <c r="C6010" s="1" t="n">
        <v>45212</v>
      </c>
      <c r="D6010" t="inlineStr">
        <is>
          <t>VÄSTERNORRLANDS LÄN</t>
        </is>
      </c>
      <c r="E6010" t="inlineStr">
        <is>
          <t>KRAMFORS</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60482-2022</t>
        </is>
      </c>
      <c r="B6011" s="1" t="n">
        <v>44904</v>
      </c>
      <c r="C6011" s="1" t="n">
        <v>45212</v>
      </c>
      <c r="D6011" t="inlineStr">
        <is>
          <t>VÄSTERNORRLANDS LÄN</t>
        </is>
      </c>
      <c r="E6011" t="inlineStr">
        <is>
          <t>SOLLEFTEÅ</t>
        </is>
      </c>
      <c r="G6011" t="n">
        <v>2.5</v>
      </c>
      <c r="H6011" t="n">
        <v>0</v>
      </c>
      <c r="I6011" t="n">
        <v>0</v>
      </c>
      <c r="J6011" t="n">
        <v>0</v>
      </c>
      <c r="K6011" t="n">
        <v>0</v>
      </c>
      <c r="L6011" t="n">
        <v>0</v>
      </c>
      <c r="M6011" t="n">
        <v>0</v>
      </c>
      <c r="N6011" t="n">
        <v>0</v>
      </c>
      <c r="O6011" t="n">
        <v>0</v>
      </c>
      <c r="P6011" t="n">
        <v>0</v>
      </c>
      <c r="Q6011" t="n">
        <v>0</v>
      </c>
      <c r="R6011" s="2" t="inlineStr"/>
    </row>
    <row r="6012" ht="15" customHeight="1">
      <c r="A6012" t="inlineStr">
        <is>
          <t>A 60551-2022</t>
        </is>
      </c>
      <c r="B6012" s="1" t="n">
        <v>44904</v>
      </c>
      <c r="C6012" s="1" t="n">
        <v>45212</v>
      </c>
      <c r="D6012" t="inlineStr">
        <is>
          <t>VÄSTERNORRLANDS LÄN</t>
        </is>
      </c>
      <c r="E6012" t="inlineStr">
        <is>
          <t>ÖRNSKÖLDSVIK</t>
        </is>
      </c>
      <c r="G6012" t="n">
        <v>3</v>
      </c>
      <c r="H6012" t="n">
        <v>0</v>
      </c>
      <c r="I6012" t="n">
        <v>0</v>
      </c>
      <c r="J6012" t="n">
        <v>0</v>
      </c>
      <c r="K6012" t="n">
        <v>0</v>
      </c>
      <c r="L6012" t="n">
        <v>0</v>
      </c>
      <c r="M6012" t="n">
        <v>0</v>
      </c>
      <c r="N6012" t="n">
        <v>0</v>
      </c>
      <c r="O6012" t="n">
        <v>0</v>
      </c>
      <c r="P6012" t="n">
        <v>0</v>
      </c>
      <c r="Q6012" t="n">
        <v>0</v>
      </c>
      <c r="R6012" s="2" t="inlineStr"/>
    </row>
    <row r="6013" ht="15" customHeight="1">
      <c r="A6013" t="inlineStr">
        <is>
          <t>A 59122-2022</t>
        </is>
      </c>
      <c r="B6013" s="1" t="n">
        <v>44904</v>
      </c>
      <c r="C6013" s="1" t="n">
        <v>45212</v>
      </c>
      <c r="D6013" t="inlineStr">
        <is>
          <t>VÄSTERNORRLANDS LÄN</t>
        </is>
      </c>
      <c r="E6013" t="inlineStr">
        <is>
          <t>SUNDSVALL</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59115-2022</t>
        </is>
      </c>
      <c r="B6014" s="1" t="n">
        <v>44904</v>
      </c>
      <c r="C6014" s="1" t="n">
        <v>45212</v>
      </c>
      <c r="D6014" t="inlineStr">
        <is>
          <t>VÄSTERNORRLANDS LÄN</t>
        </is>
      </c>
      <c r="E6014" t="inlineStr">
        <is>
          <t>SUNDSVALL</t>
        </is>
      </c>
      <c r="G6014" t="n">
        <v>12.2</v>
      </c>
      <c r="H6014" t="n">
        <v>0</v>
      </c>
      <c r="I6014" t="n">
        <v>0</v>
      </c>
      <c r="J6014" t="n">
        <v>0</v>
      </c>
      <c r="K6014" t="n">
        <v>0</v>
      </c>
      <c r="L6014" t="n">
        <v>0</v>
      </c>
      <c r="M6014" t="n">
        <v>0</v>
      </c>
      <c r="N6014" t="n">
        <v>0</v>
      </c>
      <c r="O6014" t="n">
        <v>0</v>
      </c>
      <c r="P6014" t="n">
        <v>0</v>
      </c>
      <c r="Q6014" t="n">
        <v>0</v>
      </c>
      <c r="R6014" s="2" t="inlineStr"/>
    </row>
    <row r="6015" ht="15" customHeight="1">
      <c r="A6015" t="inlineStr">
        <is>
          <t>A 60462-2022</t>
        </is>
      </c>
      <c r="B6015" s="1" t="n">
        <v>44904</v>
      </c>
      <c r="C6015" s="1" t="n">
        <v>45212</v>
      </c>
      <c r="D6015" t="inlineStr">
        <is>
          <t>VÄSTERNORRLANDS LÄN</t>
        </is>
      </c>
      <c r="E6015" t="inlineStr">
        <is>
          <t>ÖRNSKÖLDSVIK</t>
        </is>
      </c>
      <c r="F6015" t="inlineStr">
        <is>
          <t>Kyrkan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59491-2022</t>
        </is>
      </c>
      <c r="B6016" s="1" t="n">
        <v>44907</v>
      </c>
      <c r="C6016" s="1" t="n">
        <v>45212</v>
      </c>
      <c r="D6016" t="inlineStr">
        <is>
          <t>VÄSTERNORRLANDS LÄN</t>
        </is>
      </c>
      <c r="E6016" t="inlineStr">
        <is>
          <t>ÖRNSKÖLDSVIK</t>
        </is>
      </c>
      <c r="F6016" t="inlineStr">
        <is>
          <t>Holmen skog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60817-2022</t>
        </is>
      </c>
      <c r="B6017" s="1" t="n">
        <v>44907</v>
      </c>
      <c r="C6017" s="1" t="n">
        <v>45212</v>
      </c>
      <c r="D6017" t="inlineStr">
        <is>
          <t>VÄSTERNORRLANDS LÄN</t>
        </is>
      </c>
      <c r="E6017" t="inlineStr">
        <is>
          <t>KRAMFORS</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60856-2022</t>
        </is>
      </c>
      <c r="B6018" s="1" t="n">
        <v>44907</v>
      </c>
      <c r="C6018" s="1" t="n">
        <v>45212</v>
      </c>
      <c r="D6018" t="inlineStr">
        <is>
          <t>VÄSTERNORRLANDS LÄN</t>
        </is>
      </c>
      <c r="E6018" t="inlineStr">
        <is>
          <t>SOLLEFTEÅ</t>
        </is>
      </c>
      <c r="G6018" t="n">
        <v>3.1</v>
      </c>
      <c r="H6018" t="n">
        <v>0</v>
      </c>
      <c r="I6018" t="n">
        <v>0</v>
      </c>
      <c r="J6018" t="n">
        <v>0</v>
      </c>
      <c r="K6018" t="n">
        <v>0</v>
      </c>
      <c r="L6018" t="n">
        <v>0</v>
      </c>
      <c r="M6018" t="n">
        <v>0</v>
      </c>
      <c r="N6018" t="n">
        <v>0</v>
      </c>
      <c r="O6018" t="n">
        <v>0</v>
      </c>
      <c r="P6018" t="n">
        <v>0</v>
      </c>
      <c r="Q6018" t="n">
        <v>0</v>
      </c>
      <c r="R6018" s="2" t="inlineStr"/>
    </row>
    <row r="6019" ht="15" customHeight="1">
      <c r="A6019" t="inlineStr">
        <is>
          <t>A 59520-2022</t>
        </is>
      </c>
      <c r="B6019" s="1" t="n">
        <v>44907</v>
      </c>
      <c r="C6019" s="1" t="n">
        <v>45212</v>
      </c>
      <c r="D6019" t="inlineStr">
        <is>
          <t>VÄSTERNORRLANDS LÄN</t>
        </is>
      </c>
      <c r="E6019" t="inlineStr">
        <is>
          <t>ÅNGE</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60753-2022</t>
        </is>
      </c>
      <c r="B6020" s="1" t="n">
        <v>44907</v>
      </c>
      <c r="C6020" s="1" t="n">
        <v>45212</v>
      </c>
      <c r="D6020" t="inlineStr">
        <is>
          <t>VÄSTERNORRLANDS LÄN</t>
        </is>
      </c>
      <c r="E6020" t="inlineStr">
        <is>
          <t>ÖRNSKÖLDSVIK</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60813-2022</t>
        </is>
      </c>
      <c r="B6021" s="1" t="n">
        <v>44907</v>
      </c>
      <c r="C6021" s="1" t="n">
        <v>45212</v>
      </c>
      <c r="D6021" t="inlineStr">
        <is>
          <t>VÄSTERNORRLANDS LÄN</t>
        </is>
      </c>
      <c r="E6021" t="inlineStr">
        <is>
          <t>KRAMFORS</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60881-2022</t>
        </is>
      </c>
      <c r="B6022" s="1" t="n">
        <v>44908</v>
      </c>
      <c r="C6022" s="1" t="n">
        <v>45212</v>
      </c>
      <c r="D6022" t="inlineStr">
        <is>
          <t>VÄSTERNORRLANDS LÄN</t>
        </is>
      </c>
      <c r="E6022" t="inlineStr">
        <is>
          <t>KRAMFORS</t>
        </is>
      </c>
      <c r="G6022" t="n">
        <v>0.7</v>
      </c>
      <c r="H6022" t="n">
        <v>0</v>
      </c>
      <c r="I6022" t="n">
        <v>0</v>
      </c>
      <c r="J6022" t="n">
        <v>0</v>
      </c>
      <c r="K6022" t="n">
        <v>0</v>
      </c>
      <c r="L6022" t="n">
        <v>0</v>
      </c>
      <c r="M6022" t="n">
        <v>0</v>
      </c>
      <c r="N6022" t="n">
        <v>0</v>
      </c>
      <c r="O6022" t="n">
        <v>0</v>
      </c>
      <c r="P6022" t="n">
        <v>0</v>
      </c>
      <c r="Q6022" t="n">
        <v>0</v>
      </c>
      <c r="R6022" s="2" t="inlineStr"/>
    </row>
    <row r="6023" ht="15" customHeight="1">
      <c r="A6023" t="inlineStr">
        <is>
          <t>A 59908-2022</t>
        </is>
      </c>
      <c r="B6023" s="1" t="n">
        <v>44908</v>
      </c>
      <c r="C6023" s="1" t="n">
        <v>45212</v>
      </c>
      <c r="D6023" t="inlineStr">
        <is>
          <t>VÄSTERNORRLANDS LÄN</t>
        </is>
      </c>
      <c r="E6023" t="inlineStr">
        <is>
          <t>SOLLEFTEÅ</t>
        </is>
      </c>
      <c r="F6023" t="inlineStr">
        <is>
          <t>SCA</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60885-2022</t>
        </is>
      </c>
      <c r="B6024" s="1" t="n">
        <v>44908</v>
      </c>
      <c r="C6024" s="1" t="n">
        <v>45212</v>
      </c>
      <c r="D6024" t="inlineStr">
        <is>
          <t>VÄSTERNORRLANDS LÄN</t>
        </is>
      </c>
      <c r="E6024" t="inlineStr">
        <is>
          <t>KRAMFORS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60907-2022</t>
        </is>
      </c>
      <c r="B6025" s="1" t="n">
        <v>44908</v>
      </c>
      <c r="C6025" s="1" t="n">
        <v>45212</v>
      </c>
      <c r="D6025" t="inlineStr">
        <is>
          <t>VÄSTERNORRLANDS LÄN</t>
        </is>
      </c>
      <c r="E6025" t="inlineStr">
        <is>
          <t>KRAMFORS</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60865-2022</t>
        </is>
      </c>
      <c r="B6026" s="1" t="n">
        <v>44908</v>
      </c>
      <c r="C6026" s="1" t="n">
        <v>45212</v>
      </c>
      <c r="D6026" t="inlineStr">
        <is>
          <t>VÄSTERNORRLANDS LÄN</t>
        </is>
      </c>
      <c r="E6026" t="inlineStr">
        <is>
          <t>KRAMFORS</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60875-2022</t>
        </is>
      </c>
      <c r="B6027" s="1" t="n">
        <v>44908</v>
      </c>
      <c r="C6027" s="1" t="n">
        <v>45212</v>
      </c>
      <c r="D6027" t="inlineStr">
        <is>
          <t>VÄSTERNORRLANDS LÄN</t>
        </is>
      </c>
      <c r="E6027" t="inlineStr">
        <is>
          <t>KRAMFORS</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60916-2022</t>
        </is>
      </c>
      <c r="B6028" s="1" t="n">
        <v>44908</v>
      </c>
      <c r="C6028" s="1" t="n">
        <v>45212</v>
      </c>
      <c r="D6028" t="inlineStr">
        <is>
          <t>VÄSTERNORRLANDS LÄN</t>
        </is>
      </c>
      <c r="E6028" t="inlineStr">
        <is>
          <t>KRAMFORS</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59770-2022</t>
        </is>
      </c>
      <c r="B6029" s="1" t="n">
        <v>44908</v>
      </c>
      <c r="C6029" s="1" t="n">
        <v>45212</v>
      </c>
      <c r="D6029" t="inlineStr">
        <is>
          <t>VÄSTERNORRLANDS LÄN</t>
        </is>
      </c>
      <c r="E6029" t="inlineStr">
        <is>
          <t>SUNDSVALL</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59787-2022</t>
        </is>
      </c>
      <c r="B6030" s="1" t="n">
        <v>44908</v>
      </c>
      <c r="C6030" s="1" t="n">
        <v>45212</v>
      </c>
      <c r="D6030" t="inlineStr">
        <is>
          <t>VÄSTERNORRLANDS LÄN</t>
        </is>
      </c>
      <c r="E6030" t="inlineStr">
        <is>
          <t>ÖRNSKÖLDSVIK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59849-2022</t>
        </is>
      </c>
      <c r="B6031" s="1" t="n">
        <v>44908</v>
      </c>
      <c r="C6031" s="1" t="n">
        <v>45212</v>
      </c>
      <c r="D6031" t="inlineStr">
        <is>
          <t>VÄSTERNORRLANDS LÄN</t>
        </is>
      </c>
      <c r="E6031" t="inlineStr">
        <is>
          <t>ÖRNSKÖLDSVIK</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60889-2022</t>
        </is>
      </c>
      <c r="B6032" s="1" t="n">
        <v>44908</v>
      </c>
      <c r="C6032" s="1" t="n">
        <v>45212</v>
      </c>
      <c r="D6032" t="inlineStr">
        <is>
          <t>VÄSTERNORRLANDS LÄN</t>
        </is>
      </c>
      <c r="E6032" t="inlineStr">
        <is>
          <t>KRAMFORS</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60929-2022</t>
        </is>
      </c>
      <c r="B6033" s="1" t="n">
        <v>44908</v>
      </c>
      <c r="C6033" s="1" t="n">
        <v>45212</v>
      </c>
      <c r="D6033" t="inlineStr">
        <is>
          <t>VÄSTERNORRLANDS LÄN</t>
        </is>
      </c>
      <c r="E6033" t="inlineStr">
        <is>
          <t>ÖRNSKÖLDSVIK</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61159-2022</t>
        </is>
      </c>
      <c r="B6034" s="1" t="n">
        <v>44908</v>
      </c>
      <c r="C6034" s="1" t="n">
        <v>45212</v>
      </c>
      <c r="D6034" t="inlineStr">
        <is>
          <t>VÄSTERNORRLANDS LÄN</t>
        </is>
      </c>
      <c r="E6034" t="inlineStr">
        <is>
          <t>ÖRNSKÖLDSVIK</t>
        </is>
      </c>
      <c r="G6034" t="n">
        <v>7</v>
      </c>
      <c r="H6034" t="n">
        <v>0</v>
      </c>
      <c r="I6034" t="n">
        <v>0</v>
      </c>
      <c r="J6034" t="n">
        <v>0</v>
      </c>
      <c r="K6034" t="n">
        <v>0</v>
      </c>
      <c r="L6034" t="n">
        <v>0</v>
      </c>
      <c r="M6034" t="n">
        <v>0</v>
      </c>
      <c r="N6034" t="n">
        <v>0</v>
      </c>
      <c r="O6034" t="n">
        <v>0</v>
      </c>
      <c r="P6034" t="n">
        <v>0</v>
      </c>
      <c r="Q6034" t="n">
        <v>0</v>
      </c>
      <c r="R6034" s="2" t="inlineStr"/>
    </row>
    <row r="6035" ht="15" customHeight="1">
      <c r="A6035" t="inlineStr">
        <is>
          <t>A 60165-2022</t>
        </is>
      </c>
      <c r="B6035" s="1" t="n">
        <v>44909</v>
      </c>
      <c r="C6035" s="1" t="n">
        <v>45212</v>
      </c>
      <c r="D6035" t="inlineStr">
        <is>
          <t>VÄSTERNORRLANDS LÄN</t>
        </is>
      </c>
      <c r="E6035" t="inlineStr">
        <is>
          <t>SUNDSVALL</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60169-2022</t>
        </is>
      </c>
      <c r="B6036" s="1" t="n">
        <v>44909</v>
      </c>
      <c r="C6036" s="1" t="n">
        <v>45212</v>
      </c>
      <c r="D6036" t="inlineStr">
        <is>
          <t>VÄSTERNORRLANDS LÄN</t>
        </is>
      </c>
      <c r="E6036" t="inlineStr">
        <is>
          <t>SOLLEFTEÅ</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61232-2022</t>
        </is>
      </c>
      <c r="B6037" s="1" t="n">
        <v>44909</v>
      </c>
      <c r="C6037" s="1" t="n">
        <v>45212</v>
      </c>
      <c r="D6037" t="inlineStr">
        <is>
          <t>VÄSTERNORRLANDS LÄN</t>
        </is>
      </c>
      <c r="E6037" t="inlineStr">
        <is>
          <t>ÖRNSKÖLDSVIK</t>
        </is>
      </c>
      <c r="G6037" t="n">
        <v>2.4</v>
      </c>
      <c r="H6037" t="n">
        <v>0</v>
      </c>
      <c r="I6037" t="n">
        <v>0</v>
      </c>
      <c r="J6037" t="n">
        <v>0</v>
      </c>
      <c r="K6037" t="n">
        <v>0</v>
      </c>
      <c r="L6037" t="n">
        <v>0</v>
      </c>
      <c r="M6037" t="n">
        <v>0</v>
      </c>
      <c r="N6037" t="n">
        <v>0</v>
      </c>
      <c r="O6037" t="n">
        <v>0</v>
      </c>
      <c r="P6037" t="n">
        <v>0</v>
      </c>
      <c r="Q6037" t="n">
        <v>0</v>
      </c>
      <c r="R6037" s="2" t="inlineStr"/>
    </row>
    <row r="6038" ht="15" customHeight="1">
      <c r="A6038" t="inlineStr">
        <is>
          <t>A 61252-2022</t>
        </is>
      </c>
      <c r="B6038" s="1" t="n">
        <v>44909</v>
      </c>
      <c r="C6038" s="1" t="n">
        <v>45212</v>
      </c>
      <c r="D6038" t="inlineStr">
        <is>
          <t>VÄSTERNORRLANDS LÄN</t>
        </is>
      </c>
      <c r="E6038" t="inlineStr">
        <is>
          <t>KRAMFORS</t>
        </is>
      </c>
      <c r="G6038" t="n">
        <v>4.2</v>
      </c>
      <c r="H6038" t="n">
        <v>0</v>
      </c>
      <c r="I6038" t="n">
        <v>0</v>
      </c>
      <c r="J6038" t="n">
        <v>0</v>
      </c>
      <c r="K6038" t="n">
        <v>0</v>
      </c>
      <c r="L6038" t="n">
        <v>0</v>
      </c>
      <c r="M6038" t="n">
        <v>0</v>
      </c>
      <c r="N6038" t="n">
        <v>0</v>
      </c>
      <c r="O6038" t="n">
        <v>0</v>
      </c>
      <c r="P6038" t="n">
        <v>0</v>
      </c>
      <c r="Q6038" t="n">
        <v>0</v>
      </c>
      <c r="R6038" s="2" t="inlineStr"/>
    </row>
    <row r="6039" ht="15" customHeight="1">
      <c r="A6039" t="inlineStr">
        <is>
          <t>A 60166-2022</t>
        </is>
      </c>
      <c r="B6039" s="1" t="n">
        <v>44909</v>
      </c>
      <c r="C6039" s="1" t="n">
        <v>45212</v>
      </c>
      <c r="D6039" t="inlineStr">
        <is>
          <t>VÄSTERNORRLANDS LÄN</t>
        </is>
      </c>
      <c r="E6039" t="inlineStr">
        <is>
          <t>TIMRÅ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60170-2022</t>
        </is>
      </c>
      <c r="B6040" s="1" t="n">
        <v>44909</v>
      </c>
      <c r="C6040" s="1" t="n">
        <v>45212</v>
      </c>
      <c r="D6040" t="inlineStr">
        <is>
          <t>VÄSTERNORRLANDS LÄN</t>
        </is>
      </c>
      <c r="E6040" t="inlineStr">
        <is>
          <t>SOLLEFTEÅ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60168-2022</t>
        </is>
      </c>
      <c r="B6041" s="1" t="n">
        <v>44909</v>
      </c>
      <c r="C6041" s="1" t="n">
        <v>45212</v>
      </c>
      <c r="D6041" t="inlineStr">
        <is>
          <t>VÄSTERNORRLANDS LÄN</t>
        </is>
      </c>
      <c r="E6041" t="inlineStr">
        <is>
          <t>SOLLEFTEÅ</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61228-2022</t>
        </is>
      </c>
      <c r="B6042" s="1" t="n">
        <v>44909</v>
      </c>
      <c r="C6042" s="1" t="n">
        <v>45212</v>
      </c>
      <c r="D6042" t="inlineStr">
        <is>
          <t>VÄSTERNORRLANDS LÄN</t>
        </is>
      </c>
      <c r="E6042" t="inlineStr">
        <is>
          <t>ÖRNSKÖLDSVIK</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60171-2022</t>
        </is>
      </c>
      <c r="B6043" s="1" t="n">
        <v>44909</v>
      </c>
      <c r="C6043" s="1" t="n">
        <v>45212</v>
      </c>
      <c r="D6043" t="inlineStr">
        <is>
          <t>VÄSTERNORRLANDS LÄN</t>
        </is>
      </c>
      <c r="E6043" t="inlineStr">
        <is>
          <t>SOLLEFTEÅ</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61322-2022</t>
        </is>
      </c>
      <c r="B6044" s="1" t="n">
        <v>44909</v>
      </c>
      <c r="C6044" s="1" t="n">
        <v>45212</v>
      </c>
      <c r="D6044" t="inlineStr">
        <is>
          <t>VÄSTERNORRLANDS LÄN</t>
        </is>
      </c>
      <c r="E6044" t="inlineStr">
        <is>
          <t>ÖRNSKÖLDSVIK</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60344-2022</t>
        </is>
      </c>
      <c r="B6045" s="1" t="n">
        <v>44910</v>
      </c>
      <c r="C6045" s="1" t="n">
        <v>45212</v>
      </c>
      <c r="D6045" t="inlineStr">
        <is>
          <t>VÄSTERNORRLANDS LÄN</t>
        </is>
      </c>
      <c r="E6045" t="inlineStr">
        <is>
          <t>ÖRNSKÖLDSVIK</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60399-2022</t>
        </is>
      </c>
      <c r="B6046" s="1" t="n">
        <v>44910</v>
      </c>
      <c r="C6046" s="1" t="n">
        <v>45212</v>
      </c>
      <c r="D6046" t="inlineStr">
        <is>
          <t>VÄSTERNORRLANDS LÄN</t>
        </is>
      </c>
      <c r="E6046" t="inlineStr">
        <is>
          <t>SUNDSVALL</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60407-2022</t>
        </is>
      </c>
      <c r="B6047" s="1" t="n">
        <v>44910</v>
      </c>
      <c r="C6047" s="1" t="n">
        <v>45212</v>
      </c>
      <c r="D6047" t="inlineStr">
        <is>
          <t>VÄSTERNORRLANDS LÄN</t>
        </is>
      </c>
      <c r="E6047" t="inlineStr">
        <is>
          <t>ÖRNSKÖLDSVIK</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61576-2022</t>
        </is>
      </c>
      <c r="B6048" s="1" t="n">
        <v>44910</v>
      </c>
      <c r="C6048" s="1" t="n">
        <v>45212</v>
      </c>
      <c r="D6048" t="inlineStr">
        <is>
          <t>VÄSTERNORRLANDS LÄN</t>
        </is>
      </c>
      <c r="E6048" t="inlineStr">
        <is>
          <t>TIMRÅ</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60278-2022</t>
        </is>
      </c>
      <c r="B6049" s="1" t="n">
        <v>44910</v>
      </c>
      <c r="C6049" s="1" t="n">
        <v>45212</v>
      </c>
      <c r="D6049" t="inlineStr">
        <is>
          <t>VÄSTERNORRLANDS LÄN</t>
        </is>
      </c>
      <c r="E6049" t="inlineStr">
        <is>
          <t>ÖRNSKÖLDSVIK</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60338-2022</t>
        </is>
      </c>
      <c r="B6050" s="1" t="n">
        <v>44910</v>
      </c>
      <c r="C6050" s="1" t="n">
        <v>45212</v>
      </c>
      <c r="D6050" t="inlineStr">
        <is>
          <t>VÄSTERNORRLANDS LÄN</t>
        </is>
      </c>
      <c r="E6050" t="inlineStr">
        <is>
          <t>SOLLEFTEÅ</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60406-2022</t>
        </is>
      </c>
      <c r="B6051" s="1" t="n">
        <v>44910</v>
      </c>
      <c r="C6051" s="1" t="n">
        <v>45212</v>
      </c>
      <c r="D6051" t="inlineStr">
        <is>
          <t>VÄSTERNORRLANDS LÄN</t>
        </is>
      </c>
      <c r="E6051" t="inlineStr">
        <is>
          <t>ÖRNSKÖLDSVIK</t>
        </is>
      </c>
      <c r="G6051" t="n">
        <v>5</v>
      </c>
      <c r="H6051" t="n">
        <v>0</v>
      </c>
      <c r="I6051" t="n">
        <v>0</v>
      </c>
      <c r="J6051" t="n">
        <v>0</v>
      </c>
      <c r="K6051" t="n">
        <v>0</v>
      </c>
      <c r="L6051" t="n">
        <v>0</v>
      </c>
      <c r="M6051" t="n">
        <v>0</v>
      </c>
      <c r="N6051" t="n">
        <v>0</v>
      </c>
      <c r="O6051" t="n">
        <v>0</v>
      </c>
      <c r="P6051" t="n">
        <v>0</v>
      </c>
      <c r="Q6051" t="n">
        <v>0</v>
      </c>
      <c r="R6051" s="2" t="inlineStr"/>
    </row>
    <row r="6052" ht="15" customHeight="1">
      <c r="A6052" t="inlineStr">
        <is>
          <t>A 61459-2022</t>
        </is>
      </c>
      <c r="B6052" s="1" t="n">
        <v>44910</v>
      </c>
      <c r="C6052" s="1" t="n">
        <v>45212</v>
      </c>
      <c r="D6052" t="inlineStr">
        <is>
          <t>VÄSTERNORRLANDS LÄN</t>
        </is>
      </c>
      <c r="E6052" t="inlineStr">
        <is>
          <t>SOLLEFTEÅ</t>
        </is>
      </c>
      <c r="G6052" t="n">
        <v>20.6</v>
      </c>
      <c r="H6052" t="n">
        <v>0</v>
      </c>
      <c r="I6052" t="n">
        <v>0</v>
      </c>
      <c r="J6052" t="n">
        <v>0</v>
      </c>
      <c r="K6052" t="n">
        <v>0</v>
      </c>
      <c r="L6052" t="n">
        <v>0</v>
      </c>
      <c r="M6052" t="n">
        <v>0</v>
      </c>
      <c r="N6052" t="n">
        <v>0</v>
      </c>
      <c r="O6052" t="n">
        <v>0</v>
      </c>
      <c r="P6052" t="n">
        <v>0</v>
      </c>
      <c r="Q6052" t="n">
        <v>0</v>
      </c>
      <c r="R6052" s="2" t="inlineStr"/>
    </row>
    <row r="6053" ht="15" customHeight="1">
      <c r="A6053" t="inlineStr">
        <is>
          <t>A 61506-2022</t>
        </is>
      </c>
      <c r="B6053" s="1" t="n">
        <v>44910</v>
      </c>
      <c r="C6053" s="1" t="n">
        <v>45212</v>
      </c>
      <c r="D6053" t="inlineStr">
        <is>
          <t>VÄSTERNORRLANDS LÄN</t>
        </is>
      </c>
      <c r="E6053" t="inlineStr">
        <is>
          <t>ÖRNSKÖLDSVIK</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60420-2022</t>
        </is>
      </c>
      <c r="B6054" s="1" t="n">
        <v>44910</v>
      </c>
      <c r="C6054" s="1" t="n">
        <v>45212</v>
      </c>
      <c r="D6054" t="inlineStr">
        <is>
          <t>VÄSTERNORRLANDS LÄN</t>
        </is>
      </c>
      <c r="E6054" t="inlineStr">
        <is>
          <t>SOLLEFTEÅ</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60337-2022</t>
        </is>
      </c>
      <c r="B6055" s="1" t="n">
        <v>44910</v>
      </c>
      <c r="C6055" s="1" t="n">
        <v>45212</v>
      </c>
      <c r="D6055" t="inlineStr">
        <is>
          <t>VÄSTERNORRLANDS LÄN</t>
        </is>
      </c>
      <c r="E6055" t="inlineStr">
        <is>
          <t>ÖRNSKÖLDSVIK</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60369-2022</t>
        </is>
      </c>
      <c r="B6056" s="1" t="n">
        <v>44910</v>
      </c>
      <c r="C6056" s="1" t="n">
        <v>45212</v>
      </c>
      <c r="D6056" t="inlineStr">
        <is>
          <t>VÄSTERNORRLANDS LÄN</t>
        </is>
      </c>
      <c r="E6056" t="inlineStr">
        <is>
          <t>ÅNGE</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60405-2022</t>
        </is>
      </c>
      <c r="B6057" s="1" t="n">
        <v>44910</v>
      </c>
      <c r="C6057" s="1" t="n">
        <v>45212</v>
      </c>
      <c r="D6057" t="inlineStr">
        <is>
          <t>VÄSTERNORRLANDS LÄN</t>
        </is>
      </c>
      <c r="E6057" t="inlineStr">
        <is>
          <t>ÖRNSKÖLDSVIK</t>
        </is>
      </c>
      <c r="G6057" t="n">
        <v>17.6</v>
      </c>
      <c r="H6057" t="n">
        <v>0</v>
      </c>
      <c r="I6057" t="n">
        <v>0</v>
      </c>
      <c r="J6057" t="n">
        <v>0</v>
      </c>
      <c r="K6057" t="n">
        <v>0</v>
      </c>
      <c r="L6057" t="n">
        <v>0</v>
      </c>
      <c r="M6057" t="n">
        <v>0</v>
      </c>
      <c r="N6057" t="n">
        <v>0</v>
      </c>
      <c r="O6057" t="n">
        <v>0</v>
      </c>
      <c r="P6057" t="n">
        <v>0</v>
      </c>
      <c r="Q6057" t="n">
        <v>0</v>
      </c>
      <c r="R6057" s="2" t="inlineStr"/>
    </row>
    <row r="6058" ht="15" customHeight="1">
      <c r="A6058" t="inlineStr">
        <is>
          <t>A 61473-2022</t>
        </is>
      </c>
      <c r="B6058" s="1" t="n">
        <v>44910</v>
      </c>
      <c r="C6058" s="1" t="n">
        <v>45212</v>
      </c>
      <c r="D6058" t="inlineStr">
        <is>
          <t>VÄSTERNORRLANDS LÄN</t>
        </is>
      </c>
      <c r="E6058" t="inlineStr">
        <is>
          <t>SOLLEFTEÅ</t>
        </is>
      </c>
      <c r="G6058" t="n">
        <v>2.5</v>
      </c>
      <c r="H6058" t="n">
        <v>0</v>
      </c>
      <c r="I6058" t="n">
        <v>0</v>
      </c>
      <c r="J6058" t="n">
        <v>0</v>
      </c>
      <c r="K6058" t="n">
        <v>0</v>
      </c>
      <c r="L6058" t="n">
        <v>0</v>
      </c>
      <c r="M6058" t="n">
        <v>0</v>
      </c>
      <c r="N6058" t="n">
        <v>0</v>
      </c>
      <c r="O6058" t="n">
        <v>0</v>
      </c>
      <c r="P6058" t="n">
        <v>0</v>
      </c>
      <c r="Q6058" t="n">
        <v>0</v>
      </c>
      <c r="R6058" s="2" t="inlineStr"/>
    </row>
    <row r="6059" ht="15" customHeight="1">
      <c r="A6059" t="inlineStr">
        <is>
          <t>A 60604-2022</t>
        </is>
      </c>
      <c r="B6059" s="1" t="n">
        <v>44911</v>
      </c>
      <c r="C6059" s="1" t="n">
        <v>45212</v>
      </c>
      <c r="D6059" t="inlineStr">
        <is>
          <t>VÄSTERNORRLANDS LÄN</t>
        </is>
      </c>
      <c r="E6059" t="inlineStr">
        <is>
          <t>SUNDSVALL</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60613-2022</t>
        </is>
      </c>
      <c r="B6060" s="1" t="n">
        <v>44911</v>
      </c>
      <c r="C6060" s="1" t="n">
        <v>45212</v>
      </c>
      <c r="D6060" t="inlineStr">
        <is>
          <t>VÄSTERNORRLANDS LÄN</t>
        </is>
      </c>
      <c r="E6060" t="inlineStr">
        <is>
          <t>SUNDSVALL</t>
        </is>
      </c>
      <c r="F6060" t="inlineStr">
        <is>
          <t>Kyrkan</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60684-2022</t>
        </is>
      </c>
      <c r="B6061" s="1" t="n">
        <v>44911</v>
      </c>
      <c r="C6061" s="1" t="n">
        <v>45212</v>
      </c>
      <c r="D6061" t="inlineStr">
        <is>
          <t>VÄSTERNORRLANDS LÄN</t>
        </is>
      </c>
      <c r="E6061" t="inlineStr">
        <is>
          <t>SUNDSVALL</t>
        </is>
      </c>
      <c r="F6061" t="inlineStr">
        <is>
          <t>SCA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60650-2022</t>
        </is>
      </c>
      <c r="B6062" s="1" t="n">
        <v>44911</v>
      </c>
      <c r="C6062" s="1" t="n">
        <v>45212</v>
      </c>
      <c r="D6062" t="inlineStr">
        <is>
          <t>VÄSTERNORRLANDS LÄN</t>
        </is>
      </c>
      <c r="E6062" t="inlineStr">
        <is>
          <t>SUNDSVALL</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60662-2022</t>
        </is>
      </c>
      <c r="B6063" s="1" t="n">
        <v>44911</v>
      </c>
      <c r="C6063" s="1" t="n">
        <v>45212</v>
      </c>
      <c r="D6063" t="inlineStr">
        <is>
          <t>VÄSTERNORRLANDS LÄN</t>
        </is>
      </c>
      <c r="E6063" t="inlineStr">
        <is>
          <t>HÄRNÖSAND</t>
        </is>
      </c>
      <c r="F6063" t="inlineStr">
        <is>
          <t>SCA</t>
        </is>
      </c>
      <c r="G6063" t="n">
        <v>8</v>
      </c>
      <c r="H6063" t="n">
        <v>0</v>
      </c>
      <c r="I6063" t="n">
        <v>0</v>
      </c>
      <c r="J6063" t="n">
        <v>0</v>
      </c>
      <c r="K6063" t="n">
        <v>0</v>
      </c>
      <c r="L6063" t="n">
        <v>0</v>
      </c>
      <c r="M6063" t="n">
        <v>0</v>
      </c>
      <c r="N6063" t="n">
        <v>0</v>
      </c>
      <c r="O6063" t="n">
        <v>0</v>
      </c>
      <c r="P6063" t="n">
        <v>0</v>
      </c>
      <c r="Q6063" t="n">
        <v>0</v>
      </c>
      <c r="R6063" s="2" t="inlineStr"/>
    </row>
    <row r="6064" ht="15" customHeight="1">
      <c r="A6064" t="inlineStr">
        <is>
          <t>A 60651-2022</t>
        </is>
      </c>
      <c r="B6064" s="1" t="n">
        <v>44911</v>
      </c>
      <c r="C6064" s="1" t="n">
        <v>45212</v>
      </c>
      <c r="D6064" t="inlineStr">
        <is>
          <t>VÄSTERNORRLANDS LÄN</t>
        </is>
      </c>
      <c r="E6064" t="inlineStr">
        <is>
          <t>SUNDSVALL</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61997-2022</t>
        </is>
      </c>
      <c r="B6065" s="1" t="n">
        <v>44914</v>
      </c>
      <c r="C6065" s="1" t="n">
        <v>45212</v>
      </c>
      <c r="D6065" t="inlineStr">
        <is>
          <t>VÄSTERNORRLANDS LÄN</t>
        </is>
      </c>
      <c r="E6065" t="inlineStr">
        <is>
          <t>SOLLEFTEÅ</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60770-2022</t>
        </is>
      </c>
      <c r="B6066" s="1" t="n">
        <v>44914</v>
      </c>
      <c r="C6066" s="1" t="n">
        <v>45212</v>
      </c>
      <c r="D6066" t="inlineStr">
        <is>
          <t>VÄSTERNORRLANDS LÄN</t>
        </is>
      </c>
      <c r="E6066" t="inlineStr">
        <is>
          <t>ÅNGE</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60841-2022</t>
        </is>
      </c>
      <c r="B6067" s="1" t="n">
        <v>44914</v>
      </c>
      <c r="C6067" s="1" t="n">
        <v>45212</v>
      </c>
      <c r="D6067" t="inlineStr">
        <is>
          <t>VÄSTERNORRLANDS LÄN</t>
        </is>
      </c>
      <c r="E6067" t="inlineStr">
        <is>
          <t>ÖRNSKÖLDSVIK</t>
        </is>
      </c>
      <c r="F6067" t="inlineStr">
        <is>
          <t>Holmen skog AB</t>
        </is>
      </c>
      <c r="G6067" t="n">
        <v>6.6</v>
      </c>
      <c r="H6067" t="n">
        <v>0</v>
      </c>
      <c r="I6067" t="n">
        <v>0</v>
      </c>
      <c r="J6067" t="n">
        <v>0</v>
      </c>
      <c r="K6067" t="n">
        <v>0</v>
      </c>
      <c r="L6067" t="n">
        <v>0</v>
      </c>
      <c r="M6067" t="n">
        <v>0</v>
      </c>
      <c r="N6067" t="n">
        <v>0</v>
      </c>
      <c r="O6067" t="n">
        <v>0</v>
      </c>
      <c r="P6067" t="n">
        <v>0</v>
      </c>
      <c r="Q6067" t="n">
        <v>0</v>
      </c>
      <c r="R6067" s="2" t="inlineStr"/>
    </row>
    <row r="6068" ht="15" customHeight="1">
      <c r="A6068" t="inlineStr">
        <is>
          <t>A 62001-2022</t>
        </is>
      </c>
      <c r="B6068" s="1" t="n">
        <v>44914</v>
      </c>
      <c r="C6068" s="1" t="n">
        <v>45212</v>
      </c>
      <c r="D6068" t="inlineStr">
        <is>
          <t>VÄSTERNORRLANDS LÄN</t>
        </is>
      </c>
      <c r="E6068" t="inlineStr">
        <is>
          <t>ÖRNSKÖLDSVIK</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60860-2022</t>
        </is>
      </c>
      <c r="B6069" s="1" t="n">
        <v>44914</v>
      </c>
      <c r="C6069" s="1" t="n">
        <v>45212</v>
      </c>
      <c r="D6069" t="inlineStr">
        <is>
          <t>VÄSTERNORRLANDS LÄN</t>
        </is>
      </c>
      <c r="E6069" t="inlineStr">
        <is>
          <t>ÅNGE</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60888-2022</t>
        </is>
      </c>
      <c r="B6070" s="1" t="n">
        <v>44914</v>
      </c>
      <c r="C6070" s="1" t="n">
        <v>45212</v>
      </c>
      <c r="D6070" t="inlineStr">
        <is>
          <t>VÄSTERNORRLANDS LÄN</t>
        </is>
      </c>
      <c r="E6070" t="inlineStr">
        <is>
          <t>ÖRNSKÖLDSVIK</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61993-2022</t>
        </is>
      </c>
      <c r="B6071" s="1" t="n">
        <v>44914</v>
      </c>
      <c r="C6071" s="1" t="n">
        <v>45212</v>
      </c>
      <c r="D6071" t="inlineStr">
        <is>
          <t>VÄSTERNORRLANDS LÄN</t>
        </is>
      </c>
      <c r="E6071" t="inlineStr">
        <is>
          <t>SOLLEFTEÅ</t>
        </is>
      </c>
      <c r="G6071" t="n">
        <v>17</v>
      </c>
      <c r="H6071" t="n">
        <v>0</v>
      </c>
      <c r="I6071" t="n">
        <v>0</v>
      </c>
      <c r="J6071" t="n">
        <v>0</v>
      </c>
      <c r="K6071" t="n">
        <v>0</v>
      </c>
      <c r="L6071" t="n">
        <v>0</v>
      </c>
      <c r="M6071" t="n">
        <v>0</v>
      </c>
      <c r="N6071" t="n">
        <v>0</v>
      </c>
      <c r="O6071" t="n">
        <v>0</v>
      </c>
      <c r="P6071" t="n">
        <v>0</v>
      </c>
      <c r="Q6071" t="n">
        <v>0</v>
      </c>
      <c r="R6071" s="2" t="inlineStr"/>
    </row>
    <row r="6072" ht="15" customHeight="1">
      <c r="A6072" t="inlineStr">
        <is>
          <t>A 60890-2022</t>
        </is>
      </c>
      <c r="B6072" s="1" t="n">
        <v>44914</v>
      </c>
      <c r="C6072" s="1" t="n">
        <v>45212</v>
      </c>
      <c r="D6072" t="inlineStr">
        <is>
          <t>VÄSTERNORRLANDS LÄN</t>
        </is>
      </c>
      <c r="E6072" t="inlineStr">
        <is>
          <t>SUNDSVALL</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61383-2022</t>
        </is>
      </c>
      <c r="B6073" s="1" t="n">
        <v>44915</v>
      </c>
      <c r="C6073" s="1" t="n">
        <v>45212</v>
      </c>
      <c r="D6073" t="inlineStr">
        <is>
          <t>VÄSTERNORRLANDS LÄN</t>
        </is>
      </c>
      <c r="E6073" t="inlineStr">
        <is>
          <t>SOLLEFTEÅ</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61345-2022</t>
        </is>
      </c>
      <c r="B6074" s="1" t="n">
        <v>44915</v>
      </c>
      <c r="C6074" s="1" t="n">
        <v>45212</v>
      </c>
      <c r="D6074" t="inlineStr">
        <is>
          <t>VÄSTERNORRLANDS LÄN</t>
        </is>
      </c>
      <c r="E6074" t="inlineStr">
        <is>
          <t>SOLLEFTEÅ</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61376-2022</t>
        </is>
      </c>
      <c r="B6075" s="1" t="n">
        <v>44915</v>
      </c>
      <c r="C6075" s="1" t="n">
        <v>45212</v>
      </c>
      <c r="D6075" t="inlineStr">
        <is>
          <t>VÄSTERNORRLANDS LÄN</t>
        </is>
      </c>
      <c r="E6075" t="inlineStr">
        <is>
          <t>SOLLEFTEÅ</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61384-2022</t>
        </is>
      </c>
      <c r="B6076" s="1" t="n">
        <v>44915</v>
      </c>
      <c r="C6076" s="1" t="n">
        <v>45212</v>
      </c>
      <c r="D6076" t="inlineStr">
        <is>
          <t>VÄSTERNORRLANDS LÄN</t>
        </is>
      </c>
      <c r="E6076" t="inlineStr">
        <is>
          <t>SOLLEFTEÅ</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61081-2022</t>
        </is>
      </c>
      <c r="B6077" s="1" t="n">
        <v>44915</v>
      </c>
      <c r="C6077" s="1" t="n">
        <v>45212</v>
      </c>
      <c r="D6077" t="inlineStr">
        <is>
          <t>VÄSTERNORRLANDS LÄN</t>
        </is>
      </c>
      <c r="E6077" t="inlineStr">
        <is>
          <t>ÖRNSKÖLDSVIK</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61304-2022</t>
        </is>
      </c>
      <c r="B6078" s="1" t="n">
        <v>44915</v>
      </c>
      <c r="C6078" s="1" t="n">
        <v>45212</v>
      </c>
      <c r="D6078" t="inlineStr">
        <is>
          <t>VÄSTERNORRLANDS LÄN</t>
        </is>
      </c>
      <c r="E6078" t="inlineStr">
        <is>
          <t>KRAMFORS</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61341-2022</t>
        </is>
      </c>
      <c r="B6079" s="1" t="n">
        <v>44915</v>
      </c>
      <c r="C6079" s="1" t="n">
        <v>45212</v>
      </c>
      <c r="D6079" t="inlineStr">
        <is>
          <t>VÄSTERNORRLANDS LÄN</t>
        </is>
      </c>
      <c r="E6079" t="inlineStr">
        <is>
          <t>SOLLEFTEÅ</t>
        </is>
      </c>
      <c r="G6079" t="n">
        <v>3</v>
      </c>
      <c r="H6079" t="n">
        <v>0</v>
      </c>
      <c r="I6079" t="n">
        <v>0</v>
      </c>
      <c r="J6079" t="n">
        <v>0</v>
      </c>
      <c r="K6079" t="n">
        <v>0</v>
      </c>
      <c r="L6079" t="n">
        <v>0</v>
      </c>
      <c r="M6079" t="n">
        <v>0</v>
      </c>
      <c r="N6079" t="n">
        <v>0</v>
      </c>
      <c r="O6079" t="n">
        <v>0</v>
      </c>
      <c r="P6079" t="n">
        <v>0</v>
      </c>
      <c r="Q6079" t="n">
        <v>0</v>
      </c>
      <c r="R6079" s="2" t="inlineStr"/>
    </row>
    <row r="6080" ht="15" customHeight="1">
      <c r="A6080" t="inlineStr">
        <is>
          <t>A 61373-2022</t>
        </is>
      </c>
      <c r="B6080" s="1" t="n">
        <v>44915</v>
      </c>
      <c r="C6080" s="1" t="n">
        <v>45212</v>
      </c>
      <c r="D6080" t="inlineStr">
        <is>
          <t>VÄSTERNORRLANDS LÄN</t>
        </is>
      </c>
      <c r="E6080" t="inlineStr">
        <is>
          <t>TIMRÅ</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62226-2022</t>
        </is>
      </c>
      <c r="B6081" s="1" t="n">
        <v>44916</v>
      </c>
      <c r="C6081" s="1" t="n">
        <v>45212</v>
      </c>
      <c r="D6081" t="inlineStr">
        <is>
          <t>VÄSTERNORRLANDS LÄN</t>
        </is>
      </c>
      <c r="E6081" t="inlineStr">
        <is>
          <t>KRAMFORS</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62337-2022</t>
        </is>
      </c>
      <c r="B6082" s="1" t="n">
        <v>44916</v>
      </c>
      <c r="C6082" s="1" t="n">
        <v>45212</v>
      </c>
      <c r="D6082" t="inlineStr">
        <is>
          <t>VÄSTERNORRLANDS LÄN</t>
        </is>
      </c>
      <c r="E6082" t="inlineStr">
        <is>
          <t>ÖRNSKÖLDSVIK</t>
        </is>
      </c>
      <c r="G6082" t="n">
        <v>9.800000000000001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61661-2022</t>
        </is>
      </c>
      <c r="B6083" s="1" t="n">
        <v>44916</v>
      </c>
      <c r="C6083" s="1" t="n">
        <v>45212</v>
      </c>
      <c r="D6083" t="inlineStr">
        <is>
          <t>VÄSTERNORRLANDS LÄN</t>
        </is>
      </c>
      <c r="E6083" t="inlineStr">
        <is>
          <t>ÖRNSKÖLDSVIK</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62224-2022</t>
        </is>
      </c>
      <c r="B6084" s="1" t="n">
        <v>44916</v>
      </c>
      <c r="C6084" s="1" t="n">
        <v>45212</v>
      </c>
      <c r="D6084" t="inlineStr">
        <is>
          <t>VÄSTERNORRLANDS LÄN</t>
        </is>
      </c>
      <c r="E6084" t="inlineStr">
        <is>
          <t>KRAMFORS</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62333-2022</t>
        </is>
      </c>
      <c r="B6085" s="1" t="n">
        <v>44916</v>
      </c>
      <c r="C6085" s="1" t="n">
        <v>45212</v>
      </c>
      <c r="D6085" t="inlineStr">
        <is>
          <t>VÄSTERNORRLANDS LÄN</t>
        </is>
      </c>
      <c r="E6085" t="inlineStr">
        <is>
          <t>ÖRNSKÖLDSVIK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61437-2022</t>
        </is>
      </c>
      <c r="B6086" s="1" t="n">
        <v>44916</v>
      </c>
      <c r="C6086" s="1" t="n">
        <v>45212</v>
      </c>
      <c r="D6086" t="inlineStr">
        <is>
          <t>VÄSTERNORRLANDS LÄN</t>
        </is>
      </c>
      <c r="E6086" t="inlineStr">
        <is>
          <t>HÄRNÖSAND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62340-2022</t>
        </is>
      </c>
      <c r="B6087" s="1" t="n">
        <v>44916</v>
      </c>
      <c r="C6087" s="1" t="n">
        <v>45212</v>
      </c>
      <c r="D6087" t="inlineStr">
        <is>
          <t>VÄSTERNORRLANDS LÄN</t>
        </is>
      </c>
      <c r="E6087" t="inlineStr">
        <is>
          <t>ÖRNSKÖLDSVIK</t>
        </is>
      </c>
      <c r="G6087" t="n">
        <v>4.9</v>
      </c>
      <c r="H6087" t="n">
        <v>0</v>
      </c>
      <c r="I6087" t="n">
        <v>0</v>
      </c>
      <c r="J6087" t="n">
        <v>0</v>
      </c>
      <c r="K6087" t="n">
        <v>0</v>
      </c>
      <c r="L6087" t="n">
        <v>0</v>
      </c>
      <c r="M6087" t="n">
        <v>0</v>
      </c>
      <c r="N6087" t="n">
        <v>0</v>
      </c>
      <c r="O6087" t="n">
        <v>0</v>
      </c>
      <c r="P6087" t="n">
        <v>0</v>
      </c>
      <c r="Q6087" t="n">
        <v>0</v>
      </c>
      <c r="R6087" s="2" t="inlineStr"/>
    </row>
    <row r="6088" ht="15" customHeight="1">
      <c r="A6088" t="inlineStr">
        <is>
          <t>A 61630-2022</t>
        </is>
      </c>
      <c r="B6088" s="1" t="n">
        <v>44916</v>
      </c>
      <c r="C6088" s="1" t="n">
        <v>45212</v>
      </c>
      <c r="D6088" t="inlineStr">
        <is>
          <t>VÄSTERNORRLANDS LÄN</t>
        </is>
      </c>
      <c r="E6088" t="inlineStr">
        <is>
          <t>ÖRNSKÖLDSVIK</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61659-2022</t>
        </is>
      </c>
      <c r="B6089" s="1" t="n">
        <v>44916</v>
      </c>
      <c r="C6089" s="1" t="n">
        <v>45212</v>
      </c>
      <c r="D6089" t="inlineStr">
        <is>
          <t>VÄSTERNORRLANDS LÄN</t>
        </is>
      </c>
      <c r="E6089" t="inlineStr">
        <is>
          <t>ÖRNSKÖLDSVIK</t>
        </is>
      </c>
      <c r="F6089" t="inlineStr">
        <is>
          <t>SCA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62217-2022</t>
        </is>
      </c>
      <c r="B6090" s="1" t="n">
        <v>44916</v>
      </c>
      <c r="C6090" s="1" t="n">
        <v>45212</v>
      </c>
      <c r="D6090" t="inlineStr">
        <is>
          <t>VÄSTERNORRLANDS LÄN</t>
        </is>
      </c>
      <c r="E6090" t="inlineStr">
        <is>
          <t>SOLLEFTEÅ</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62331-2022</t>
        </is>
      </c>
      <c r="B6091" s="1" t="n">
        <v>44916</v>
      </c>
      <c r="C6091" s="1" t="n">
        <v>45212</v>
      </c>
      <c r="D6091" t="inlineStr">
        <is>
          <t>VÄSTERNORRLANDS LÄN</t>
        </is>
      </c>
      <c r="E6091" t="inlineStr">
        <is>
          <t>ÖRNSKÖLDSVIK</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62342-2022</t>
        </is>
      </c>
      <c r="B6092" s="1" t="n">
        <v>44916</v>
      </c>
      <c r="C6092" s="1" t="n">
        <v>45212</v>
      </c>
      <c r="D6092" t="inlineStr">
        <is>
          <t>VÄSTERNORRLANDS LÄN</t>
        </is>
      </c>
      <c r="E6092" t="inlineStr">
        <is>
          <t>ÖRNSKÖLDSVIK</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61674-2022</t>
        </is>
      </c>
      <c r="B6093" s="1" t="n">
        <v>44917</v>
      </c>
      <c r="C6093" s="1" t="n">
        <v>45212</v>
      </c>
      <c r="D6093" t="inlineStr">
        <is>
          <t>VÄSTERNORRLANDS LÄN</t>
        </is>
      </c>
      <c r="E6093" t="inlineStr">
        <is>
          <t>ÖRNSKÖLDSVIK</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61727-2022</t>
        </is>
      </c>
      <c r="B6094" s="1" t="n">
        <v>44917</v>
      </c>
      <c r="C6094" s="1" t="n">
        <v>45212</v>
      </c>
      <c r="D6094" t="inlineStr">
        <is>
          <t>VÄSTERNORRLANDS LÄN</t>
        </is>
      </c>
      <c r="E6094" t="inlineStr">
        <is>
          <t>SUNDSVALL</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61735-2022</t>
        </is>
      </c>
      <c r="B6095" s="1" t="n">
        <v>44917</v>
      </c>
      <c r="C6095" s="1" t="n">
        <v>45212</v>
      </c>
      <c r="D6095" t="inlineStr">
        <is>
          <t>VÄSTERNORRLANDS LÄN</t>
        </is>
      </c>
      <c r="E6095" t="inlineStr">
        <is>
          <t>SUNDSVALL</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62662-2022</t>
        </is>
      </c>
      <c r="B6096" s="1" t="n">
        <v>44917</v>
      </c>
      <c r="C6096" s="1" t="n">
        <v>45212</v>
      </c>
      <c r="D6096" t="inlineStr">
        <is>
          <t>VÄSTERNORRLANDS LÄN</t>
        </is>
      </c>
      <c r="E6096" t="inlineStr">
        <is>
          <t>SOLLEFTEÅ</t>
        </is>
      </c>
      <c r="G6096" t="n">
        <v>2.1</v>
      </c>
      <c r="H6096" t="n">
        <v>0</v>
      </c>
      <c r="I6096" t="n">
        <v>0</v>
      </c>
      <c r="J6096" t="n">
        <v>0</v>
      </c>
      <c r="K6096" t="n">
        <v>0</v>
      </c>
      <c r="L6096" t="n">
        <v>0</v>
      </c>
      <c r="M6096" t="n">
        <v>0</v>
      </c>
      <c r="N6096" t="n">
        <v>0</v>
      </c>
      <c r="O6096" t="n">
        <v>0</v>
      </c>
      <c r="P6096" t="n">
        <v>0</v>
      </c>
      <c r="Q6096" t="n">
        <v>0</v>
      </c>
      <c r="R6096" s="2" t="inlineStr"/>
    </row>
    <row r="6097" ht="15" customHeight="1">
      <c r="A6097" t="inlineStr">
        <is>
          <t>A 61733-2022</t>
        </is>
      </c>
      <c r="B6097" s="1" t="n">
        <v>44917</v>
      </c>
      <c r="C6097" s="1" t="n">
        <v>45212</v>
      </c>
      <c r="D6097" t="inlineStr">
        <is>
          <t>VÄSTERNORRLANDS LÄN</t>
        </is>
      </c>
      <c r="E6097" t="inlineStr">
        <is>
          <t>SUNDSVALL</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38-2023</t>
        </is>
      </c>
      <c r="B6098" s="1" t="n">
        <v>44918</v>
      </c>
      <c r="C6098" s="1" t="n">
        <v>45212</v>
      </c>
      <c r="D6098" t="inlineStr">
        <is>
          <t>VÄSTERNORRLANDS LÄN</t>
        </is>
      </c>
      <c r="E6098" t="inlineStr">
        <is>
          <t>ÖRNSKÖLDSVIK</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28-2023</t>
        </is>
      </c>
      <c r="B6099" s="1" t="n">
        <v>44918</v>
      </c>
      <c r="C6099" s="1" t="n">
        <v>45212</v>
      </c>
      <c r="D6099" t="inlineStr">
        <is>
          <t>VÄSTERNORRLANDS LÄN</t>
        </is>
      </c>
      <c r="E6099" t="inlineStr">
        <is>
          <t>SOLLEFTEÅ</t>
        </is>
      </c>
      <c r="G6099" t="n">
        <v>23.8</v>
      </c>
      <c r="H6099" t="n">
        <v>0</v>
      </c>
      <c r="I6099" t="n">
        <v>0</v>
      </c>
      <c r="J6099" t="n">
        <v>0</v>
      </c>
      <c r="K6099" t="n">
        <v>0</v>
      </c>
      <c r="L6099" t="n">
        <v>0</v>
      </c>
      <c r="M6099" t="n">
        <v>0</v>
      </c>
      <c r="N6099" t="n">
        <v>0</v>
      </c>
      <c r="O6099" t="n">
        <v>0</v>
      </c>
      <c r="P6099" t="n">
        <v>0</v>
      </c>
      <c r="Q6099" t="n">
        <v>0</v>
      </c>
      <c r="R6099" s="2" t="inlineStr"/>
    </row>
    <row r="6100" ht="15" customHeight="1">
      <c r="A6100" t="inlineStr">
        <is>
          <t>A 62089-2022</t>
        </is>
      </c>
      <c r="B6100" s="1" t="n">
        <v>44919</v>
      </c>
      <c r="C6100" s="1" t="n">
        <v>45212</v>
      </c>
      <c r="D6100" t="inlineStr">
        <is>
          <t>VÄSTERNORRLANDS LÄN</t>
        </is>
      </c>
      <c r="E6100" t="inlineStr">
        <is>
          <t>ÖRNSKÖLDSVIK</t>
        </is>
      </c>
      <c r="G6100" t="n">
        <v>24.7</v>
      </c>
      <c r="H6100" t="n">
        <v>0</v>
      </c>
      <c r="I6100" t="n">
        <v>0</v>
      </c>
      <c r="J6100" t="n">
        <v>0</v>
      </c>
      <c r="K6100" t="n">
        <v>0</v>
      </c>
      <c r="L6100" t="n">
        <v>0</v>
      </c>
      <c r="M6100" t="n">
        <v>0</v>
      </c>
      <c r="N6100" t="n">
        <v>0</v>
      </c>
      <c r="O6100" t="n">
        <v>0</v>
      </c>
      <c r="P6100" t="n">
        <v>0</v>
      </c>
      <c r="Q6100" t="n">
        <v>0</v>
      </c>
      <c r="R6100" s="2" t="inlineStr"/>
    </row>
    <row r="6101" ht="15" customHeight="1">
      <c r="A6101" t="inlineStr">
        <is>
          <t>A 62091-2022</t>
        </is>
      </c>
      <c r="B6101" s="1" t="n">
        <v>44919</v>
      </c>
      <c r="C6101" s="1" t="n">
        <v>45212</v>
      </c>
      <c r="D6101" t="inlineStr">
        <is>
          <t>VÄSTERNORRLANDS LÄN</t>
        </is>
      </c>
      <c r="E6101" t="inlineStr">
        <is>
          <t>ÖRNSKÖLDSVIK</t>
        </is>
      </c>
      <c r="G6101" t="n">
        <v>44.3</v>
      </c>
      <c r="H6101" t="n">
        <v>0</v>
      </c>
      <c r="I6101" t="n">
        <v>0</v>
      </c>
      <c r="J6101" t="n">
        <v>0</v>
      </c>
      <c r="K6101" t="n">
        <v>0</v>
      </c>
      <c r="L6101" t="n">
        <v>0</v>
      </c>
      <c r="M6101" t="n">
        <v>0</v>
      </c>
      <c r="N6101" t="n">
        <v>0</v>
      </c>
      <c r="O6101" t="n">
        <v>0</v>
      </c>
      <c r="P6101" t="n">
        <v>0</v>
      </c>
      <c r="Q6101" t="n">
        <v>0</v>
      </c>
      <c r="R6101" s="2" t="inlineStr"/>
    </row>
    <row r="6102" ht="15" customHeight="1">
      <c r="A6102" t="inlineStr">
        <is>
          <t>A 62085-2022</t>
        </is>
      </c>
      <c r="B6102" s="1" t="n">
        <v>44919</v>
      </c>
      <c r="C6102" s="1" t="n">
        <v>45212</v>
      </c>
      <c r="D6102" t="inlineStr">
        <is>
          <t>VÄSTERNORRLANDS LÄN</t>
        </is>
      </c>
      <c r="E6102" t="inlineStr">
        <is>
          <t>ÖRNSKÖLDSVIK</t>
        </is>
      </c>
      <c r="G6102" t="n">
        <v>8.800000000000001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62090-2022</t>
        </is>
      </c>
      <c r="B6103" s="1" t="n">
        <v>44919</v>
      </c>
      <c r="C6103" s="1" t="n">
        <v>45212</v>
      </c>
      <c r="D6103" t="inlineStr">
        <is>
          <t>VÄSTERNORRLANDS LÄN</t>
        </is>
      </c>
      <c r="E6103" t="inlineStr">
        <is>
          <t>ÖRNSKÖLDSVIK</t>
        </is>
      </c>
      <c r="G6103" t="n">
        <v>24.8</v>
      </c>
      <c r="H6103" t="n">
        <v>0</v>
      </c>
      <c r="I6103" t="n">
        <v>0</v>
      </c>
      <c r="J6103" t="n">
        <v>0</v>
      </c>
      <c r="K6103" t="n">
        <v>0</v>
      </c>
      <c r="L6103" t="n">
        <v>0</v>
      </c>
      <c r="M6103" t="n">
        <v>0</v>
      </c>
      <c r="N6103" t="n">
        <v>0</v>
      </c>
      <c r="O6103" t="n">
        <v>0</v>
      </c>
      <c r="P6103" t="n">
        <v>0</v>
      </c>
      <c r="Q6103" t="n">
        <v>0</v>
      </c>
      <c r="R6103" s="2" t="inlineStr"/>
    </row>
    <row r="6104" ht="15" customHeight="1">
      <c r="A6104" t="inlineStr">
        <is>
          <t>A 62107-2022</t>
        </is>
      </c>
      <c r="B6104" s="1" t="n">
        <v>44920</v>
      </c>
      <c r="C6104" s="1" t="n">
        <v>45212</v>
      </c>
      <c r="D6104" t="inlineStr">
        <is>
          <t>VÄSTERNORRLANDS LÄN</t>
        </is>
      </c>
      <c r="E6104" t="inlineStr">
        <is>
          <t>ÖRNSKÖLDSVIK</t>
        </is>
      </c>
      <c r="G6104" t="n">
        <v>26.3</v>
      </c>
      <c r="H6104" t="n">
        <v>0</v>
      </c>
      <c r="I6104" t="n">
        <v>0</v>
      </c>
      <c r="J6104" t="n">
        <v>0</v>
      </c>
      <c r="K6104" t="n">
        <v>0</v>
      </c>
      <c r="L6104" t="n">
        <v>0</v>
      </c>
      <c r="M6104" t="n">
        <v>0</v>
      </c>
      <c r="N6104" t="n">
        <v>0</v>
      </c>
      <c r="O6104" t="n">
        <v>0</v>
      </c>
      <c r="P6104" t="n">
        <v>0</v>
      </c>
      <c r="Q6104" t="n">
        <v>0</v>
      </c>
      <c r="R6104" s="2" t="inlineStr"/>
    </row>
    <row r="6105" ht="15" customHeight="1">
      <c r="A6105" t="inlineStr">
        <is>
          <t>A 62113-2022</t>
        </is>
      </c>
      <c r="B6105" s="1" t="n">
        <v>44921</v>
      </c>
      <c r="C6105" s="1" t="n">
        <v>45212</v>
      </c>
      <c r="D6105" t="inlineStr">
        <is>
          <t>VÄSTERNORRLANDS LÄN</t>
        </is>
      </c>
      <c r="E6105" t="inlineStr">
        <is>
          <t>TIMRÅ</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192-2023</t>
        </is>
      </c>
      <c r="B6106" s="1" t="n">
        <v>44922</v>
      </c>
      <c r="C6106" s="1" t="n">
        <v>45212</v>
      </c>
      <c r="D6106" t="inlineStr">
        <is>
          <t>VÄSTERNORRLANDS LÄN</t>
        </is>
      </c>
      <c r="E6106" t="inlineStr">
        <is>
          <t>SOLLEFTEÅ</t>
        </is>
      </c>
      <c r="G6106" t="n">
        <v>20.9</v>
      </c>
      <c r="H6106" t="n">
        <v>0</v>
      </c>
      <c r="I6106" t="n">
        <v>0</v>
      </c>
      <c r="J6106" t="n">
        <v>0</v>
      </c>
      <c r="K6106" t="n">
        <v>0</v>
      </c>
      <c r="L6106" t="n">
        <v>0</v>
      </c>
      <c r="M6106" t="n">
        <v>0</v>
      </c>
      <c r="N6106" t="n">
        <v>0</v>
      </c>
      <c r="O6106" t="n">
        <v>0</v>
      </c>
      <c r="P6106" t="n">
        <v>0</v>
      </c>
      <c r="Q6106" t="n">
        <v>0</v>
      </c>
      <c r="R6106" s="2" t="inlineStr"/>
    </row>
    <row r="6107" ht="15" customHeight="1">
      <c r="A6107" t="inlineStr">
        <is>
          <t>A 62406-2022</t>
        </is>
      </c>
      <c r="B6107" s="1" t="n">
        <v>44923</v>
      </c>
      <c r="C6107" s="1" t="n">
        <v>45212</v>
      </c>
      <c r="D6107" t="inlineStr">
        <is>
          <t>VÄSTERNORRLANDS LÄN</t>
        </is>
      </c>
      <c r="E6107" t="inlineStr">
        <is>
          <t>SOLLEFTEÅ</t>
        </is>
      </c>
      <c r="F6107" t="inlineStr">
        <is>
          <t>SCA</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368-2023</t>
        </is>
      </c>
      <c r="B6108" s="1" t="n">
        <v>44923</v>
      </c>
      <c r="C6108" s="1" t="n">
        <v>45212</v>
      </c>
      <c r="D6108" t="inlineStr">
        <is>
          <t>VÄSTERNORRLANDS LÄN</t>
        </is>
      </c>
      <c r="E6108" t="inlineStr">
        <is>
          <t>KRAMFORS</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373-2023</t>
        </is>
      </c>
      <c r="B6109" s="1" t="n">
        <v>44923</v>
      </c>
      <c r="C6109" s="1" t="n">
        <v>45212</v>
      </c>
      <c r="D6109" t="inlineStr">
        <is>
          <t>VÄSTERNORRLANDS LÄN</t>
        </is>
      </c>
      <c r="E6109" t="inlineStr">
        <is>
          <t>KRAMFORS</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370-2023</t>
        </is>
      </c>
      <c r="B6110" s="1" t="n">
        <v>44923</v>
      </c>
      <c r="C6110" s="1" t="n">
        <v>45212</v>
      </c>
      <c r="D6110" t="inlineStr">
        <is>
          <t>VÄSTERNORRLANDS LÄN</t>
        </is>
      </c>
      <c r="E6110" t="inlineStr">
        <is>
          <t>KRAMFORS</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62416-2022</t>
        </is>
      </c>
      <c r="B6111" s="1" t="n">
        <v>44924</v>
      </c>
      <c r="C6111" s="1" t="n">
        <v>45212</v>
      </c>
      <c r="D6111" t="inlineStr">
        <is>
          <t>VÄSTERNORRLANDS LÄN</t>
        </is>
      </c>
      <c r="E6111" t="inlineStr">
        <is>
          <t>ÖRNSKÖLDSVIK</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62507-2022</t>
        </is>
      </c>
      <c r="B6112" s="1" t="n">
        <v>44924</v>
      </c>
      <c r="C6112" s="1" t="n">
        <v>45212</v>
      </c>
      <c r="D6112" t="inlineStr">
        <is>
          <t>VÄSTERNORRLANDS LÄN</t>
        </is>
      </c>
      <c r="E6112" t="inlineStr">
        <is>
          <t>SOLLEFTEÅ</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528-2023</t>
        </is>
      </c>
      <c r="B6113" s="1" t="n">
        <v>44924</v>
      </c>
      <c r="C6113" s="1" t="n">
        <v>45212</v>
      </c>
      <c r="D6113" t="inlineStr">
        <is>
          <t>VÄSTERNORRLANDS LÄN</t>
        </is>
      </c>
      <c r="E6113" t="inlineStr">
        <is>
          <t>TIMRÅ</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524-2023</t>
        </is>
      </c>
      <c r="B6114" s="1" t="n">
        <v>44924</v>
      </c>
      <c r="C6114" s="1" t="n">
        <v>45212</v>
      </c>
      <c r="D6114" t="inlineStr">
        <is>
          <t>VÄSTERNORRLANDS LÄN</t>
        </is>
      </c>
      <c r="E6114" t="inlineStr">
        <is>
          <t>TIMRÅ</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62710-2022</t>
        </is>
      </c>
      <c r="B6115" s="1" t="n">
        <v>44925</v>
      </c>
      <c r="C6115" s="1" t="n">
        <v>45212</v>
      </c>
      <c r="D6115" t="inlineStr">
        <is>
          <t>VÄSTERNORRLANDS LÄN</t>
        </is>
      </c>
      <c r="E6115" t="inlineStr">
        <is>
          <t>SOLLEFTEÅ</t>
        </is>
      </c>
      <c r="F6115" t="inlineStr">
        <is>
          <t>Holmen skog AB</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62751-2022</t>
        </is>
      </c>
      <c r="B6116" s="1" t="n">
        <v>44925</v>
      </c>
      <c r="C6116" s="1" t="n">
        <v>45212</v>
      </c>
      <c r="D6116" t="inlineStr">
        <is>
          <t>VÄSTERNORRLANDS LÄN</t>
        </is>
      </c>
      <c r="E6116" t="inlineStr">
        <is>
          <t>ÖRNSKÖLDSVIK</t>
        </is>
      </c>
      <c r="F6116" t="inlineStr">
        <is>
          <t>SCA</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62745-2022</t>
        </is>
      </c>
      <c r="B6117" s="1" t="n">
        <v>44925</v>
      </c>
      <c r="C6117" s="1" t="n">
        <v>45212</v>
      </c>
      <c r="D6117" t="inlineStr">
        <is>
          <t>VÄSTERNORRLANDS LÄN</t>
        </is>
      </c>
      <c r="E6117" t="inlineStr">
        <is>
          <t>SOLLEFTEÅ</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200-2023</t>
        </is>
      </c>
      <c r="B6118" s="1" t="n">
        <v>44928</v>
      </c>
      <c r="C6118" s="1" t="n">
        <v>45212</v>
      </c>
      <c r="D6118" t="inlineStr">
        <is>
          <t>VÄSTERNORRLANDS LÄN</t>
        </is>
      </c>
      <c r="E6118" t="inlineStr">
        <is>
          <t>SUNDSVALL</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287-2023</t>
        </is>
      </c>
      <c r="B6119" s="1" t="n">
        <v>44928</v>
      </c>
      <c r="C6119" s="1" t="n">
        <v>45212</v>
      </c>
      <c r="D6119" t="inlineStr">
        <is>
          <t>VÄSTERNORRLANDS LÄN</t>
        </is>
      </c>
      <c r="E6119" t="inlineStr">
        <is>
          <t>ÖRNSKÖLDSVIK</t>
        </is>
      </c>
      <c r="F6119" t="inlineStr">
        <is>
          <t>SCA</t>
        </is>
      </c>
      <c r="G6119" t="n">
        <v>0.2</v>
      </c>
      <c r="H6119" t="n">
        <v>0</v>
      </c>
      <c r="I6119" t="n">
        <v>0</v>
      </c>
      <c r="J6119" t="n">
        <v>0</v>
      </c>
      <c r="K6119" t="n">
        <v>0</v>
      </c>
      <c r="L6119" t="n">
        <v>0</v>
      </c>
      <c r="M6119" t="n">
        <v>0</v>
      </c>
      <c r="N6119" t="n">
        <v>0</v>
      </c>
      <c r="O6119" t="n">
        <v>0</v>
      </c>
      <c r="P6119" t="n">
        <v>0</v>
      </c>
      <c r="Q6119" t="n">
        <v>0</v>
      </c>
      <c r="R6119" s="2" t="inlineStr"/>
    </row>
    <row r="6120" ht="15" customHeight="1">
      <c r="A6120" t="inlineStr">
        <is>
          <t>A 45-2023</t>
        </is>
      </c>
      <c r="B6120" s="1" t="n">
        <v>44928</v>
      </c>
      <c r="C6120" s="1" t="n">
        <v>45212</v>
      </c>
      <c r="D6120" t="inlineStr">
        <is>
          <t>VÄSTERNORRLANDS LÄN</t>
        </is>
      </c>
      <c r="E6120" t="inlineStr">
        <is>
          <t>ÖRNSKÖLDSVIK</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279-2023</t>
        </is>
      </c>
      <c r="B6121" s="1" t="n">
        <v>44928</v>
      </c>
      <c r="C6121" s="1" t="n">
        <v>45212</v>
      </c>
      <c r="D6121" t="inlineStr">
        <is>
          <t>VÄSTERNORRLANDS LÄN</t>
        </is>
      </c>
      <c r="E6121" t="inlineStr">
        <is>
          <t>SOLLEFTEÅ</t>
        </is>
      </c>
      <c r="G6121" t="n">
        <v>9.800000000000001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284-2023</t>
        </is>
      </c>
      <c r="B6122" s="1" t="n">
        <v>44928</v>
      </c>
      <c r="C6122" s="1" t="n">
        <v>45212</v>
      </c>
      <c r="D6122" t="inlineStr">
        <is>
          <t>VÄSTERNORRLANDS LÄN</t>
        </is>
      </c>
      <c r="E6122" t="inlineStr">
        <is>
          <t>SUNDSVALL</t>
        </is>
      </c>
      <c r="G6122" t="n">
        <v>5</v>
      </c>
      <c r="H6122" t="n">
        <v>0</v>
      </c>
      <c r="I6122" t="n">
        <v>0</v>
      </c>
      <c r="J6122" t="n">
        <v>0</v>
      </c>
      <c r="K6122" t="n">
        <v>0</v>
      </c>
      <c r="L6122" t="n">
        <v>0</v>
      </c>
      <c r="M6122" t="n">
        <v>0</v>
      </c>
      <c r="N6122" t="n">
        <v>0</v>
      </c>
      <c r="O6122" t="n">
        <v>0</v>
      </c>
      <c r="P6122" t="n">
        <v>0</v>
      </c>
      <c r="Q6122" t="n">
        <v>0</v>
      </c>
      <c r="R6122" s="2" t="inlineStr"/>
    </row>
    <row r="6123" ht="15" customHeight="1">
      <c r="A6123" t="inlineStr">
        <is>
          <t>A 795-2023</t>
        </is>
      </c>
      <c r="B6123" s="1" t="n">
        <v>44928</v>
      </c>
      <c r="C6123" s="1" t="n">
        <v>45212</v>
      </c>
      <c r="D6123" t="inlineStr">
        <is>
          <t>VÄSTERNORRLANDS LÄN</t>
        </is>
      </c>
      <c r="E6123" t="inlineStr">
        <is>
          <t>SUNDSVALL</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282-2023</t>
        </is>
      </c>
      <c r="B6124" s="1" t="n">
        <v>44928</v>
      </c>
      <c r="C6124" s="1" t="n">
        <v>45212</v>
      </c>
      <c r="D6124" t="inlineStr">
        <is>
          <t>VÄSTERNORRLANDS LÄN</t>
        </is>
      </c>
      <c r="E6124" t="inlineStr">
        <is>
          <t>SOLLEFTEÅ</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304-2023</t>
        </is>
      </c>
      <c r="B6125" s="1" t="n">
        <v>44929</v>
      </c>
      <c r="C6125" s="1" t="n">
        <v>45212</v>
      </c>
      <c r="D6125" t="inlineStr">
        <is>
          <t>VÄSTERNORRLANDS LÄN</t>
        </is>
      </c>
      <c r="E6125" t="inlineStr">
        <is>
          <t>SUNDSVALL</t>
        </is>
      </c>
      <c r="G6125" t="n">
        <v>2.4</v>
      </c>
      <c r="H6125" t="n">
        <v>0</v>
      </c>
      <c r="I6125" t="n">
        <v>0</v>
      </c>
      <c r="J6125" t="n">
        <v>0</v>
      </c>
      <c r="K6125" t="n">
        <v>0</v>
      </c>
      <c r="L6125" t="n">
        <v>0</v>
      </c>
      <c r="M6125" t="n">
        <v>0</v>
      </c>
      <c r="N6125" t="n">
        <v>0</v>
      </c>
      <c r="O6125" t="n">
        <v>0</v>
      </c>
      <c r="P6125" t="n">
        <v>0</v>
      </c>
      <c r="Q6125" t="n">
        <v>0</v>
      </c>
      <c r="R6125" s="2" t="inlineStr"/>
    </row>
    <row r="6126" ht="15" customHeight="1">
      <c r="A6126" t="inlineStr">
        <is>
          <t>A 399-2023</t>
        </is>
      </c>
      <c r="B6126" s="1" t="n">
        <v>44929</v>
      </c>
      <c r="C6126" s="1" t="n">
        <v>45212</v>
      </c>
      <c r="D6126" t="inlineStr">
        <is>
          <t>VÄSTERNORRLANDS LÄN</t>
        </is>
      </c>
      <c r="E6126" t="inlineStr">
        <is>
          <t>ÖRNSKÖLDSVIK</t>
        </is>
      </c>
      <c r="F6126" t="inlineStr">
        <is>
          <t>Holmen skog AB</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1095-2023</t>
        </is>
      </c>
      <c r="B6127" s="1" t="n">
        <v>44929</v>
      </c>
      <c r="C6127" s="1" t="n">
        <v>45212</v>
      </c>
      <c r="D6127" t="inlineStr">
        <is>
          <t>VÄSTERNORRLANDS LÄN</t>
        </is>
      </c>
      <c r="E6127" t="inlineStr">
        <is>
          <t>ÅNGE</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1127-2023</t>
        </is>
      </c>
      <c r="B6128" s="1" t="n">
        <v>44929</v>
      </c>
      <c r="C6128" s="1" t="n">
        <v>45212</v>
      </c>
      <c r="D6128" t="inlineStr">
        <is>
          <t>VÄSTERNORRLANDS LÄN</t>
        </is>
      </c>
      <c r="E6128" t="inlineStr">
        <is>
          <t>ÅNGE</t>
        </is>
      </c>
      <c r="G6128" t="n">
        <v>10.5</v>
      </c>
      <c r="H6128" t="n">
        <v>0</v>
      </c>
      <c r="I6128" t="n">
        <v>0</v>
      </c>
      <c r="J6128" t="n">
        <v>0</v>
      </c>
      <c r="K6128" t="n">
        <v>0</v>
      </c>
      <c r="L6128" t="n">
        <v>0</v>
      </c>
      <c r="M6128" t="n">
        <v>0</v>
      </c>
      <c r="N6128" t="n">
        <v>0</v>
      </c>
      <c r="O6128" t="n">
        <v>0</v>
      </c>
      <c r="P6128" t="n">
        <v>0</v>
      </c>
      <c r="Q6128" t="n">
        <v>0</v>
      </c>
      <c r="R6128" s="2" t="inlineStr"/>
    </row>
    <row r="6129" ht="15" customHeight="1">
      <c r="A6129" t="inlineStr">
        <is>
          <t>A 311-2023</t>
        </is>
      </c>
      <c r="B6129" s="1" t="n">
        <v>44929</v>
      </c>
      <c r="C6129" s="1" t="n">
        <v>45212</v>
      </c>
      <c r="D6129" t="inlineStr">
        <is>
          <t>VÄSTERNORRLANDS LÄN</t>
        </is>
      </c>
      <c r="E6129" t="inlineStr">
        <is>
          <t>SUNDSVALL</t>
        </is>
      </c>
      <c r="G6129" t="n">
        <v>16.5</v>
      </c>
      <c r="H6129" t="n">
        <v>0</v>
      </c>
      <c r="I6129" t="n">
        <v>0</v>
      </c>
      <c r="J6129" t="n">
        <v>0</v>
      </c>
      <c r="K6129" t="n">
        <v>0</v>
      </c>
      <c r="L6129" t="n">
        <v>0</v>
      </c>
      <c r="M6129" t="n">
        <v>0</v>
      </c>
      <c r="N6129" t="n">
        <v>0</v>
      </c>
      <c r="O6129" t="n">
        <v>0</v>
      </c>
      <c r="P6129" t="n">
        <v>0</v>
      </c>
      <c r="Q6129" t="n">
        <v>0</v>
      </c>
      <c r="R6129" s="2" t="inlineStr"/>
    </row>
    <row r="6130" ht="15" customHeight="1">
      <c r="A6130" t="inlineStr">
        <is>
          <t>A 1103-2023</t>
        </is>
      </c>
      <c r="B6130" s="1" t="n">
        <v>44929</v>
      </c>
      <c r="C6130" s="1" t="n">
        <v>45212</v>
      </c>
      <c r="D6130" t="inlineStr">
        <is>
          <t>VÄSTERNORRLANDS LÄN</t>
        </is>
      </c>
      <c r="E6130" t="inlineStr">
        <is>
          <t>ÅNGE</t>
        </is>
      </c>
      <c r="G6130" t="n">
        <v>7.3</v>
      </c>
      <c r="H6130" t="n">
        <v>0</v>
      </c>
      <c r="I6130" t="n">
        <v>0</v>
      </c>
      <c r="J6130" t="n">
        <v>0</v>
      </c>
      <c r="K6130" t="n">
        <v>0</v>
      </c>
      <c r="L6130" t="n">
        <v>0</v>
      </c>
      <c r="M6130" t="n">
        <v>0</v>
      </c>
      <c r="N6130" t="n">
        <v>0</v>
      </c>
      <c r="O6130" t="n">
        <v>0</v>
      </c>
      <c r="P6130" t="n">
        <v>0</v>
      </c>
      <c r="Q6130" t="n">
        <v>0</v>
      </c>
      <c r="R6130" s="2" t="inlineStr"/>
    </row>
    <row r="6131" ht="15" customHeight="1">
      <c r="A6131" t="inlineStr">
        <is>
          <t>A 303-2023</t>
        </is>
      </c>
      <c r="B6131" s="1" t="n">
        <v>44929</v>
      </c>
      <c r="C6131" s="1" t="n">
        <v>45212</v>
      </c>
      <c r="D6131" t="inlineStr">
        <is>
          <t>VÄSTERNORRLANDS LÄN</t>
        </is>
      </c>
      <c r="E6131" t="inlineStr">
        <is>
          <t>SUNDSVALL</t>
        </is>
      </c>
      <c r="G6131" t="n">
        <v>3.9</v>
      </c>
      <c r="H6131" t="n">
        <v>0</v>
      </c>
      <c r="I6131" t="n">
        <v>0</v>
      </c>
      <c r="J6131" t="n">
        <v>0</v>
      </c>
      <c r="K6131" t="n">
        <v>0</v>
      </c>
      <c r="L6131" t="n">
        <v>0</v>
      </c>
      <c r="M6131" t="n">
        <v>0</v>
      </c>
      <c r="N6131" t="n">
        <v>0</v>
      </c>
      <c r="O6131" t="n">
        <v>0</v>
      </c>
      <c r="P6131" t="n">
        <v>0</v>
      </c>
      <c r="Q6131" t="n">
        <v>0</v>
      </c>
      <c r="R6131" s="2" t="inlineStr"/>
    </row>
    <row r="6132" ht="15" customHeight="1">
      <c r="A6132" t="inlineStr">
        <is>
          <t>A 394-2023</t>
        </is>
      </c>
      <c r="B6132" s="1" t="n">
        <v>44929</v>
      </c>
      <c r="C6132" s="1" t="n">
        <v>45212</v>
      </c>
      <c r="D6132" t="inlineStr">
        <is>
          <t>VÄSTERNORRLANDS LÄN</t>
        </is>
      </c>
      <c r="E6132" t="inlineStr">
        <is>
          <t>ÖRNSKÖLDSVIK</t>
        </is>
      </c>
      <c r="F6132" t="inlineStr">
        <is>
          <t>Holmen skog AB</t>
        </is>
      </c>
      <c r="G6132" t="n">
        <v>4.8</v>
      </c>
      <c r="H6132" t="n">
        <v>0</v>
      </c>
      <c r="I6132" t="n">
        <v>0</v>
      </c>
      <c r="J6132" t="n">
        <v>0</v>
      </c>
      <c r="K6132" t="n">
        <v>0</v>
      </c>
      <c r="L6132" t="n">
        <v>0</v>
      </c>
      <c r="M6132" t="n">
        <v>0</v>
      </c>
      <c r="N6132" t="n">
        <v>0</v>
      </c>
      <c r="O6132" t="n">
        <v>0</v>
      </c>
      <c r="P6132" t="n">
        <v>0</v>
      </c>
      <c r="Q6132" t="n">
        <v>0</v>
      </c>
      <c r="R6132" s="2" t="inlineStr"/>
    </row>
    <row r="6133" ht="15" customHeight="1">
      <c r="A6133" t="inlineStr">
        <is>
          <t>A 482-2023</t>
        </is>
      </c>
      <c r="B6133" s="1" t="n">
        <v>44929</v>
      </c>
      <c r="C6133" s="1" t="n">
        <v>45212</v>
      </c>
      <c r="D6133" t="inlineStr">
        <is>
          <t>VÄSTERNORRLANDS LÄN</t>
        </is>
      </c>
      <c r="E6133" t="inlineStr">
        <is>
          <t>ÅNGE</t>
        </is>
      </c>
      <c r="F6133" t="inlineStr">
        <is>
          <t>SCA</t>
        </is>
      </c>
      <c r="G6133" t="n">
        <v>2.9</v>
      </c>
      <c r="H6133" t="n">
        <v>0</v>
      </c>
      <c r="I6133" t="n">
        <v>0</v>
      </c>
      <c r="J6133" t="n">
        <v>0</v>
      </c>
      <c r="K6133" t="n">
        <v>0</v>
      </c>
      <c r="L6133" t="n">
        <v>0</v>
      </c>
      <c r="M6133" t="n">
        <v>0</v>
      </c>
      <c r="N6133" t="n">
        <v>0</v>
      </c>
      <c r="O6133" t="n">
        <v>0</v>
      </c>
      <c r="P6133" t="n">
        <v>0</v>
      </c>
      <c r="Q6133" t="n">
        <v>0</v>
      </c>
      <c r="R6133" s="2" t="inlineStr"/>
    </row>
    <row r="6134" ht="15" customHeight="1">
      <c r="A6134" t="inlineStr">
        <is>
          <t>A 1090-2023</t>
        </is>
      </c>
      <c r="B6134" s="1" t="n">
        <v>44929</v>
      </c>
      <c r="C6134" s="1" t="n">
        <v>45212</v>
      </c>
      <c r="D6134" t="inlineStr">
        <is>
          <t>VÄSTERNORRLANDS LÄN</t>
        </is>
      </c>
      <c r="E6134" t="inlineStr">
        <is>
          <t>ÅNGE</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1116-2023</t>
        </is>
      </c>
      <c r="B6135" s="1" t="n">
        <v>44929</v>
      </c>
      <c r="C6135" s="1" t="n">
        <v>45212</v>
      </c>
      <c r="D6135" t="inlineStr">
        <is>
          <t>VÄSTERNORRLANDS LÄN</t>
        </is>
      </c>
      <c r="E6135" t="inlineStr">
        <is>
          <t>ÅNGE</t>
        </is>
      </c>
      <c r="G6135" t="n">
        <v>17.2</v>
      </c>
      <c r="H6135" t="n">
        <v>0</v>
      </c>
      <c r="I6135" t="n">
        <v>0</v>
      </c>
      <c r="J6135" t="n">
        <v>0</v>
      </c>
      <c r="K6135" t="n">
        <v>0</v>
      </c>
      <c r="L6135" t="n">
        <v>0</v>
      </c>
      <c r="M6135" t="n">
        <v>0</v>
      </c>
      <c r="N6135" t="n">
        <v>0</v>
      </c>
      <c r="O6135" t="n">
        <v>0</v>
      </c>
      <c r="P6135" t="n">
        <v>0</v>
      </c>
      <c r="Q6135" t="n">
        <v>0</v>
      </c>
      <c r="R6135" s="2" t="inlineStr"/>
    </row>
    <row r="6136" ht="15" customHeight="1">
      <c r="A6136" t="inlineStr">
        <is>
          <t>A 512-2023</t>
        </is>
      </c>
      <c r="B6136" s="1" t="n">
        <v>44930</v>
      </c>
      <c r="C6136" s="1" t="n">
        <v>45212</v>
      </c>
      <c r="D6136" t="inlineStr">
        <is>
          <t>VÄSTERNORRLANDS LÄN</t>
        </is>
      </c>
      <c r="E6136" t="inlineStr">
        <is>
          <t>SUNDSVALL</t>
        </is>
      </c>
      <c r="F6136" t="inlineStr">
        <is>
          <t>Holmen skog AB</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720-2023</t>
        </is>
      </c>
      <c r="B6137" s="1" t="n">
        <v>44930</v>
      </c>
      <c r="C6137" s="1" t="n">
        <v>45212</v>
      </c>
      <c r="D6137" t="inlineStr">
        <is>
          <t>VÄSTERNORRLANDS LÄN</t>
        </is>
      </c>
      <c r="E6137" t="inlineStr">
        <is>
          <t>ÅNGE</t>
        </is>
      </c>
      <c r="F6137" t="inlineStr">
        <is>
          <t>SCA</t>
        </is>
      </c>
      <c r="G6137" t="n">
        <v>5.6</v>
      </c>
      <c r="H6137" t="n">
        <v>0</v>
      </c>
      <c r="I6137" t="n">
        <v>0</v>
      </c>
      <c r="J6137" t="n">
        <v>0</v>
      </c>
      <c r="K6137" t="n">
        <v>0</v>
      </c>
      <c r="L6137" t="n">
        <v>0</v>
      </c>
      <c r="M6137" t="n">
        <v>0</v>
      </c>
      <c r="N6137" t="n">
        <v>0</v>
      </c>
      <c r="O6137" t="n">
        <v>0</v>
      </c>
      <c r="P6137" t="n">
        <v>0</v>
      </c>
      <c r="Q6137" t="n">
        <v>0</v>
      </c>
      <c r="R6137" s="2" t="inlineStr"/>
    </row>
    <row r="6138" ht="15" customHeight="1">
      <c r="A6138" t="inlineStr">
        <is>
          <t>A 704-2023</t>
        </is>
      </c>
      <c r="B6138" s="1" t="n">
        <v>44930</v>
      </c>
      <c r="C6138" s="1" t="n">
        <v>45212</v>
      </c>
      <c r="D6138" t="inlineStr">
        <is>
          <t>VÄSTERNORRLANDS LÄN</t>
        </is>
      </c>
      <c r="E6138" t="inlineStr">
        <is>
          <t>TIMRÅ</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714-2023</t>
        </is>
      </c>
      <c r="B6139" s="1" t="n">
        <v>44930</v>
      </c>
      <c r="C6139" s="1" t="n">
        <v>45212</v>
      </c>
      <c r="D6139" t="inlineStr">
        <is>
          <t>VÄSTERNORRLANDS LÄN</t>
        </is>
      </c>
      <c r="E6139" t="inlineStr">
        <is>
          <t>SOLLEFTEÅ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722-2023</t>
        </is>
      </c>
      <c r="B6140" s="1" t="n">
        <v>44930</v>
      </c>
      <c r="C6140" s="1" t="n">
        <v>45212</v>
      </c>
      <c r="D6140" t="inlineStr">
        <is>
          <t>VÄSTERNORRLANDS LÄN</t>
        </is>
      </c>
      <c r="E6140" t="inlineStr">
        <is>
          <t>ÅNGE</t>
        </is>
      </c>
      <c r="F6140" t="inlineStr">
        <is>
          <t>SCA</t>
        </is>
      </c>
      <c r="G6140" t="n">
        <v>10.7</v>
      </c>
      <c r="H6140" t="n">
        <v>0</v>
      </c>
      <c r="I6140" t="n">
        <v>0</v>
      </c>
      <c r="J6140" t="n">
        <v>0</v>
      </c>
      <c r="K6140" t="n">
        <v>0</v>
      </c>
      <c r="L6140" t="n">
        <v>0</v>
      </c>
      <c r="M6140" t="n">
        <v>0</v>
      </c>
      <c r="N6140" t="n">
        <v>0</v>
      </c>
      <c r="O6140" t="n">
        <v>0</v>
      </c>
      <c r="P6140" t="n">
        <v>0</v>
      </c>
      <c r="Q6140" t="n">
        <v>0</v>
      </c>
      <c r="R6140" s="2" t="inlineStr"/>
    </row>
    <row r="6141" ht="15" customHeight="1">
      <c r="A6141" t="inlineStr">
        <is>
          <t>A 721-2023</t>
        </is>
      </c>
      <c r="B6141" s="1" t="n">
        <v>44930</v>
      </c>
      <c r="C6141" s="1" t="n">
        <v>45212</v>
      </c>
      <c r="D6141" t="inlineStr">
        <is>
          <t>VÄSTERNORRLANDS LÄN</t>
        </is>
      </c>
      <c r="E6141" t="inlineStr">
        <is>
          <t>ÅNGE</t>
        </is>
      </c>
      <c r="F6141" t="inlineStr">
        <is>
          <t>SCA</t>
        </is>
      </c>
      <c r="G6141" t="n">
        <v>23.6</v>
      </c>
      <c r="H6141" t="n">
        <v>0</v>
      </c>
      <c r="I6141" t="n">
        <v>0</v>
      </c>
      <c r="J6141" t="n">
        <v>0</v>
      </c>
      <c r="K6141" t="n">
        <v>0</v>
      </c>
      <c r="L6141" t="n">
        <v>0</v>
      </c>
      <c r="M6141" t="n">
        <v>0</v>
      </c>
      <c r="N6141" t="n">
        <v>0</v>
      </c>
      <c r="O6141" t="n">
        <v>0</v>
      </c>
      <c r="P6141" t="n">
        <v>0</v>
      </c>
      <c r="Q6141" t="n">
        <v>0</v>
      </c>
      <c r="R6141" s="2" t="inlineStr"/>
    </row>
    <row r="6142" ht="15" customHeight="1">
      <c r="A6142" t="inlineStr">
        <is>
          <t>A 580-2023</t>
        </is>
      </c>
      <c r="B6142" s="1" t="n">
        <v>44930</v>
      </c>
      <c r="C6142" s="1" t="n">
        <v>45212</v>
      </c>
      <c r="D6142" t="inlineStr">
        <is>
          <t>VÄSTERNORRLANDS LÄN</t>
        </is>
      </c>
      <c r="E6142" t="inlineStr">
        <is>
          <t>ÖRNSKÖLDSVIK</t>
        </is>
      </c>
      <c r="F6142" t="inlineStr">
        <is>
          <t>Kommuner</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723-2023</t>
        </is>
      </c>
      <c r="B6143" s="1" t="n">
        <v>44930</v>
      </c>
      <c r="C6143" s="1" t="n">
        <v>45212</v>
      </c>
      <c r="D6143" t="inlineStr">
        <is>
          <t>VÄSTERNORRLANDS LÄN</t>
        </is>
      </c>
      <c r="E6143" t="inlineStr">
        <is>
          <t>ÅNGE</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758-2023</t>
        </is>
      </c>
      <c r="B6144" s="1" t="n">
        <v>44931</v>
      </c>
      <c r="C6144" s="1" t="n">
        <v>45212</v>
      </c>
      <c r="D6144" t="inlineStr">
        <is>
          <t>VÄSTERNORRLANDS LÄN</t>
        </is>
      </c>
      <c r="E6144" t="inlineStr">
        <is>
          <t>ÖRNSKÖLDSVIK</t>
        </is>
      </c>
      <c r="F6144" t="inlineStr">
        <is>
          <t>Holmen skog AB</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1313-2023</t>
        </is>
      </c>
      <c r="B6145" s="1" t="n">
        <v>44931</v>
      </c>
      <c r="C6145" s="1" t="n">
        <v>45212</v>
      </c>
      <c r="D6145" t="inlineStr">
        <is>
          <t>VÄSTERNORRLANDS LÄN</t>
        </is>
      </c>
      <c r="E6145" t="inlineStr">
        <is>
          <t>SUNDSVALL</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1336-2023</t>
        </is>
      </c>
      <c r="B6146" s="1" t="n">
        <v>44931</v>
      </c>
      <c r="C6146" s="1" t="n">
        <v>45212</v>
      </c>
      <c r="D6146" t="inlineStr">
        <is>
          <t>VÄSTERNORRLANDS LÄN</t>
        </is>
      </c>
      <c r="E6146" t="inlineStr">
        <is>
          <t>ÖRNSKÖLDSVIK</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763-2023</t>
        </is>
      </c>
      <c r="B6147" s="1" t="n">
        <v>44931</v>
      </c>
      <c r="C6147" s="1" t="n">
        <v>45212</v>
      </c>
      <c r="D6147" t="inlineStr">
        <is>
          <t>VÄSTERNORRLANDS LÄN</t>
        </is>
      </c>
      <c r="E6147" t="inlineStr">
        <is>
          <t>ÖRNSKÖLDSVIK</t>
        </is>
      </c>
      <c r="F6147" t="inlineStr">
        <is>
          <t>Holmen skog AB</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1220-2023</t>
        </is>
      </c>
      <c r="B6148" s="1" t="n">
        <v>44935</v>
      </c>
      <c r="C6148" s="1" t="n">
        <v>45212</v>
      </c>
      <c r="D6148" t="inlineStr">
        <is>
          <t>VÄSTERNORRLANDS LÄN</t>
        </is>
      </c>
      <c r="E6148" t="inlineStr">
        <is>
          <t>SUNDSVALL</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1606-2023</t>
        </is>
      </c>
      <c r="B6149" s="1" t="n">
        <v>44935</v>
      </c>
      <c r="C6149" s="1" t="n">
        <v>45212</v>
      </c>
      <c r="D6149" t="inlineStr">
        <is>
          <t>VÄSTERNORRLANDS LÄN</t>
        </is>
      </c>
      <c r="E6149" t="inlineStr">
        <is>
          <t>ÖRNSKÖLDSVIK</t>
        </is>
      </c>
      <c r="G6149" t="n">
        <v>0.8</v>
      </c>
      <c r="H6149" t="n">
        <v>0</v>
      </c>
      <c r="I6149" t="n">
        <v>0</v>
      </c>
      <c r="J6149" t="n">
        <v>0</v>
      </c>
      <c r="K6149" t="n">
        <v>0</v>
      </c>
      <c r="L6149" t="n">
        <v>0</v>
      </c>
      <c r="M6149" t="n">
        <v>0</v>
      </c>
      <c r="N6149" t="n">
        <v>0</v>
      </c>
      <c r="O6149" t="n">
        <v>0</v>
      </c>
      <c r="P6149" t="n">
        <v>0</v>
      </c>
      <c r="Q6149" t="n">
        <v>0</v>
      </c>
      <c r="R6149" s="2" t="inlineStr"/>
    </row>
    <row r="6150" ht="15" customHeight="1">
      <c r="A6150" t="inlineStr">
        <is>
          <t>A 1157-2023</t>
        </is>
      </c>
      <c r="B6150" s="1" t="n">
        <v>44935</v>
      </c>
      <c r="C6150" s="1" t="n">
        <v>45212</v>
      </c>
      <c r="D6150" t="inlineStr">
        <is>
          <t>VÄSTERNORRLANDS LÄN</t>
        </is>
      </c>
      <c r="E6150" t="inlineStr">
        <is>
          <t>SUNDSVALL</t>
        </is>
      </c>
      <c r="G6150" t="n">
        <v>1.5</v>
      </c>
      <c r="H6150" t="n">
        <v>0</v>
      </c>
      <c r="I6150" t="n">
        <v>0</v>
      </c>
      <c r="J6150" t="n">
        <v>0</v>
      </c>
      <c r="K6150" t="n">
        <v>0</v>
      </c>
      <c r="L6150" t="n">
        <v>0</v>
      </c>
      <c r="M6150" t="n">
        <v>0</v>
      </c>
      <c r="N6150" t="n">
        <v>0</v>
      </c>
      <c r="O6150" t="n">
        <v>0</v>
      </c>
      <c r="P6150" t="n">
        <v>0</v>
      </c>
      <c r="Q6150" t="n">
        <v>0</v>
      </c>
      <c r="R6150" s="2" t="inlineStr"/>
    </row>
    <row r="6151" ht="15" customHeight="1">
      <c r="A6151" t="inlineStr">
        <is>
          <t>A 1235-2023</t>
        </is>
      </c>
      <c r="B6151" s="1" t="n">
        <v>44935</v>
      </c>
      <c r="C6151" s="1" t="n">
        <v>45212</v>
      </c>
      <c r="D6151" t="inlineStr">
        <is>
          <t>VÄSTERNORRLANDS LÄN</t>
        </is>
      </c>
      <c r="E6151" t="inlineStr">
        <is>
          <t>ÅNGE</t>
        </is>
      </c>
      <c r="F6151" t="inlineStr">
        <is>
          <t>SCA</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1686-2023</t>
        </is>
      </c>
      <c r="B6152" s="1" t="n">
        <v>44936</v>
      </c>
      <c r="C6152" s="1" t="n">
        <v>45212</v>
      </c>
      <c r="D6152" t="inlineStr">
        <is>
          <t>VÄSTERNORRLANDS LÄN</t>
        </is>
      </c>
      <c r="E6152" t="inlineStr">
        <is>
          <t>ÖRNSKÖLDSVIK</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1333-2023</t>
        </is>
      </c>
      <c r="B6153" s="1" t="n">
        <v>44936</v>
      </c>
      <c r="C6153" s="1" t="n">
        <v>45212</v>
      </c>
      <c r="D6153" t="inlineStr">
        <is>
          <t>VÄSTERNORRLANDS LÄN</t>
        </is>
      </c>
      <c r="E6153" t="inlineStr">
        <is>
          <t>ÖRNSKÖLDSVIK</t>
        </is>
      </c>
      <c r="F6153" t="inlineStr">
        <is>
          <t>Holmen skog AB</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1417-2023</t>
        </is>
      </c>
      <c r="B6154" s="1" t="n">
        <v>44936</v>
      </c>
      <c r="C6154" s="1" t="n">
        <v>45212</v>
      </c>
      <c r="D6154" t="inlineStr">
        <is>
          <t>VÄSTERNORRLANDS LÄN</t>
        </is>
      </c>
      <c r="E6154" t="inlineStr">
        <is>
          <t>SUNDSVALL</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1415-2023</t>
        </is>
      </c>
      <c r="B6155" s="1" t="n">
        <v>44936</v>
      </c>
      <c r="C6155" s="1" t="n">
        <v>45212</v>
      </c>
      <c r="D6155" t="inlineStr">
        <is>
          <t>VÄSTERNORRLANDS LÄN</t>
        </is>
      </c>
      <c r="E6155" t="inlineStr">
        <is>
          <t>TIMRÅ</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1689-2023</t>
        </is>
      </c>
      <c r="B6156" s="1" t="n">
        <v>44936</v>
      </c>
      <c r="C6156" s="1" t="n">
        <v>45212</v>
      </c>
      <c r="D6156" t="inlineStr">
        <is>
          <t>VÄSTERNORRLANDS LÄN</t>
        </is>
      </c>
      <c r="E6156" t="inlineStr">
        <is>
          <t>ÖRNSKÖLDSVIK</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1285-2023</t>
        </is>
      </c>
      <c r="B6157" s="1" t="n">
        <v>44936</v>
      </c>
      <c r="C6157" s="1" t="n">
        <v>45212</v>
      </c>
      <c r="D6157" t="inlineStr">
        <is>
          <t>VÄSTERNORRLANDS LÄN</t>
        </is>
      </c>
      <c r="E6157" t="inlineStr">
        <is>
          <t>ÖRNSKÖLDSVIK</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1807-2023</t>
        </is>
      </c>
      <c r="B6158" s="1" t="n">
        <v>44937</v>
      </c>
      <c r="C6158" s="1" t="n">
        <v>45212</v>
      </c>
      <c r="D6158" t="inlineStr">
        <is>
          <t>VÄSTERNORRLANDS LÄN</t>
        </is>
      </c>
      <c r="E6158" t="inlineStr">
        <is>
          <t>ÖRNSKÖLDSVIK</t>
        </is>
      </c>
      <c r="G6158" t="n">
        <v>7.7</v>
      </c>
      <c r="H6158" t="n">
        <v>0</v>
      </c>
      <c r="I6158" t="n">
        <v>0</v>
      </c>
      <c r="J6158" t="n">
        <v>0</v>
      </c>
      <c r="K6158" t="n">
        <v>0</v>
      </c>
      <c r="L6158" t="n">
        <v>0</v>
      </c>
      <c r="M6158" t="n">
        <v>0</v>
      </c>
      <c r="N6158" t="n">
        <v>0</v>
      </c>
      <c r="O6158" t="n">
        <v>0</v>
      </c>
      <c r="P6158" t="n">
        <v>0</v>
      </c>
      <c r="Q6158" t="n">
        <v>0</v>
      </c>
      <c r="R6158" s="2" t="inlineStr"/>
    </row>
    <row r="6159" ht="15" customHeight="1">
      <c r="A6159" t="inlineStr">
        <is>
          <t>A 1473-2023</t>
        </is>
      </c>
      <c r="B6159" s="1" t="n">
        <v>44937</v>
      </c>
      <c r="C6159" s="1" t="n">
        <v>45212</v>
      </c>
      <c r="D6159" t="inlineStr">
        <is>
          <t>VÄSTERNORRLANDS LÄN</t>
        </is>
      </c>
      <c r="E6159" t="inlineStr">
        <is>
          <t>SUNDSVALL</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1803-2023</t>
        </is>
      </c>
      <c r="B6160" s="1" t="n">
        <v>44937</v>
      </c>
      <c r="C6160" s="1" t="n">
        <v>45212</v>
      </c>
      <c r="D6160" t="inlineStr">
        <is>
          <t>VÄSTERNORRLANDS LÄN</t>
        </is>
      </c>
      <c r="E6160" t="inlineStr">
        <is>
          <t>SOLLEFTEÅ</t>
        </is>
      </c>
      <c r="G6160" t="n">
        <v>8.1</v>
      </c>
      <c r="H6160" t="n">
        <v>0</v>
      </c>
      <c r="I6160" t="n">
        <v>0</v>
      </c>
      <c r="J6160" t="n">
        <v>0</v>
      </c>
      <c r="K6160" t="n">
        <v>0</v>
      </c>
      <c r="L6160" t="n">
        <v>0</v>
      </c>
      <c r="M6160" t="n">
        <v>0</v>
      </c>
      <c r="N6160" t="n">
        <v>0</v>
      </c>
      <c r="O6160" t="n">
        <v>0</v>
      </c>
      <c r="P6160" t="n">
        <v>0</v>
      </c>
      <c r="Q6160" t="n">
        <v>0</v>
      </c>
      <c r="R6160" s="2" t="inlineStr"/>
    </row>
    <row r="6161" ht="15" customHeight="1">
      <c r="A6161" t="inlineStr">
        <is>
          <t>A 1948-2023</t>
        </is>
      </c>
      <c r="B6161" s="1" t="n">
        <v>44938</v>
      </c>
      <c r="C6161" s="1" t="n">
        <v>45212</v>
      </c>
      <c r="D6161" t="inlineStr">
        <is>
          <t>VÄSTERNORRLANDS LÄN</t>
        </is>
      </c>
      <c r="E6161" t="inlineStr">
        <is>
          <t>KRAMFORS</t>
        </is>
      </c>
      <c r="G6161" t="n">
        <v>3.1</v>
      </c>
      <c r="H6161" t="n">
        <v>0</v>
      </c>
      <c r="I6161" t="n">
        <v>0</v>
      </c>
      <c r="J6161" t="n">
        <v>0</v>
      </c>
      <c r="K6161" t="n">
        <v>0</v>
      </c>
      <c r="L6161" t="n">
        <v>0</v>
      </c>
      <c r="M6161" t="n">
        <v>0</v>
      </c>
      <c r="N6161" t="n">
        <v>0</v>
      </c>
      <c r="O6161" t="n">
        <v>0</v>
      </c>
      <c r="P6161" t="n">
        <v>0</v>
      </c>
      <c r="Q6161" t="n">
        <v>0</v>
      </c>
      <c r="R6161" s="2" t="inlineStr"/>
    </row>
    <row r="6162" ht="15" customHeight="1">
      <c r="A6162" t="inlineStr">
        <is>
          <t>A 1968-2023</t>
        </is>
      </c>
      <c r="B6162" s="1" t="n">
        <v>44938</v>
      </c>
      <c r="C6162" s="1" t="n">
        <v>45212</v>
      </c>
      <c r="D6162" t="inlineStr">
        <is>
          <t>VÄSTERNORRLANDS LÄN</t>
        </is>
      </c>
      <c r="E6162" t="inlineStr">
        <is>
          <t>ÖRNSKÖLDSVIK</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1775-2023</t>
        </is>
      </c>
      <c r="B6163" s="1" t="n">
        <v>44938</v>
      </c>
      <c r="C6163" s="1" t="n">
        <v>45212</v>
      </c>
      <c r="D6163" t="inlineStr">
        <is>
          <t>VÄSTERNORRLANDS LÄN</t>
        </is>
      </c>
      <c r="E6163" t="inlineStr">
        <is>
          <t>ÅNGE</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1972-2023</t>
        </is>
      </c>
      <c r="B6164" s="1" t="n">
        <v>44938</v>
      </c>
      <c r="C6164" s="1" t="n">
        <v>45212</v>
      </c>
      <c r="D6164" t="inlineStr">
        <is>
          <t>VÄSTERNORRLANDS LÄN</t>
        </is>
      </c>
      <c r="E6164" t="inlineStr">
        <is>
          <t>ÖRNSKÖLDSVIK</t>
        </is>
      </c>
      <c r="G6164" t="n">
        <v>4.1</v>
      </c>
      <c r="H6164" t="n">
        <v>0</v>
      </c>
      <c r="I6164" t="n">
        <v>0</v>
      </c>
      <c r="J6164" t="n">
        <v>0</v>
      </c>
      <c r="K6164" t="n">
        <v>0</v>
      </c>
      <c r="L6164" t="n">
        <v>0</v>
      </c>
      <c r="M6164" t="n">
        <v>0</v>
      </c>
      <c r="N6164" t="n">
        <v>0</v>
      </c>
      <c r="O6164" t="n">
        <v>0</v>
      </c>
      <c r="P6164" t="n">
        <v>0</v>
      </c>
      <c r="Q6164" t="n">
        <v>0</v>
      </c>
      <c r="R6164" s="2" t="inlineStr"/>
    </row>
    <row r="6165" ht="15" customHeight="1">
      <c r="A6165" t="inlineStr">
        <is>
          <t>A 1957-2023</t>
        </is>
      </c>
      <c r="B6165" s="1" t="n">
        <v>44938</v>
      </c>
      <c r="C6165" s="1" t="n">
        <v>45212</v>
      </c>
      <c r="D6165" t="inlineStr">
        <is>
          <t>VÄSTERNORRLANDS LÄN</t>
        </is>
      </c>
      <c r="E6165" t="inlineStr">
        <is>
          <t>ÖRNSKÖLDSVIK</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2058-2023</t>
        </is>
      </c>
      <c r="B6166" s="1" t="n">
        <v>44938</v>
      </c>
      <c r="C6166" s="1" t="n">
        <v>45212</v>
      </c>
      <c r="D6166" t="inlineStr">
        <is>
          <t>VÄSTERNORRLANDS LÄN</t>
        </is>
      </c>
      <c r="E6166" t="inlineStr">
        <is>
          <t>SOLLEFTEÅ</t>
        </is>
      </c>
      <c r="G6166" t="n">
        <v>5.8</v>
      </c>
      <c r="H6166" t="n">
        <v>0</v>
      </c>
      <c r="I6166" t="n">
        <v>0</v>
      </c>
      <c r="J6166" t="n">
        <v>0</v>
      </c>
      <c r="K6166" t="n">
        <v>0</v>
      </c>
      <c r="L6166" t="n">
        <v>0</v>
      </c>
      <c r="M6166" t="n">
        <v>0</v>
      </c>
      <c r="N6166" t="n">
        <v>0</v>
      </c>
      <c r="O6166" t="n">
        <v>0</v>
      </c>
      <c r="P6166" t="n">
        <v>0</v>
      </c>
      <c r="Q6166" t="n">
        <v>0</v>
      </c>
      <c r="R6166" s="2" t="inlineStr"/>
    </row>
    <row r="6167" ht="15" customHeight="1">
      <c r="A6167" t="inlineStr">
        <is>
          <t>A 1944-2023</t>
        </is>
      </c>
      <c r="B6167" s="1" t="n">
        <v>44938</v>
      </c>
      <c r="C6167" s="1" t="n">
        <v>45212</v>
      </c>
      <c r="D6167" t="inlineStr">
        <is>
          <t>VÄSTERNORRLANDS LÄN</t>
        </is>
      </c>
      <c r="E6167" t="inlineStr">
        <is>
          <t>KRAMFORS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1962-2023</t>
        </is>
      </c>
      <c r="B6168" s="1" t="n">
        <v>44938</v>
      </c>
      <c r="C6168" s="1" t="n">
        <v>45212</v>
      </c>
      <c r="D6168" t="inlineStr">
        <is>
          <t>VÄSTERNORRLANDS LÄN</t>
        </is>
      </c>
      <c r="E6168" t="inlineStr">
        <is>
          <t>ÖRNSKÖLDSVIK</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2120-2023</t>
        </is>
      </c>
      <c r="B6169" s="1" t="n">
        <v>44939</v>
      </c>
      <c r="C6169" s="1" t="n">
        <v>45212</v>
      </c>
      <c r="D6169" t="inlineStr">
        <is>
          <t>VÄSTERNORRLANDS LÄN</t>
        </is>
      </c>
      <c r="E6169" t="inlineStr">
        <is>
          <t>SOLLEFTEÅ</t>
        </is>
      </c>
      <c r="F6169" t="inlineStr">
        <is>
          <t>SCA</t>
        </is>
      </c>
      <c r="G6169" t="n">
        <v>126.9</v>
      </c>
      <c r="H6169" t="n">
        <v>0</v>
      </c>
      <c r="I6169" t="n">
        <v>0</v>
      </c>
      <c r="J6169" t="n">
        <v>0</v>
      </c>
      <c r="K6169" t="n">
        <v>0</v>
      </c>
      <c r="L6169" t="n">
        <v>0</v>
      </c>
      <c r="M6169" t="n">
        <v>0</v>
      </c>
      <c r="N6169" t="n">
        <v>0</v>
      </c>
      <c r="O6169" t="n">
        <v>0</v>
      </c>
      <c r="P6169" t="n">
        <v>0</v>
      </c>
      <c r="Q6169" t="n">
        <v>0</v>
      </c>
      <c r="R6169" s="2" t="inlineStr"/>
    </row>
    <row r="6170" ht="15" customHeight="1">
      <c r="A6170" t="inlineStr">
        <is>
          <t>A 2109-2023</t>
        </is>
      </c>
      <c r="B6170" s="1" t="n">
        <v>44939</v>
      </c>
      <c r="C6170" s="1" t="n">
        <v>45212</v>
      </c>
      <c r="D6170" t="inlineStr">
        <is>
          <t>VÄSTERNORRLANDS LÄN</t>
        </is>
      </c>
      <c r="E6170" t="inlineStr">
        <is>
          <t>SUNDSVALL</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2132-2023</t>
        </is>
      </c>
      <c r="B6171" s="1" t="n">
        <v>44939</v>
      </c>
      <c r="C6171" s="1" t="n">
        <v>45212</v>
      </c>
      <c r="D6171" t="inlineStr">
        <is>
          <t>VÄSTERNORRLANDS LÄN</t>
        </is>
      </c>
      <c r="E6171" t="inlineStr">
        <is>
          <t>SOLLEFTEÅ</t>
        </is>
      </c>
      <c r="F6171" t="inlineStr">
        <is>
          <t>SCA</t>
        </is>
      </c>
      <c r="G6171" t="n">
        <v>19.4</v>
      </c>
      <c r="H6171" t="n">
        <v>0</v>
      </c>
      <c r="I6171" t="n">
        <v>0</v>
      </c>
      <c r="J6171" t="n">
        <v>0</v>
      </c>
      <c r="K6171" t="n">
        <v>0</v>
      </c>
      <c r="L6171" t="n">
        <v>0</v>
      </c>
      <c r="M6171" t="n">
        <v>0</v>
      </c>
      <c r="N6171" t="n">
        <v>0</v>
      </c>
      <c r="O6171" t="n">
        <v>0</v>
      </c>
      <c r="P6171" t="n">
        <v>0</v>
      </c>
      <c r="Q6171" t="n">
        <v>0</v>
      </c>
      <c r="R6171" s="2" t="inlineStr"/>
    </row>
    <row r="6172" ht="15" customHeight="1">
      <c r="A6172" t="inlineStr">
        <is>
          <t>A 1896-2023</t>
        </is>
      </c>
      <c r="B6172" s="1" t="n">
        <v>44939</v>
      </c>
      <c r="C6172" s="1" t="n">
        <v>45212</v>
      </c>
      <c r="D6172" t="inlineStr">
        <is>
          <t>VÄSTERNORRLANDS LÄN</t>
        </is>
      </c>
      <c r="E6172" t="inlineStr">
        <is>
          <t>TIMRÅ</t>
        </is>
      </c>
      <c r="G6172" t="n">
        <v>7.6</v>
      </c>
      <c r="H6172" t="n">
        <v>0</v>
      </c>
      <c r="I6172" t="n">
        <v>0</v>
      </c>
      <c r="J6172" t="n">
        <v>0</v>
      </c>
      <c r="K6172" t="n">
        <v>0</v>
      </c>
      <c r="L6172" t="n">
        <v>0</v>
      </c>
      <c r="M6172" t="n">
        <v>0</v>
      </c>
      <c r="N6172" t="n">
        <v>0</v>
      </c>
      <c r="O6172" t="n">
        <v>0</v>
      </c>
      <c r="P6172" t="n">
        <v>0</v>
      </c>
      <c r="Q6172" t="n">
        <v>0</v>
      </c>
      <c r="R6172" s="2" t="inlineStr"/>
    </row>
    <row r="6173" ht="15" customHeight="1">
      <c r="A6173" t="inlineStr">
        <is>
          <t>A 1935-2023</t>
        </is>
      </c>
      <c r="B6173" s="1" t="n">
        <v>44939</v>
      </c>
      <c r="C6173" s="1" t="n">
        <v>45212</v>
      </c>
      <c r="D6173" t="inlineStr">
        <is>
          <t>VÄSTERNORRLANDS LÄN</t>
        </is>
      </c>
      <c r="E6173" t="inlineStr">
        <is>
          <t>TIMRÅ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1981-2023</t>
        </is>
      </c>
      <c r="B6174" s="1" t="n">
        <v>44939</v>
      </c>
      <c r="C6174" s="1" t="n">
        <v>45212</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2106-2023</t>
        </is>
      </c>
      <c r="B6175" s="1" t="n">
        <v>44939</v>
      </c>
      <c r="C6175" s="1" t="n">
        <v>45212</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2121-2023</t>
        </is>
      </c>
      <c r="B6176" s="1" t="n">
        <v>44939</v>
      </c>
      <c r="C6176" s="1" t="n">
        <v>45212</v>
      </c>
      <c r="D6176" t="inlineStr">
        <is>
          <t>VÄSTERNORRLANDS LÄN</t>
        </is>
      </c>
      <c r="E6176" t="inlineStr">
        <is>
          <t>SOLLEFTEÅ</t>
        </is>
      </c>
      <c r="F6176" t="inlineStr">
        <is>
          <t>SCA</t>
        </is>
      </c>
      <c r="G6176" t="n">
        <v>10</v>
      </c>
      <c r="H6176" t="n">
        <v>0</v>
      </c>
      <c r="I6176" t="n">
        <v>0</v>
      </c>
      <c r="J6176" t="n">
        <v>0</v>
      </c>
      <c r="K6176" t="n">
        <v>0</v>
      </c>
      <c r="L6176" t="n">
        <v>0</v>
      </c>
      <c r="M6176" t="n">
        <v>0</v>
      </c>
      <c r="N6176" t="n">
        <v>0</v>
      </c>
      <c r="O6176" t="n">
        <v>0</v>
      </c>
      <c r="P6176" t="n">
        <v>0</v>
      </c>
      <c r="Q6176" t="n">
        <v>0</v>
      </c>
      <c r="R6176" s="2" t="inlineStr"/>
    </row>
    <row r="6177" ht="15" customHeight="1">
      <c r="A6177" t="inlineStr">
        <is>
          <t>A 2131-2023</t>
        </is>
      </c>
      <c r="B6177" s="1" t="n">
        <v>44939</v>
      </c>
      <c r="C6177" s="1" t="n">
        <v>45212</v>
      </c>
      <c r="D6177" t="inlineStr">
        <is>
          <t>VÄSTERNORRLANDS LÄN</t>
        </is>
      </c>
      <c r="E6177" t="inlineStr">
        <is>
          <t>SUNDSVALL</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2011-2023</t>
        </is>
      </c>
      <c r="B6178" s="1" t="n">
        <v>44939</v>
      </c>
      <c r="C6178" s="1" t="n">
        <v>45212</v>
      </c>
      <c r="D6178" t="inlineStr">
        <is>
          <t>VÄSTERNORRLANDS LÄN</t>
        </is>
      </c>
      <c r="E6178" t="inlineStr">
        <is>
          <t>ÖRNSKÖLDSVIK</t>
        </is>
      </c>
      <c r="F6178" t="inlineStr">
        <is>
          <t>Holmen skog AB</t>
        </is>
      </c>
      <c r="G6178" t="n">
        <v>7.4</v>
      </c>
      <c r="H6178" t="n">
        <v>0</v>
      </c>
      <c r="I6178" t="n">
        <v>0</v>
      </c>
      <c r="J6178" t="n">
        <v>0</v>
      </c>
      <c r="K6178" t="n">
        <v>0</v>
      </c>
      <c r="L6178" t="n">
        <v>0</v>
      </c>
      <c r="M6178" t="n">
        <v>0</v>
      </c>
      <c r="N6178" t="n">
        <v>0</v>
      </c>
      <c r="O6178" t="n">
        <v>0</v>
      </c>
      <c r="P6178" t="n">
        <v>0</v>
      </c>
      <c r="Q6178" t="n">
        <v>0</v>
      </c>
      <c r="R6178" s="2" t="inlineStr"/>
    </row>
    <row r="6179" ht="15" customHeight="1">
      <c r="A6179" t="inlineStr">
        <is>
          <t>A 2118-2023</t>
        </is>
      </c>
      <c r="B6179" s="1" t="n">
        <v>44939</v>
      </c>
      <c r="C6179" s="1" t="n">
        <v>45212</v>
      </c>
      <c r="D6179" t="inlineStr">
        <is>
          <t>VÄSTERNORRLANDS LÄN</t>
        </is>
      </c>
      <c r="E6179" t="inlineStr">
        <is>
          <t>SOLLEFTEÅ</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2140-2023</t>
        </is>
      </c>
      <c r="B6180" s="1" t="n">
        <v>44940</v>
      </c>
      <c r="C6180" s="1" t="n">
        <v>45212</v>
      </c>
      <c r="D6180" t="inlineStr">
        <is>
          <t>VÄSTERNORRLANDS LÄN</t>
        </is>
      </c>
      <c r="E6180" t="inlineStr">
        <is>
          <t>ÅNGE</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2312-2023</t>
        </is>
      </c>
      <c r="B6181" s="1" t="n">
        <v>44942</v>
      </c>
      <c r="C6181" s="1" t="n">
        <v>45212</v>
      </c>
      <c r="D6181" t="inlineStr">
        <is>
          <t>VÄSTERNORRLANDS LÄN</t>
        </is>
      </c>
      <c r="E6181" t="inlineStr">
        <is>
          <t>KRAMFORS</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2399-2023</t>
        </is>
      </c>
      <c r="B6182" s="1" t="n">
        <v>44942</v>
      </c>
      <c r="C6182" s="1" t="n">
        <v>45212</v>
      </c>
      <c r="D6182" t="inlineStr">
        <is>
          <t>VÄSTERNORRLANDS LÄN</t>
        </is>
      </c>
      <c r="E6182" t="inlineStr">
        <is>
          <t>SUNDSVALL</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2428-2023</t>
        </is>
      </c>
      <c r="B6183" s="1" t="n">
        <v>44942</v>
      </c>
      <c r="C6183" s="1" t="n">
        <v>45212</v>
      </c>
      <c r="D6183" t="inlineStr">
        <is>
          <t>VÄSTERNORRLANDS LÄN</t>
        </is>
      </c>
      <c r="E6183" t="inlineStr">
        <is>
          <t>SUNDSVALL</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2407-2023</t>
        </is>
      </c>
      <c r="B6184" s="1" t="n">
        <v>44942</v>
      </c>
      <c r="C6184" s="1" t="n">
        <v>45212</v>
      </c>
      <c r="D6184" t="inlineStr">
        <is>
          <t>VÄSTERNORRLANDS LÄN</t>
        </is>
      </c>
      <c r="E6184" t="inlineStr">
        <is>
          <t>KRAMFORS</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2432-2023</t>
        </is>
      </c>
      <c r="B6185" s="1" t="n">
        <v>44942</v>
      </c>
      <c r="C6185" s="1" t="n">
        <v>45212</v>
      </c>
      <c r="D6185" t="inlineStr">
        <is>
          <t>VÄSTERNORRLANDS LÄN</t>
        </is>
      </c>
      <c r="E6185" t="inlineStr">
        <is>
          <t>SUNDSVALL</t>
        </is>
      </c>
      <c r="G6185" t="n">
        <v>6.5</v>
      </c>
      <c r="H6185" t="n">
        <v>0</v>
      </c>
      <c r="I6185" t="n">
        <v>0</v>
      </c>
      <c r="J6185" t="n">
        <v>0</v>
      </c>
      <c r="K6185" t="n">
        <v>0</v>
      </c>
      <c r="L6185" t="n">
        <v>0</v>
      </c>
      <c r="M6185" t="n">
        <v>0</v>
      </c>
      <c r="N6185" t="n">
        <v>0</v>
      </c>
      <c r="O6185" t="n">
        <v>0</v>
      </c>
      <c r="P6185" t="n">
        <v>0</v>
      </c>
      <c r="Q6185" t="n">
        <v>0</v>
      </c>
      <c r="R6185" s="2" t="inlineStr"/>
    </row>
    <row r="6186" ht="15" customHeight="1">
      <c r="A6186" t="inlineStr">
        <is>
          <t>A 2722-2023</t>
        </is>
      </c>
      <c r="B6186" s="1" t="n">
        <v>44942</v>
      </c>
      <c r="C6186" s="1" t="n">
        <v>45212</v>
      </c>
      <c r="D6186" t="inlineStr">
        <is>
          <t>VÄSTERNORRLANDS LÄN</t>
        </is>
      </c>
      <c r="E6186" t="inlineStr">
        <is>
          <t>ÖRNSKÖLDSVIK</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2408-2023</t>
        </is>
      </c>
      <c r="B6187" s="1" t="n">
        <v>44942</v>
      </c>
      <c r="C6187" s="1" t="n">
        <v>45212</v>
      </c>
      <c r="D6187" t="inlineStr">
        <is>
          <t>VÄSTERNORRLANDS LÄN</t>
        </is>
      </c>
      <c r="E6187" t="inlineStr">
        <is>
          <t>SOLLEFTEÅ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2523-2023</t>
        </is>
      </c>
      <c r="B6188" s="1" t="n">
        <v>44943</v>
      </c>
      <c r="C6188" s="1" t="n">
        <v>45212</v>
      </c>
      <c r="D6188" t="inlineStr">
        <is>
          <t>VÄSTERNORRLANDS LÄN</t>
        </is>
      </c>
      <c r="E6188" t="inlineStr">
        <is>
          <t>ÖRNSKÖLDSVIK</t>
        </is>
      </c>
      <c r="G6188" t="n">
        <v>6.3</v>
      </c>
      <c r="H6188" t="n">
        <v>0</v>
      </c>
      <c r="I6188" t="n">
        <v>0</v>
      </c>
      <c r="J6188" t="n">
        <v>0</v>
      </c>
      <c r="K6188" t="n">
        <v>0</v>
      </c>
      <c r="L6188" t="n">
        <v>0</v>
      </c>
      <c r="M6188" t="n">
        <v>0</v>
      </c>
      <c r="N6188" t="n">
        <v>0</v>
      </c>
      <c r="O6188" t="n">
        <v>0</v>
      </c>
      <c r="P6188" t="n">
        <v>0</v>
      </c>
      <c r="Q6188" t="n">
        <v>0</v>
      </c>
      <c r="R6188" s="2" t="inlineStr"/>
    </row>
    <row r="6189" ht="15" customHeight="1">
      <c r="A6189" t="inlineStr">
        <is>
          <t>A 2601-2023</t>
        </is>
      </c>
      <c r="B6189" s="1" t="n">
        <v>44943</v>
      </c>
      <c r="C6189" s="1" t="n">
        <v>45212</v>
      </c>
      <c r="D6189" t="inlineStr">
        <is>
          <t>VÄSTERNORRLANDS LÄN</t>
        </is>
      </c>
      <c r="E6189" t="inlineStr">
        <is>
          <t>KRAMFORS</t>
        </is>
      </c>
      <c r="F6189" t="inlineStr">
        <is>
          <t>SCA</t>
        </is>
      </c>
      <c r="G6189" t="n">
        <v>44.5</v>
      </c>
      <c r="H6189" t="n">
        <v>0</v>
      </c>
      <c r="I6189" t="n">
        <v>0</v>
      </c>
      <c r="J6189" t="n">
        <v>0</v>
      </c>
      <c r="K6189" t="n">
        <v>0</v>
      </c>
      <c r="L6189" t="n">
        <v>0</v>
      </c>
      <c r="M6189" t="n">
        <v>0</v>
      </c>
      <c r="N6189" t="n">
        <v>0</v>
      </c>
      <c r="O6189" t="n">
        <v>0</v>
      </c>
      <c r="P6189" t="n">
        <v>0</v>
      </c>
      <c r="Q6189" t="n">
        <v>0</v>
      </c>
      <c r="R6189" s="2" t="inlineStr"/>
    </row>
    <row r="6190" ht="15" customHeight="1">
      <c r="A6190" t="inlineStr">
        <is>
          <t>A 2434-2023</t>
        </is>
      </c>
      <c r="B6190" s="1" t="n">
        <v>44943</v>
      </c>
      <c r="C6190" s="1" t="n">
        <v>45212</v>
      </c>
      <c r="D6190" t="inlineStr">
        <is>
          <t>VÄSTERNORRLANDS LÄN</t>
        </is>
      </c>
      <c r="E6190" t="inlineStr">
        <is>
          <t>TIMRÅ</t>
        </is>
      </c>
      <c r="G6190" t="n">
        <v>6.6</v>
      </c>
      <c r="H6190" t="n">
        <v>0</v>
      </c>
      <c r="I6190" t="n">
        <v>0</v>
      </c>
      <c r="J6190" t="n">
        <v>0</v>
      </c>
      <c r="K6190" t="n">
        <v>0</v>
      </c>
      <c r="L6190" t="n">
        <v>0</v>
      </c>
      <c r="M6190" t="n">
        <v>0</v>
      </c>
      <c r="N6190" t="n">
        <v>0</v>
      </c>
      <c r="O6190" t="n">
        <v>0</v>
      </c>
      <c r="P6190" t="n">
        <v>0</v>
      </c>
      <c r="Q6190" t="n">
        <v>0</v>
      </c>
      <c r="R6190" s="2" t="inlineStr"/>
    </row>
    <row r="6191" ht="15" customHeight="1">
      <c r="A6191" t="inlineStr">
        <is>
          <t>A 2756-2023</t>
        </is>
      </c>
      <c r="B6191" s="1" t="n">
        <v>44943</v>
      </c>
      <c r="C6191" s="1" t="n">
        <v>45212</v>
      </c>
      <c r="D6191" t="inlineStr">
        <is>
          <t>VÄSTERNORRLANDS LÄN</t>
        </is>
      </c>
      <c r="E6191" t="inlineStr">
        <is>
          <t>SOLLEFTEÅ</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2941-2023</t>
        </is>
      </c>
      <c r="B6192" s="1" t="n">
        <v>44944</v>
      </c>
      <c r="C6192" s="1" t="n">
        <v>45212</v>
      </c>
      <c r="D6192" t="inlineStr">
        <is>
          <t>VÄSTERNORRLANDS LÄN</t>
        </is>
      </c>
      <c r="E6192" t="inlineStr">
        <is>
          <t>ÖRNSKÖLDSVIK</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2966-2023</t>
        </is>
      </c>
      <c r="B6193" s="1" t="n">
        <v>44944</v>
      </c>
      <c r="C6193" s="1" t="n">
        <v>45212</v>
      </c>
      <c r="D6193" t="inlineStr">
        <is>
          <t>VÄSTERNORRLANDS LÄN</t>
        </is>
      </c>
      <c r="E6193" t="inlineStr">
        <is>
          <t>ÖRNSKÖLDSVIK</t>
        </is>
      </c>
      <c r="G6193" t="n">
        <v>21.3</v>
      </c>
      <c r="H6193" t="n">
        <v>0</v>
      </c>
      <c r="I6193" t="n">
        <v>0</v>
      </c>
      <c r="J6193" t="n">
        <v>0</v>
      </c>
      <c r="K6193" t="n">
        <v>0</v>
      </c>
      <c r="L6193" t="n">
        <v>0</v>
      </c>
      <c r="M6193" t="n">
        <v>0</v>
      </c>
      <c r="N6193" t="n">
        <v>0</v>
      </c>
      <c r="O6193" t="n">
        <v>0</v>
      </c>
      <c r="P6193" t="n">
        <v>0</v>
      </c>
      <c r="Q6193" t="n">
        <v>0</v>
      </c>
      <c r="R6193" s="2" t="inlineStr"/>
    </row>
    <row r="6194" ht="15" customHeight="1">
      <c r="A6194" t="inlineStr">
        <is>
          <t>A 2959-2023</t>
        </is>
      </c>
      <c r="B6194" s="1" t="n">
        <v>44944</v>
      </c>
      <c r="C6194" s="1" t="n">
        <v>45212</v>
      </c>
      <c r="D6194" t="inlineStr">
        <is>
          <t>VÄSTERNORRLANDS LÄN</t>
        </is>
      </c>
      <c r="E6194" t="inlineStr">
        <is>
          <t>ÖRNSKÖLDSVIK</t>
        </is>
      </c>
      <c r="F6194" t="inlineStr">
        <is>
          <t>Övriga Aktiebolag</t>
        </is>
      </c>
      <c r="G6194" t="n">
        <v>4.1</v>
      </c>
      <c r="H6194" t="n">
        <v>0</v>
      </c>
      <c r="I6194" t="n">
        <v>0</v>
      </c>
      <c r="J6194" t="n">
        <v>0</v>
      </c>
      <c r="K6194" t="n">
        <v>0</v>
      </c>
      <c r="L6194" t="n">
        <v>0</v>
      </c>
      <c r="M6194" t="n">
        <v>0</v>
      </c>
      <c r="N6194" t="n">
        <v>0</v>
      </c>
      <c r="O6194" t="n">
        <v>0</v>
      </c>
      <c r="P6194" t="n">
        <v>0</v>
      </c>
      <c r="Q6194" t="n">
        <v>0</v>
      </c>
      <c r="R6194" s="2" t="inlineStr"/>
    </row>
    <row r="6195" ht="15" customHeight="1">
      <c r="A6195" t="inlineStr">
        <is>
          <t>A 2972-2023</t>
        </is>
      </c>
      <c r="B6195" s="1" t="n">
        <v>44944</v>
      </c>
      <c r="C6195" s="1" t="n">
        <v>45212</v>
      </c>
      <c r="D6195" t="inlineStr">
        <is>
          <t>VÄSTERNORRLANDS LÄN</t>
        </is>
      </c>
      <c r="E6195" t="inlineStr">
        <is>
          <t>ÖRNSKÖLDSVIK</t>
        </is>
      </c>
      <c r="G6195" t="n">
        <v>10</v>
      </c>
      <c r="H6195" t="n">
        <v>0</v>
      </c>
      <c r="I6195" t="n">
        <v>0</v>
      </c>
      <c r="J6195" t="n">
        <v>0</v>
      </c>
      <c r="K6195" t="n">
        <v>0</v>
      </c>
      <c r="L6195" t="n">
        <v>0</v>
      </c>
      <c r="M6195" t="n">
        <v>0</v>
      </c>
      <c r="N6195" t="n">
        <v>0</v>
      </c>
      <c r="O6195" t="n">
        <v>0</v>
      </c>
      <c r="P6195" t="n">
        <v>0</v>
      </c>
      <c r="Q6195" t="n">
        <v>0</v>
      </c>
      <c r="R6195" s="2" t="inlineStr"/>
    </row>
    <row r="6196" ht="15" customHeight="1">
      <c r="A6196" t="inlineStr">
        <is>
          <t>A 2965-2023</t>
        </is>
      </c>
      <c r="B6196" s="1" t="n">
        <v>44944</v>
      </c>
      <c r="C6196" s="1" t="n">
        <v>45212</v>
      </c>
      <c r="D6196" t="inlineStr">
        <is>
          <t>VÄSTERNORRLANDS LÄN</t>
        </is>
      </c>
      <c r="E6196" t="inlineStr">
        <is>
          <t>ÖRNSKÖLDSVIK</t>
        </is>
      </c>
      <c r="F6196" t="inlineStr">
        <is>
          <t>Övriga Aktiebolag</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2963-2023</t>
        </is>
      </c>
      <c r="B6197" s="1" t="n">
        <v>44944</v>
      </c>
      <c r="C6197" s="1" t="n">
        <v>45212</v>
      </c>
      <c r="D6197" t="inlineStr">
        <is>
          <t>VÄSTERNORRLANDS LÄN</t>
        </is>
      </c>
      <c r="E6197" t="inlineStr">
        <is>
          <t>ÖRNSKÖLDSVIK</t>
        </is>
      </c>
      <c r="F6197" t="inlineStr">
        <is>
          <t>Övriga Aktiebolag</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3023-2023</t>
        </is>
      </c>
      <c r="B6198" s="1" t="n">
        <v>44945</v>
      </c>
      <c r="C6198" s="1" t="n">
        <v>45212</v>
      </c>
      <c r="D6198" t="inlineStr">
        <is>
          <t>VÄSTERNORRLANDS LÄN</t>
        </is>
      </c>
      <c r="E6198" t="inlineStr">
        <is>
          <t>ÅNGE</t>
        </is>
      </c>
      <c r="F6198" t="inlineStr">
        <is>
          <t>SCA</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3323-2023</t>
        </is>
      </c>
      <c r="B6199" s="1" t="n">
        <v>44945</v>
      </c>
      <c r="C6199" s="1" t="n">
        <v>45212</v>
      </c>
      <c r="D6199" t="inlineStr">
        <is>
          <t>VÄSTERNORRLANDS LÄN</t>
        </is>
      </c>
      <c r="E6199" t="inlineStr">
        <is>
          <t>ÅNGE</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3022-2023</t>
        </is>
      </c>
      <c r="B6200" s="1" t="n">
        <v>44945</v>
      </c>
      <c r="C6200" s="1" t="n">
        <v>45212</v>
      </c>
      <c r="D6200" t="inlineStr">
        <is>
          <t>VÄSTERNORRLANDS LÄN</t>
        </is>
      </c>
      <c r="E6200" t="inlineStr">
        <is>
          <t>ÅNGE</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3026-2023</t>
        </is>
      </c>
      <c r="B6201" s="1" t="n">
        <v>44945</v>
      </c>
      <c r="C6201" s="1" t="n">
        <v>45212</v>
      </c>
      <c r="D6201" t="inlineStr">
        <is>
          <t>VÄSTERNORRLANDS LÄN</t>
        </is>
      </c>
      <c r="E6201" t="inlineStr">
        <is>
          <t>ÖRNSKÖLDSVIK</t>
        </is>
      </c>
      <c r="F6201" t="inlineStr">
        <is>
          <t>SCA</t>
        </is>
      </c>
      <c r="G6201" t="n">
        <v>7.6</v>
      </c>
      <c r="H6201" t="n">
        <v>0</v>
      </c>
      <c r="I6201" t="n">
        <v>0</v>
      </c>
      <c r="J6201" t="n">
        <v>0</v>
      </c>
      <c r="K6201" t="n">
        <v>0</v>
      </c>
      <c r="L6201" t="n">
        <v>0</v>
      </c>
      <c r="M6201" t="n">
        <v>0</v>
      </c>
      <c r="N6201" t="n">
        <v>0</v>
      </c>
      <c r="O6201" t="n">
        <v>0</v>
      </c>
      <c r="P6201" t="n">
        <v>0</v>
      </c>
      <c r="Q6201" t="n">
        <v>0</v>
      </c>
      <c r="R6201" s="2" t="inlineStr"/>
    </row>
    <row r="6202" ht="15" customHeight="1">
      <c r="A6202" t="inlineStr">
        <is>
          <t>A 3019-2023</t>
        </is>
      </c>
      <c r="B6202" s="1" t="n">
        <v>44945</v>
      </c>
      <c r="C6202" s="1" t="n">
        <v>45212</v>
      </c>
      <c r="D6202" t="inlineStr">
        <is>
          <t>VÄSTERNORRLANDS LÄN</t>
        </is>
      </c>
      <c r="E6202" t="inlineStr">
        <is>
          <t>SOLLEFTEÅ</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3025-2023</t>
        </is>
      </c>
      <c r="B6203" s="1" t="n">
        <v>44945</v>
      </c>
      <c r="C6203" s="1" t="n">
        <v>45212</v>
      </c>
      <c r="D6203" t="inlineStr">
        <is>
          <t>VÄSTERNORRLANDS LÄN</t>
        </is>
      </c>
      <c r="E6203" t="inlineStr">
        <is>
          <t>ÅNGE</t>
        </is>
      </c>
      <c r="F6203" t="inlineStr">
        <is>
          <t>SCA</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3282-2023</t>
        </is>
      </c>
      <c r="B6204" s="1" t="n">
        <v>44945</v>
      </c>
      <c r="C6204" s="1" t="n">
        <v>45212</v>
      </c>
      <c r="D6204" t="inlineStr">
        <is>
          <t>VÄSTERNORRLANDS LÄN</t>
        </is>
      </c>
      <c r="E6204" t="inlineStr">
        <is>
          <t>KRAMFORS</t>
        </is>
      </c>
      <c r="G6204" t="n">
        <v>1.7</v>
      </c>
      <c r="H6204" t="n">
        <v>0</v>
      </c>
      <c r="I6204" t="n">
        <v>0</v>
      </c>
      <c r="J6204" t="n">
        <v>0</v>
      </c>
      <c r="K6204" t="n">
        <v>0</v>
      </c>
      <c r="L6204" t="n">
        <v>0</v>
      </c>
      <c r="M6204" t="n">
        <v>0</v>
      </c>
      <c r="N6204" t="n">
        <v>0</v>
      </c>
      <c r="O6204" t="n">
        <v>0</v>
      </c>
      <c r="P6204" t="n">
        <v>0</v>
      </c>
      <c r="Q6204" t="n">
        <v>0</v>
      </c>
      <c r="R6204" s="2" t="inlineStr"/>
    </row>
    <row r="6205" ht="15" customHeight="1">
      <c r="A6205" t="inlineStr">
        <is>
          <t>A 3362-2023</t>
        </is>
      </c>
      <c r="B6205" s="1" t="n">
        <v>44945</v>
      </c>
      <c r="C6205" s="1" t="n">
        <v>45212</v>
      </c>
      <c r="D6205" t="inlineStr">
        <is>
          <t>VÄSTERNORRLANDS LÄN</t>
        </is>
      </c>
      <c r="E6205" t="inlineStr">
        <is>
          <t>ÅNGE</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2977-2023</t>
        </is>
      </c>
      <c r="B6206" s="1" t="n">
        <v>44945</v>
      </c>
      <c r="C6206" s="1" t="n">
        <v>45212</v>
      </c>
      <c r="D6206" t="inlineStr">
        <is>
          <t>VÄSTERNORRLANDS LÄN</t>
        </is>
      </c>
      <c r="E6206" t="inlineStr">
        <is>
          <t>ÖRNSKÖLDSVIK</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3024-2023</t>
        </is>
      </c>
      <c r="B6207" s="1" t="n">
        <v>44945</v>
      </c>
      <c r="C6207" s="1" t="n">
        <v>45212</v>
      </c>
      <c r="D6207" t="inlineStr">
        <is>
          <t>VÄSTERNORRLANDS LÄN</t>
        </is>
      </c>
      <c r="E6207" t="inlineStr">
        <is>
          <t>HÄRNÖSAND</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3038-2023</t>
        </is>
      </c>
      <c r="B6208" s="1" t="n">
        <v>44945</v>
      </c>
      <c r="C6208" s="1" t="n">
        <v>45212</v>
      </c>
      <c r="D6208" t="inlineStr">
        <is>
          <t>VÄSTERNORRLANDS LÄN</t>
        </is>
      </c>
      <c r="E6208" t="inlineStr">
        <is>
          <t>ÖRNSKÖLDSVIK</t>
        </is>
      </c>
      <c r="F6208" t="inlineStr">
        <is>
          <t>SCA</t>
        </is>
      </c>
      <c r="G6208" t="n">
        <v>90.90000000000001</v>
      </c>
      <c r="H6208" t="n">
        <v>0</v>
      </c>
      <c r="I6208" t="n">
        <v>0</v>
      </c>
      <c r="J6208" t="n">
        <v>0</v>
      </c>
      <c r="K6208" t="n">
        <v>0</v>
      </c>
      <c r="L6208" t="n">
        <v>0</v>
      </c>
      <c r="M6208" t="n">
        <v>0</v>
      </c>
      <c r="N6208" t="n">
        <v>0</v>
      </c>
      <c r="O6208" t="n">
        <v>0</v>
      </c>
      <c r="P6208" t="n">
        <v>0</v>
      </c>
      <c r="Q6208" t="n">
        <v>0</v>
      </c>
      <c r="R6208" s="2" t="inlineStr"/>
    </row>
    <row r="6209" ht="15" customHeight="1">
      <c r="A6209" t="inlineStr">
        <is>
          <t>A 3454-2023</t>
        </is>
      </c>
      <c r="B6209" s="1" t="n">
        <v>44946</v>
      </c>
      <c r="C6209" s="1" t="n">
        <v>45212</v>
      </c>
      <c r="D6209" t="inlineStr">
        <is>
          <t>VÄSTERNORRLANDS LÄN</t>
        </is>
      </c>
      <c r="E6209" t="inlineStr">
        <is>
          <t>KRAMFORS</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3425-2023</t>
        </is>
      </c>
      <c r="B6210" s="1" t="n">
        <v>44946</v>
      </c>
      <c r="C6210" s="1" t="n">
        <v>45212</v>
      </c>
      <c r="D6210" t="inlineStr">
        <is>
          <t>VÄSTERNORRLANDS LÄN</t>
        </is>
      </c>
      <c r="E6210" t="inlineStr">
        <is>
          <t>KRAMFORS</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3623-2023</t>
        </is>
      </c>
      <c r="B6211" s="1" t="n">
        <v>44946</v>
      </c>
      <c r="C6211" s="1" t="n">
        <v>45212</v>
      </c>
      <c r="D6211" t="inlineStr">
        <is>
          <t>VÄSTERNORRLANDS LÄN</t>
        </is>
      </c>
      <c r="E6211" t="inlineStr">
        <is>
          <t>ÖRNSKÖLDSVIK</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3458-2023</t>
        </is>
      </c>
      <c r="B6212" s="1" t="n">
        <v>44946</v>
      </c>
      <c r="C6212" s="1" t="n">
        <v>45212</v>
      </c>
      <c r="D6212" t="inlineStr">
        <is>
          <t>VÄSTERNORRLANDS LÄN</t>
        </is>
      </c>
      <c r="E6212" t="inlineStr">
        <is>
          <t>KRAMFORS</t>
        </is>
      </c>
      <c r="G6212" t="n">
        <v>2.5</v>
      </c>
      <c r="H6212" t="n">
        <v>0</v>
      </c>
      <c r="I6212" t="n">
        <v>0</v>
      </c>
      <c r="J6212" t="n">
        <v>0</v>
      </c>
      <c r="K6212" t="n">
        <v>0</v>
      </c>
      <c r="L6212" t="n">
        <v>0</v>
      </c>
      <c r="M6212" t="n">
        <v>0</v>
      </c>
      <c r="N6212" t="n">
        <v>0</v>
      </c>
      <c r="O6212" t="n">
        <v>0</v>
      </c>
      <c r="P6212" t="n">
        <v>0</v>
      </c>
      <c r="Q6212" t="n">
        <v>0</v>
      </c>
      <c r="R6212" s="2" t="inlineStr"/>
    </row>
    <row r="6213" ht="15" customHeight="1">
      <c r="A6213" t="inlineStr">
        <is>
          <t>A 3501-2023</t>
        </is>
      </c>
      <c r="B6213" s="1" t="n">
        <v>44949</v>
      </c>
      <c r="C6213" s="1" t="n">
        <v>45212</v>
      </c>
      <c r="D6213" t="inlineStr">
        <is>
          <t>VÄSTERNORRLANDS LÄN</t>
        </is>
      </c>
      <c r="E6213" t="inlineStr">
        <is>
          <t>KRAMFORS</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3769-2023</t>
        </is>
      </c>
      <c r="B6214" s="1" t="n">
        <v>44949</v>
      </c>
      <c r="C6214" s="1" t="n">
        <v>45212</v>
      </c>
      <c r="D6214" t="inlineStr">
        <is>
          <t>VÄSTERNORRLANDS LÄN</t>
        </is>
      </c>
      <c r="E6214" t="inlineStr">
        <is>
          <t>ÖRNSKÖLDSVIK</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3631-2023</t>
        </is>
      </c>
      <c r="B6215" s="1" t="n">
        <v>44950</v>
      </c>
      <c r="C6215" s="1" t="n">
        <v>45212</v>
      </c>
      <c r="D6215" t="inlineStr">
        <is>
          <t>VÄSTERNORRLANDS LÄN</t>
        </is>
      </c>
      <c r="E6215" t="inlineStr">
        <is>
          <t>ÅNGE</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3697-2023</t>
        </is>
      </c>
      <c r="B6216" s="1" t="n">
        <v>44950</v>
      </c>
      <c r="C6216" s="1" t="n">
        <v>45212</v>
      </c>
      <c r="D6216" t="inlineStr">
        <is>
          <t>VÄSTERNORRLANDS LÄN</t>
        </is>
      </c>
      <c r="E6216" t="inlineStr">
        <is>
          <t>ÖRNSKÖLDSVIK</t>
        </is>
      </c>
      <c r="F6216" t="inlineStr">
        <is>
          <t>SCA</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3634-2023</t>
        </is>
      </c>
      <c r="B6217" s="1" t="n">
        <v>44950</v>
      </c>
      <c r="C6217" s="1" t="n">
        <v>45212</v>
      </c>
      <c r="D6217" t="inlineStr">
        <is>
          <t>VÄSTERNORRLANDS LÄN</t>
        </is>
      </c>
      <c r="E6217" t="inlineStr">
        <is>
          <t>SUNDSVALL</t>
        </is>
      </c>
      <c r="G6217" t="n">
        <v>49.4</v>
      </c>
      <c r="H6217" t="n">
        <v>0</v>
      </c>
      <c r="I6217" t="n">
        <v>0</v>
      </c>
      <c r="J6217" t="n">
        <v>0</v>
      </c>
      <c r="K6217" t="n">
        <v>0</v>
      </c>
      <c r="L6217" t="n">
        <v>0</v>
      </c>
      <c r="M6217" t="n">
        <v>0</v>
      </c>
      <c r="N6217" t="n">
        <v>0</v>
      </c>
      <c r="O6217" t="n">
        <v>0</v>
      </c>
      <c r="P6217" t="n">
        <v>0</v>
      </c>
      <c r="Q6217" t="n">
        <v>0</v>
      </c>
      <c r="R6217" s="2" t="inlineStr"/>
    </row>
    <row r="6218" ht="15" customHeight="1">
      <c r="A6218" t="inlineStr">
        <is>
          <t>A 3688-2023</t>
        </is>
      </c>
      <c r="B6218" s="1" t="n">
        <v>44950</v>
      </c>
      <c r="C6218" s="1" t="n">
        <v>45212</v>
      </c>
      <c r="D6218" t="inlineStr">
        <is>
          <t>VÄSTERNORRLANDS LÄN</t>
        </is>
      </c>
      <c r="E6218" t="inlineStr">
        <is>
          <t>SUNDSVALL</t>
        </is>
      </c>
      <c r="F6218" t="inlineStr">
        <is>
          <t>Naturvårdsverket</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3963-2023</t>
        </is>
      </c>
      <c r="B6219" s="1" t="n">
        <v>44950</v>
      </c>
      <c r="C6219" s="1" t="n">
        <v>45212</v>
      </c>
      <c r="D6219" t="inlineStr">
        <is>
          <t>VÄSTERNORRLANDS LÄN</t>
        </is>
      </c>
      <c r="E6219" t="inlineStr">
        <is>
          <t>ÖRNSKÖLDSVIK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3629-2023</t>
        </is>
      </c>
      <c r="B6220" s="1" t="n">
        <v>44950</v>
      </c>
      <c r="C6220" s="1" t="n">
        <v>45212</v>
      </c>
      <c r="D6220" t="inlineStr">
        <is>
          <t>VÄSTERNORRLANDS LÄN</t>
        </is>
      </c>
      <c r="E6220" t="inlineStr">
        <is>
          <t>ÅNGE</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3689-2023</t>
        </is>
      </c>
      <c r="B6221" s="1" t="n">
        <v>44950</v>
      </c>
      <c r="C6221" s="1" t="n">
        <v>45212</v>
      </c>
      <c r="D6221" t="inlineStr">
        <is>
          <t>VÄSTERNORRLANDS LÄN</t>
        </is>
      </c>
      <c r="E6221" t="inlineStr">
        <is>
          <t>SOLLEFTEÅ</t>
        </is>
      </c>
      <c r="F6221" t="inlineStr">
        <is>
          <t>SCA</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3699-2023</t>
        </is>
      </c>
      <c r="B6222" s="1" t="n">
        <v>44950</v>
      </c>
      <c r="C6222" s="1" t="n">
        <v>45212</v>
      </c>
      <c r="D6222" t="inlineStr">
        <is>
          <t>VÄSTERNORRLANDS LÄN</t>
        </is>
      </c>
      <c r="E6222" t="inlineStr">
        <is>
          <t>SUNDSVALL</t>
        </is>
      </c>
      <c r="F6222" t="inlineStr">
        <is>
          <t>Naturvårdsverket</t>
        </is>
      </c>
      <c r="G6222" t="n">
        <v>3.3</v>
      </c>
      <c r="H6222" t="n">
        <v>0</v>
      </c>
      <c r="I6222" t="n">
        <v>0</v>
      </c>
      <c r="J6222" t="n">
        <v>0</v>
      </c>
      <c r="K6222" t="n">
        <v>0</v>
      </c>
      <c r="L6222" t="n">
        <v>0</v>
      </c>
      <c r="M6222" t="n">
        <v>0</v>
      </c>
      <c r="N6222" t="n">
        <v>0</v>
      </c>
      <c r="O6222" t="n">
        <v>0</v>
      </c>
      <c r="P6222" t="n">
        <v>0</v>
      </c>
      <c r="Q6222" t="n">
        <v>0</v>
      </c>
      <c r="R6222" s="2" t="inlineStr"/>
    </row>
    <row r="6223" ht="15" customHeight="1">
      <c r="A6223" t="inlineStr">
        <is>
          <t>A 4154-2023</t>
        </is>
      </c>
      <c r="B6223" s="1" t="n">
        <v>44950</v>
      </c>
      <c r="C6223" s="1" t="n">
        <v>45212</v>
      </c>
      <c r="D6223" t="inlineStr">
        <is>
          <t>VÄSTERNORRLANDS LÄN</t>
        </is>
      </c>
      <c r="E6223" t="inlineStr">
        <is>
          <t>SOLLEFTEÅ</t>
        </is>
      </c>
      <c r="G6223" t="n">
        <v>9.699999999999999</v>
      </c>
      <c r="H6223" t="n">
        <v>0</v>
      </c>
      <c r="I6223" t="n">
        <v>0</v>
      </c>
      <c r="J6223" t="n">
        <v>0</v>
      </c>
      <c r="K6223" t="n">
        <v>0</v>
      </c>
      <c r="L6223" t="n">
        <v>0</v>
      </c>
      <c r="M6223" t="n">
        <v>0</v>
      </c>
      <c r="N6223" t="n">
        <v>0</v>
      </c>
      <c r="O6223" t="n">
        <v>0</v>
      </c>
      <c r="P6223" t="n">
        <v>0</v>
      </c>
      <c r="Q6223" t="n">
        <v>0</v>
      </c>
      <c r="R6223" s="2" t="inlineStr"/>
    </row>
    <row r="6224" ht="15" customHeight="1">
      <c r="A6224" t="inlineStr">
        <is>
          <t>A 4406-2023</t>
        </is>
      </c>
      <c r="B6224" s="1" t="n">
        <v>44951</v>
      </c>
      <c r="C6224" s="1" t="n">
        <v>45212</v>
      </c>
      <c r="D6224" t="inlineStr">
        <is>
          <t>VÄSTERNORRLANDS LÄN</t>
        </is>
      </c>
      <c r="E6224" t="inlineStr">
        <is>
          <t>SOLLEFTEÅ</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3887-2023</t>
        </is>
      </c>
      <c r="B6225" s="1" t="n">
        <v>44951</v>
      </c>
      <c r="C6225" s="1" t="n">
        <v>45212</v>
      </c>
      <c r="D6225" t="inlineStr">
        <is>
          <t>VÄSTERNORRLANDS LÄN</t>
        </is>
      </c>
      <c r="E6225" t="inlineStr">
        <is>
          <t>KRAMFORS</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3966-2023</t>
        </is>
      </c>
      <c r="B6226" s="1" t="n">
        <v>44952</v>
      </c>
      <c r="C6226" s="1" t="n">
        <v>45212</v>
      </c>
      <c r="D6226" t="inlineStr">
        <is>
          <t>VÄSTERNORRLANDS LÄN</t>
        </is>
      </c>
      <c r="E6226" t="inlineStr">
        <is>
          <t>ÖRNSKÖLDSVIK</t>
        </is>
      </c>
      <c r="F6226" t="inlineStr">
        <is>
          <t>Holmen skog AB</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4126-2023</t>
        </is>
      </c>
      <c r="B6227" s="1" t="n">
        <v>44952</v>
      </c>
      <c r="C6227" s="1" t="n">
        <v>45212</v>
      </c>
      <c r="D6227" t="inlineStr">
        <is>
          <t>VÄSTERNORRLANDS LÄN</t>
        </is>
      </c>
      <c r="E6227" t="inlineStr">
        <is>
          <t>TIMRÅ</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4095-2023</t>
        </is>
      </c>
      <c r="B6228" s="1" t="n">
        <v>44952</v>
      </c>
      <c r="C6228" s="1" t="n">
        <v>45212</v>
      </c>
      <c r="D6228" t="inlineStr">
        <is>
          <t>VÄSTERNORRLANDS LÄN</t>
        </is>
      </c>
      <c r="E6228" t="inlineStr">
        <is>
          <t>ÅNGE</t>
        </is>
      </c>
      <c r="G6228" t="n">
        <v>13.4</v>
      </c>
      <c r="H6228" t="n">
        <v>0</v>
      </c>
      <c r="I6228" t="n">
        <v>0</v>
      </c>
      <c r="J6228" t="n">
        <v>0</v>
      </c>
      <c r="K6228" t="n">
        <v>0</v>
      </c>
      <c r="L6228" t="n">
        <v>0</v>
      </c>
      <c r="M6228" t="n">
        <v>0</v>
      </c>
      <c r="N6228" t="n">
        <v>0</v>
      </c>
      <c r="O6228" t="n">
        <v>0</v>
      </c>
      <c r="P6228" t="n">
        <v>0</v>
      </c>
      <c r="Q6228" t="n">
        <v>0</v>
      </c>
      <c r="R6228" s="2" t="inlineStr"/>
    </row>
    <row r="6229" ht="15" customHeight="1">
      <c r="A6229" t="inlineStr">
        <is>
          <t>A 4124-2023</t>
        </is>
      </c>
      <c r="B6229" s="1" t="n">
        <v>44952</v>
      </c>
      <c r="C6229" s="1" t="n">
        <v>45212</v>
      </c>
      <c r="D6229" t="inlineStr">
        <is>
          <t>VÄSTERNORRLANDS LÄN</t>
        </is>
      </c>
      <c r="E6229" t="inlineStr">
        <is>
          <t>TIMRÅ</t>
        </is>
      </c>
      <c r="G6229" t="n">
        <v>4.4</v>
      </c>
      <c r="H6229" t="n">
        <v>0</v>
      </c>
      <c r="I6229" t="n">
        <v>0</v>
      </c>
      <c r="J6229" t="n">
        <v>0</v>
      </c>
      <c r="K6229" t="n">
        <v>0</v>
      </c>
      <c r="L6229" t="n">
        <v>0</v>
      </c>
      <c r="M6229" t="n">
        <v>0</v>
      </c>
      <c r="N6229" t="n">
        <v>0</v>
      </c>
      <c r="O6229" t="n">
        <v>0</v>
      </c>
      <c r="P6229" t="n">
        <v>0</v>
      </c>
      <c r="Q6229" t="n">
        <v>0</v>
      </c>
      <c r="R6229" s="2" t="inlineStr"/>
    </row>
    <row r="6230" ht="15" customHeight="1">
      <c r="A6230" t="inlineStr">
        <is>
          <t>A 4800-2023</t>
        </is>
      </c>
      <c r="B6230" s="1" t="n">
        <v>44952</v>
      </c>
      <c r="C6230" s="1" t="n">
        <v>45212</v>
      </c>
      <c r="D6230" t="inlineStr">
        <is>
          <t>VÄSTERNORRLANDS LÄN</t>
        </is>
      </c>
      <c r="E6230" t="inlineStr">
        <is>
          <t>SUNDSVALL</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4123-2023</t>
        </is>
      </c>
      <c r="B6231" s="1" t="n">
        <v>44952</v>
      </c>
      <c r="C6231" s="1" t="n">
        <v>45212</v>
      </c>
      <c r="D6231" t="inlineStr">
        <is>
          <t>VÄSTERNORRLANDS LÄN</t>
        </is>
      </c>
      <c r="E6231" t="inlineStr">
        <is>
          <t>TIMRÅ</t>
        </is>
      </c>
      <c r="G6231" t="n">
        <v>9.5</v>
      </c>
      <c r="H6231" t="n">
        <v>0</v>
      </c>
      <c r="I6231" t="n">
        <v>0</v>
      </c>
      <c r="J6231" t="n">
        <v>0</v>
      </c>
      <c r="K6231" t="n">
        <v>0</v>
      </c>
      <c r="L6231" t="n">
        <v>0</v>
      </c>
      <c r="M6231" t="n">
        <v>0</v>
      </c>
      <c r="N6231" t="n">
        <v>0</v>
      </c>
      <c r="O6231" t="n">
        <v>0</v>
      </c>
      <c r="P6231" t="n">
        <v>0</v>
      </c>
      <c r="Q6231" t="n">
        <v>0</v>
      </c>
      <c r="R6231" s="2" t="inlineStr"/>
    </row>
    <row r="6232" ht="15" customHeight="1">
      <c r="A6232" t="inlineStr">
        <is>
          <t>A 4132-2023</t>
        </is>
      </c>
      <c r="B6232" s="1" t="n">
        <v>44952</v>
      </c>
      <c r="C6232" s="1" t="n">
        <v>45212</v>
      </c>
      <c r="D6232" t="inlineStr">
        <is>
          <t>VÄSTERNORRLANDS LÄN</t>
        </is>
      </c>
      <c r="E6232" t="inlineStr">
        <is>
          <t>SOLLEFTEÅ</t>
        </is>
      </c>
      <c r="F6232" t="inlineStr">
        <is>
          <t>SCA</t>
        </is>
      </c>
      <c r="G6232" t="n">
        <v>50.4</v>
      </c>
      <c r="H6232" t="n">
        <v>0</v>
      </c>
      <c r="I6232" t="n">
        <v>0</v>
      </c>
      <c r="J6232" t="n">
        <v>0</v>
      </c>
      <c r="K6232" t="n">
        <v>0</v>
      </c>
      <c r="L6232" t="n">
        <v>0</v>
      </c>
      <c r="M6232" t="n">
        <v>0</v>
      </c>
      <c r="N6232" t="n">
        <v>0</v>
      </c>
      <c r="O6232" t="n">
        <v>0</v>
      </c>
      <c r="P6232" t="n">
        <v>0</v>
      </c>
      <c r="Q6232" t="n">
        <v>0</v>
      </c>
      <c r="R6232" s="2" t="inlineStr"/>
    </row>
    <row r="6233" ht="15" customHeight="1">
      <c r="A6233" t="inlineStr">
        <is>
          <t>A 4138-2023</t>
        </is>
      </c>
      <c r="B6233" s="1" t="n">
        <v>44952</v>
      </c>
      <c r="C6233" s="1" t="n">
        <v>45212</v>
      </c>
      <c r="D6233" t="inlineStr">
        <is>
          <t>VÄSTERNORRLANDS LÄN</t>
        </is>
      </c>
      <c r="E6233" t="inlineStr">
        <is>
          <t>SOLLEFTEÅ</t>
        </is>
      </c>
      <c r="F6233" t="inlineStr">
        <is>
          <t>SCA</t>
        </is>
      </c>
      <c r="G6233" t="n">
        <v>70</v>
      </c>
      <c r="H6233" t="n">
        <v>0</v>
      </c>
      <c r="I6233" t="n">
        <v>0</v>
      </c>
      <c r="J6233" t="n">
        <v>0</v>
      </c>
      <c r="K6233" t="n">
        <v>0</v>
      </c>
      <c r="L6233" t="n">
        <v>0</v>
      </c>
      <c r="M6233" t="n">
        <v>0</v>
      </c>
      <c r="N6233" t="n">
        <v>0</v>
      </c>
      <c r="O6233" t="n">
        <v>0</v>
      </c>
      <c r="P6233" t="n">
        <v>0</v>
      </c>
      <c r="Q6233" t="n">
        <v>0</v>
      </c>
      <c r="R6233" s="2" t="inlineStr"/>
    </row>
    <row r="6234" ht="15" customHeight="1">
      <c r="A6234" t="inlineStr">
        <is>
          <t>A 4648-2023</t>
        </is>
      </c>
      <c r="B6234" s="1" t="n">
        <v>44952</v>
      </c>
      <c r="C6234" s="1" t="n">
        <v>45212</v>
      </c>
      <c r="D6234" t="inlineStr">
        <is>
          <t>VÄSTERNORRLANDS LÄN</t>
        </is>
      </c>
      <c r="E6234" t="inlineStr">
        <is>
          <t>HÄRNÖSAND</t>
        </is>
      </c>
      <c r="G6234" t="n">
        <v>0.7</v>
      </c>
      <c r="H6234" t="n">
        <v>0</v>
      </c>
      <c r="I6234" t="n">
        <v>0</v>
      </c>
      <c r="J6234" t="n">
        <v>0</v>
      </c>
      <c r="K6234" t="n">
        <v>0</v>
      </c>
      <c r="L6234" t="n">
        <v>0</v>
      </c>
      <c r="M6234" t="n">
        <v>0</v>
      </c>
      <c r="N6234" t="n">
        <v>0</v>
      </c>
      <c r="O6234" t="n">
        <v>0</v>
      </c>
      <c r="P6234" t="n">
        <v>0</v>
      </c>
      <c r="Q6234" t="n">
        <v>0</v>
      </c>
      <c r="R6234" s="2" t="inlineStr"/>
    </row>
    <row r="6235" ht="15" customHeight="1">
      <c r="A6235" t="inlineStr">
        <is>
          <t>A 4125-2023</t>
        </is>
      </c>
      <c r="B6235" s="1" t="n">
        <v>44952</v>
      </c>
      <c r="C6235" s="1" t="n">
        <v>45212</v>
      </c>
      <c r="D6235" t="inlineStr">
        <is>
          <t>VÄSTERNORRLANDS LÄN</t>
        </is>
      </c>
      <c r="E6235" t="inlineStr">
        <is>
          <t>TIMRÅ</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4129-2023</t>
        </is>
      </c>
      <c r="B6236" s="1" t="n">
        <v>44952</v>
      </c>
      <c r="C6236" s="1" t="n">
        <v>45212</v>
      </c>
      <c r="D6236" t="inlineStr">
        <is>
          <t>VÄSTERNORRLANDS LÄN</t>
        </is>
      </c>
      <c r="E6236" t="inlineStr">
        <is>
          <t>TIMRÅ</t>
        </is>
      </c>
      <c r="G6236" t="n">
        <v>13.3</v>
      </c>
      <c r="H6236" t="n">
        <v>0</v>
      </c>
      <c r="I6236" t="n">
        <v>0</v>
      </c>
      <c r="J6236" t="n">
        <v>0</v>
      </c>
      <c r="K6236" t="n">
        <v>0</v>
      </c>
      <c r="L6236" t="n">
        <v>0</v>
      </c>
      <c r="M6236" t="n">
        <v>0</v>
      </c>
      <c r="N6236" t="n">
        <v>0</v>
      </c>
      <c r="O6236" t="n">
        <v>0</v>
      </c>
      <c r="P6236" t="n">
        <v>0</v>
      </c>
      <c r="Q6236" t="n">
        <v>0</v>
      </c>
      <c r="R6236" s="2" t="inlineStr"/>
    </row>
    <row r="6237" ht="15" customHeight="1">
      <c r="A6237" t="inlineStr">
        <is>
          <t>A 4501-2023</t>
        </is>
      </c>
      <c r="B6237" s="1" t="n">
        <v>44952</v>
      </c>
      <c r="C6237" s="1" t="n">
        <v>45212</v>
      </c>
      <c r="D6237" t="inlineStr">
        <is>
          <t>VÄSTERNORRLANDS LÄN</t>
        </is>
      </c>
      <c r="E6237" t="inlineStr">
        <is>
          <t>SOLLEFTEÅ</t>
        </is>
      </c>
      <c r="F6237" t="inlineStr">
        <is>
          <t>Övriga Aktiebolag</t>
        </is>
      </c>
      <c r="G6237" t="n">
        <v>5.4</v>
      </c>
      <c r="H6237" t="n">
        <v>0</v>
      </c>
      <c r="I6237" t="n">
        <v>0</v>
      </c>
      <c r="J6237" t="n">
        <v>0</v>
      </c>
      <c r="K6237" t="n">
        <v>0</v>
      </c>
      <c r="L6237" t="n">
        <v>0</v>
      </c>
      <c r="M6237" t="n">
        <v>0</v>
      </c>
      <c r="N6237" t="n">
        <v>0</v>
      </c>
      <c r="O6237" t="n">
        <v>0</v>
      </c>
      <c r="P6237" t="n">
        <v>0</v>
      </c>
      <c r="Q6237" t="n">
        <v>0</v>
      </c>
      <c r="R6237" s="2" t="inlineStr"/>
    </row>
    <row r="6238" ht="15" customHeight="1">
      <c r="A6238" t="inlineStr">
        <is>
          <t>A 4719-2023</t>
        </is>
      </c>
      <c r="B6238" s="1" t="n">
        <v>44953</v>
      </c>
      <c r="C6238" s="1" t="n">
        <v>45212</v>
      </c>
      <c r="D6238" t="inlineStr">
        <is>
          <t>VÄSTERNORRLANDS LÄN</t>
        </is>
      </c>
      <c r="E6238" t="inlineStr">
        <is>
          <t>ÖRNSKÖLDSVIK</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4727-2023</t>
        </is>
      </c>
      <c r="B6239" s="1" t="n">
        <v>44953</v>
      </c>
      <c r="C6239" s="1" t="n">
        <v>45212</v>
      </c>
      <c r="D6239" t="inlineStr">
        <is>
          <t>VÄSTERNORRLANDS LÄN</t>
        </is>
      </c>
      <c r="E6239" t="inlineStr">
        <is>
          <t>ÅNGE</t>
        </is>
      </c>
      <c r="G6239" t="n">
        <v>0.4</v>
      </c>
      <c r="H6239" t="n">
        <v>0</v>
      </c>
      <c r="I6239" t="n">
        <v>0</v>
      </c>
      <c r="J6239" t="n">
        <v>0</v>
      </c>
      <c r="K6239" t="n">
        <v>0</v>
      </c>
      <c r="L6239" t="n">
        <v>0</v>
      </c>
      <c r="M6239" t="n">
        <v>0</v>
      </c>
      <c r="N6239" t="n">
        <v>0</v>
      </c>
      <c r="O6239" t="n">
        <v>0</v>
      </c>
      <c r="P6239" t="n">
        <v>0</v>
      </c>
      <c r="Q6239" t="n">
        <v>0</v>
      </c>
      <c r="R6239" s="2" t="inlineStr"/>
    </row>
    <row r="6240" ht="15" customHeight="1">
      <c r="A6240" t="inlineStr">
        <is>
          <t>A 4522-2023</t>
        </is>
      </c>
      <c r="B6240" s="1" t="n">
        <v>44956</v>
      </c>
      <c r="C6240" s="1" t="n">
        <v>45212</v>
      </c>
      <c r="D6240" t="inlineStr">
        <is>
          <t>VÄSTERNORRLANDS LÄN</t>
        </is>
      </c>
      <c r="E6240" t="inlineStr">
        <is>
          <t>ÖRNSKÖLDSVIK</t>
        </is>
      </c>
      <c r="F6240" t="inlineStr">
        <is>
          <t>Holmen skog AB</t>
        </is>
      </c>
      <c r="G6240" t="n">
        <v>34.6</v>
      </c>
      <c r="H6240" t="n">
        <v>0</v>
      </c>
      <c r="I6240" t="n">
        <v>0</v>
      </c>
      <c r="J6240" t="n">
        <v>0</v>
      </c>
      <c r="K6240" t="n">
        <v>0</v>
      </c>
      <c r="L6240" t="n">
        <v>0</v>
      </c>
      <c r="M6240" t="n">
        <v>0</v>
      </c>
      <c r="N6240" t="n">
        <v>0</v>
      </c>
      <c r="O6240" t="n">
        <v>0</v>
      </c>
      <c r="P6240" t="n">
        <v>0</v>
      </c>
      <c r="Q6240" t="n">
        <v>0</v>
      </c>
      <c r="R6240" s="2" t="inlineStr"/>
    </row>
    <row r="6241" ht="15" customHeight="1">
      <c r="A6241" t="inlineStr">
        <is>
          <t>A 4601-2023</t>
        </is>
      </c>
      <c r="B6241" s="1" t="n">
        <v>44956</v>
      </c>
      <c r="C6241" s="1" t="n">
        <v>45212</v>
      </c>
      <c r="D6241" t="inlineStr">
        <is>
          <t>VÄSTERNORRLANDS LÄN</t>
        </is>
      </c>
      <c r="E6241" t="inlineStr">
        <is>
          <t>KRAMFORS</t>
        </is>
      </c>
      <c r="G6241" t="n">
        <v>8.4</v>
      </c>
      <c r="H6241" t="n">
        <v>0</v>
      </c>
      <c r="I6241" t="n">
        <v>0</v>
      </c>
      <c r="J6241" t="n">
        <v>0</v>
      </c>
      <c r="K6241" t="n">
        <v>0</v>
      </c>
      <c r="L6241" t="n">
        <v>0</v>
      </c>
      <c r="M6241" t="n">
        <v>0</v>
      </c>
      <c r="N6241" t="n">
        <v>0</v>
      </c>
      <c r="O6241" t="n">
        <v>0</v>
      </c>
      <c r="P6241" t="n">
        <v>0</v>
      </c>
      <c r="Q6241" t="n">
        <v>0</v>
      </c>
      <c r="R6241" s="2" t="inlineStr"/>
    </row>
    <row r="6242" ht="15" customHeight="1">
      <c r="A6242" t="inlineStr">
        <is>
          <t>A 4613-2023</t>
        </is>
      </c>
      <c r="B6242" s="1" t="n">
        <v>44956</v>
      </c>
      <c r="C6242" s="1" t="n">
        <v>45212</v>
      </c>
      <c r="D6242" t="inlineStr">
        <is>
          <t>VÄSTERNORRLANDS LÄN</t>
        </is>
      </c>
      <c r="E6242" t="inlineStr">
        <is>
          <t>SOLLEFTEÅ</t>
        </is>
      </c>
      <c r="F6242" t="inlineStr">
        <is>
          <t>SCA</t>
        </is>
      </c>
      <c r="G6242" t="n">
        <v>27</v>
      </c>
      <c r="H6242" t="n">
        <v>0</v>
      </c>
      <c r="I6242" t="n">
        <v>0</v>
      </c>
      <c r="J6242" t="n">
        <v>0</v>
      </c>
      <c r="K6242" t="n">
        <v>0</v>
      </c>
      <c r="L6242" t="n">
        <v>0</v>
      </c>
      <c r="M6242" t="n">
        <v>0</v>
      </c>
      <c r="N6242" t="n">
        <v>0</v>
      </c>
      <c r="O6242" t="n">
        <v>0</v>
      </c>
      <c r="P6242" t="n">
        <v>0</v>
      </c>
      <c r="Q6242" t="n">
        <v>0</v>
      </c>
      <c r="R6242" s="2" t="inlineStr"/>
    </row>
    <row r="6243" ht="15" customHeight="1">
      <c r="A6243" t="inlineStr">
        <is>
          <t>A 5360-2023</t>
        </is>
      </c>
      <c r="B6243" s="1" t="n">
        <v>44956</v>
      </c>
      <c r="C6243" s="1" t="n">
        <v>45212</v>
      </c>
      <c r="D6243" t="inlineStr">
        <is>
          <t>VÄSTERNORRLANDS LÄN</t>
        </is>
      </c>
      <c r="E6243" t="inlineStr">
        <is>
          <t>KRAMFORS</t>
        </is>
      </c>
      <c r="G6243" t="n">
        <v>11.4</v>
      </c>
      <c r="H6243" t="n">
        <v>0</v>
      </c>
      <c r="I6243" t="n">
        <v>0</v>
      </c>
      <c r="J6243" t="n">
        <v>0</v>
      </c>
      <c r="K6243" t="n">
        <v>0</v>
      </c>
      <c r="L6243" t="n">
        <v>0</v>
      </c>
      <c r="M6243" t="n">
        <v>0</v>
      </c>
      <c r="N6243" t="n">
        <v>0</v>
      </c>
      <c r="O6243" t="n">
        <v>0</v>
      </c>
      <c r="P6243" t="n">
        <v>0</v>
      </c>
      <c r="Q6243" t="n">
        <v>0</v>
      </c>
      <c r="R6243" s="2" t="inlineStr"/>
    </row>
    <row r="6244" ht="15" customHeight="1">
      <c r="A6244" t="inlineStr">
        <is>
          <t>A 4414-2023</t>
        </is>
      </c>
      <c r="B6244" s="1" t="n">
        <v>44956</v>
      </c>
      <c r="C6244" s="1" t="n">
        <v>45212</v>
      </c>
      <c r="D6244" t="inlineStr">
        <is>
          <t>VÄSTERNORRLANDS LÄN</t>
        </is>
      </c>
      <c r="E6244" t="inlineStr">
        <is>
          <t>ÖRNSKÖLDSVIK</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4611-2023</t>
        </is>
      </c>
      <c r="B6245" s="1" t="n">
        <v>44956</v>
      </c>
      <c r="C6245" s="1" t="n">
        <v>45212</v>
      </c>
      <c r="D6245" t="inlineStr">
        <is>
          <t>VÄSTERNORRLANDS LÄN</t>
        </is>
      </c>
      <c r="E6245" t="inlineStr">
        <is>
          <t>SOLLEFTEÅ</t>
        </is>
      </c>
      <c r="F6245" t="inlineStr">
        <is>
          <t>SCA</t>
        </is>
      </c>
      <c r="G6245" t="n">
        <v>19.2</v>
      </c>
      <c r="H6245" t="n">
        <v>0</v>
      </c>
      <c r="I6245" t="n">
        <v>0</v>
      </c>
      <c r="J6245" t="n">
        <v>0</v>
      </c>
      <c r="K6245" t="n">
        <v>0</v>
      </c>
      <c r="L6245" t="n">
        <v>0</v>
      </c>
      <c r="M6245" t="n">
        <v>0</v>
      </c>
      <c r="N6245" t="n">
        <v>0</v>
      </c>
      <c r="O6245" t="n">
        <v>0</v>
      </c>
      <c r="P6245" t="n">
        <v>0</v>
      </c>
      <c r="Q6245" t="n">
        <v>0</v>
      </c>
      <c r="R6245" s="2" t="inlineStr"/>
    </row>
    <row r="6246" ht="15" customHeight="1">
      <c r="A6246" t="inlineStr">
        <is>
          <t>A 4619-2023</t>
        </is>
      </c>
      <c r="B6246" s="1" t="n">
        <v>44956</v>
      </c>
      <c r="C6246" s="1" t="n">
        <v>45212</v>
      </c>
      <c r="D6246" t="inlineStr">
        <is>
          <t>VÄSTERNORRLANDS LÄN</t>
        </is>
      </c>
      <c r="E6246" t="inlineStr">
        <is>
          <t>SUNDSVALL</t>
        </is>
      </c>
      <c r="F6246" t="inlineStr">
        <is>
          <t>SCA</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4912-2023</t>
        </is>
      </c>
      <c r="B6247" s="1" t="n">
        <v>44956</v>
      </c>
      <c r="C6247" s="1" t="n">
        <v>45212</v>
      </c>
      <c r="D6247" t="inlineStr">
        <is>
          <t>VÄSTERNORRLANDS LÄN</t>
        </is>
      </c>
      <c r="E6247" t="inlineStr">
        <is>
          <t>SUNDSVALL</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5001-2023</t>
        </is>
      </c>
      <c r="B6248" s="1" t="n">
        <v>44956</v>
      </c>
      <c r="C6248" s="1" t="n">
        <v>45212</v>
      </c>
      <c r="D6248" t="inlineStr">
        <is>
          <t>VÄSTERNORRLANDS LÄN</t>
        </is>
      </c>
      <c r="E6248" t="inlineStr">
        <is>
          <t>SOLLEFTEÅ</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5349-2023</t>
        </is>
      </c>
      <c r="B6249" s="1" t="n">
        <v>44956</v>
      </c>
      <c r="C6249" s="1" t="n">
        <v>45212</v>
      </c>
      <c r="D6249" t="inlineStr">
        <is>
          <t>VÄSTERNORRLANDS LÄN</t>
        </is>
      </c>
      <c r="E6249" t="inlineStr">
        <is>
          <t>KRAMFORS</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5364-2023</t>
        </is>
      </c>
      <c r="B6250" s="1" t="n">
        <v>44956</v>
      </c>
      <c r="C6250" s="1" t="n">
        <v>45212</v>
      </c>
      <c r="D6250" t="inlineStr">
        <is>
          <t>VÄSTERNORRLANDS LÄN</t>
        </is>
      </c>
      <c r="E6250" t="inlineStr">
        <is>
          <t>ÖRNSKÖLDSVIK</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4428-2023</t>
        </is>
      </c>
      <c r="B6251" s="1" t="n">
        <v>44956</v>
      </c>
      <c r="C6251" s="1" t="n">
        <v>45212</v>
      </c>
      <c r="D6251" t="inlineStr">
        <is>
          <t>VÄSTERNORRLANDS LÄN</t>
        </is>
      </c>
      <c r="E6251" t="inlineStr">
        <is>
          <t>ÖRNSKÖLDSVIK</t>
        </is>
      </c>
      <c r="F6251" t="inlineStr">
        <is>
          <t>Kyrkan</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4602-2023</t>
        </is>
      </c>
      <c r="B6252" s="1" t="n">
        <v>44956</v>
      </c>
      <c r="C6252" s="1" t="n">
        <v>45212</v>
      </c>
      <c r="D6252" t="inlineStr">
        <is>
          <t>VÄSTERNORRLANDS LÄN</t>
        </is>
      </c>
      <c r="E6252" t="inlineStr">
        <is>
          <t>KRAMFORS</t>
        </is>
      </c>
      <c r="G6252" t="n">
        <v>0.8</v>
      </c>
      <c r="H6252" t="n">
        <v>0</v>
      </c>
      <c r="I6252" t="n">
        <v>0</v>
      </c>
      <c r="J6252" t="n">
        <v>0</v>
      </c>
      <c r="K6252" t="n">
        <v>0</v>
      </c>
      <c r="L6252" t="n">
        <v>0</v>
      </c>
      <c r="M6252" t="n">
        <v>0</v>
      </c>
      <c r="N6252" t="n">
        <v>0</v>
      </c>
      <c r="O6252" t="n">
        <v>0</v>
      </c>
      <c r="P6252" t="n">
        <v>0</v>
      </c>
      <c r="Q6252" t="n">
        <v>0</v>
      </c>
      <c r="R6252" s="2" t="inlineStr"/>
    </row>
    <row r="6253" ht="15" customHeight="1">
      <c r="A6253" t="inlineStr">
        <is>
          <t>A 4556-2023</t>
        </is>
      </c>
      <c r="B6253" s="1" t="n">
        <v>44956</v>
      </c>
      <c r="C6253" s="1" t="n">
        <v>45212</v>
      </c>
      <c r="D6253" t="inlineStr">
        <is>
          <t>VÄSTERNORRLANDS LÄN</t>
        </is>
      </c>
      <c r="E6253" t="inlineStr">
        <is>
          <t>ÖRNSKÖLDSVIK</t>
        </is>
      </c>
      <c r="F6253" t="inlineStr">
        <is>
          <t>Holmen skog AB</t>
        </is>
      </c>
      <c r="G6253" t="n">
        <v>22.3</v>
      </c>
      <c r="H6253" t="n">
        <v>0</v>
      </c>
      <c r="I6253" t="n">
        <v>0</v>
      </c>
      <c r="J6253" t="n">
        <v>0</v>
      </c>
      <c r="K6253" t="n">
        <v>0</v>
      </c>
      <c r="L6253" t="n">
        <v>0</v>
      </c>
      <c r="M6253" t="n">
        <v>0</v>
      </c>
      <c r="N6253" t="n">
        <v>0</v>
      </c>
      <c r="O6253" t="n">
        <v>0</v>
      </c>
      <c r="P6253" t="n">
        <v>0</v>
      </c>
      <c r="Q6253" t="n">
        <v>0</v>
      </c>
      <c r="R6253" s="2" t="inlineStr"/>
    </row>
    <row r="6254" ht="15" customHeight="1">
      <c r="A6254" t="inlineStr">
        <is>
          <t>A 4612-2023</t>
        </is>
      </c>
      <c r="B6254" s="1" t="n">
        <v>44956</v>
      </c>
      <c r="C6254" s="1" t="n">
        <v>45212</v>
      </c>
      <c r="D6254" t="inlineStr">
        <is>
          <t>VÄSTERNORRLANDS LÄN</t>
        </is>
      </c>
      <c r="E6254" t="inlineStr">
        <is>
          <t>SOLLEFTEÅ</t>
        </is>
      </c>
      <c r="F6254" t="inlineStr">
        <is>
          <t>SCA</t>
        </is>
      </c>
      <c r="G6254" t="n">
        <v>25.5</v>
      </c>
      <c r="H6254" t="n">
        <v>0</v>
      </c>
      <c r="I6254" t="n">
        <v>0</v>
      </c>
      <c r="J6254" t="n">
        <v>0</v>
      </c>
      <c r="K6254" t="n">
        <v>0</v>
      </c>
      <c r="L6254" t="n">
        <v>0</v>
      </c>
      <c r="M6254" t="n">
        <v>0</v>
      </c>
      <c r="N6254" t="n">
        <v>0</v>
      </c>
      <c r="O6254" t="n">
        <v>0</v>
      </c>
      <c r="P6254" t="n">
        <v>0</v>
      </c>
      <c r="Q6254" t="n">
        <v>0</v>
      </c>
      <c r="R6254" s="2" t="inlineStr"/>
    </row>
    <row r="6255" ht="15" customHeight="1">
      <c r="A6255" t="inlineStr">
        <is>
          <t>A 5358-2023</t>
        </is>
      </c>
      <c r="B6255" s="1" t="n">
        <v>44956</v>
      </c>
      <c r="C6255" s="1" t="n">
        <v>45212</v>
      </c>
      <c r="D6255" t="inlineStr">
        <is>
          <t>VÄSTERNORRLANDS LÄN</t>
        </is>
      </c>
      <c r="E6255" t="inlineStr">
        <is>
          <t>KRAMFORS</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4654-2023</t>
        </is>
      </c>
      <c r="B6256" s="1" t="n">
        <v>44957</v>
      </c>
      <c r="C6256" s="1" t="n">
        <v>45212</v>
      </c>
      <c r="D6256" t="inlineStr">
        <is>
          <t>VÄSTERNORRLANDS LÄN</t>
        </is>
      </c>
      <c r="E6256" t="inlineStr">
        <is>
          <t>ÖRNSKÖLDSVIK</t>
        </is>
      </c>
      <c r="G6256" t="n">
        <v>3</v>
      </c>
      <c r="H6256" t="n">
        <v>0</v>
      </c>
      <c r="I6256" t="n">
        <v>0</v>
      </c>
      <c r="J6256" t="n">
        <v>0</v>
      </c>
      <c r="K6256" t="n">
        <v>0</v>
      </c>
      <c r="L6256" t="n">
        <v>0</v>
      </c>
      <c r="M6256" t="n">
        <v>0</v>
      </c>
      <c r="N6256" t="n">
        <v>0</v>
      </c>
      <c r="O6256" t="n">
        <v>0</v>
      </c>
      <c r="P6256" t="n">
        <v>0</v>
      </c>
      <c r="Q6256" t="n">
        <v>0</v>
      </c>
      <c r="R6256" s="2" t="inlineStr"/>
    </row>
    <row r="6257" ht="15" customHeight="1">
      <c r="A6257" t="inlineStr">
        <is>
          <t>A 4883-2023</t>
        </is>
      </c>
      <c r="B6257" s="1" t="n">
        <v>44957</v>
      </c>
      <c r="C6257" s="1" t="n">
        <v>45212</v>
      </c>
      <c r="D6257" t="inlineStr">
        <is>
          <t>VÄSTERNORRLANDS LÄN</t>
        </is>
      </c>
      <c r="E6257" t="inlineStr">
        <is>
          <t>ÅNGE</t>
        </is>
      </c>
      <c r="F6257" t="inlineStr">
        <is>
          <t>SCA</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5488-2023</t>
        </is>
      </c>
      <c r="B6258" s="1" t="n">
        <v>44957</v>
      </c>
      <c r="C6258" s="1" t="n">
        <v>45212</v>
      </c>
      <c r="D6258" t="inlineStr">
        <is>
          <t>VÄSTERNORRLANDS LÄN</t>
        </is>
      </c>
      <c r="E6258" t="inlineStr">
        <is>
          <t>ÖRNSKÖLDSVIK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6258-2023</t>
        </is>
      </c>
      <c r="B6259" s="1" t="n">
        <v>44957</v>
      </c>
      <c r="C6259" s="1" t="n">
        <v>45212</v>
      </c>
      <c r="D6259" t="inlineStr">
        <is>
          <t>VÄSTERNORRLANDS LÄN</t>
        </is>
      </c>
      <c r="E6259" t="inlineStr">
        <is>
          <t>HÄRNÖSAND</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5150-2023</t>
        </is>
      </c>
      <c r="B6260" s="1" t="n">
        <v>44958</v>
      </c>
      <c r="C6260" s="1" t="n">
        <v>45212</v>
      </c>
      <c r="D6260" t="inlineStr">
        <is>
          <t>VÄSTERNORRLANDS LÄN</t>
        </is>
      </c>
      <c r="E6260" t="inlineStr">
        <is>
          <t>KRAMFORS</t>
        </is>
      </c>
      <c r="G6260" t="n">
        <v>12.8</v>
      </c>
      <c r="H6260" t="n">
        <v>0</v>
      </c>
      <c r="I6260" t="n">
        <v>0</v>
      </c>
      <c r="J6260" t="n">
        <v>0</v>
      </c>
      <c r="K6260" t="n">
        <v>0</v>
      </c>
      <c r="L6260" t="n">
        <v>0</v>
      </c>
      <c r="M6260" t="n">
        <v>0</v>
      </c>
      <c r="N6260" t="n">
        <v>0</v>
      </c>
      <c r="O6260" t="n">
        <v>0</v>
      </c>
      <c r="P6260" t="n">
        <v>0</v>
      </c>
      <c r="Q6260" t="n">
        <v>0</v>
      </c>
      <c r="R6260" s="2" t="inlineStr"/>
    </row>
    <row r="6261" ht="15" customHeight="1">
      <c r="A6261" t="inlineStr">
        <is>
          <t>A 5167-2023</t>
        </is>
      </c>
      <c r="B6261" s="1" t="n">
        <v>44958</v>
      </c>
      <c r="C6261" s="1" t="n">
        <v>45212</v>
      </c>
      <c r="D6261" t="inlineStr">
        <is>
          <t>VÄSTERNORRLANDS LÄN</t>
        </is>
      </c>
      <c r="E6261" t="inlineStr">
        <is>
          <t>SOLLEFTEÅ</t>
        </is>
      </c>
      <c r="F6261" t="inlineStr">
        <is>
          <t>SCA</t>
        </is>
      </c>
      <c r="G6261" t="n">
        <v>14.8</v>
      </c>
      <c r="H6261" t="n">
        <v>0</v>
      </c>
      <c r="I6261" t="n">
        <v>0</v>
      </c>
      <c r="J6261" t="n">
        <v>0</v>
      </c>
      <c r="K6261" t="n">
        <v>0</v>
      </c>
      <c r="L6261" t="n">
        <v>0</v>
      </c>
      <c r="M6261" t="n">
        <v>0</v>
      </c>
      <c r="N6261" t="n">
        <v>0</v>
      </c>
      <c r="O6261" t="n">
        <v>0</v>
      </c>
      <c r="P6261" t="n">
        <v>0</v>
      </c>
      <c r="Q6261" t="n">
        <v>0</v>
      </c>
      <c r="R6261" s="2" t="inlineStr"/>
    </row>
    <row r="6262" ht="15" customHeight="1">
      <c r="A6262" t="inlineStr">
        <is>
          <t>A 5077-2023</t>
        </is>
      </c>
      <c r="B6262" s="1" t="n">
        <v>44958</v>
      </c>
      <c r="C6262" s="1" t="n">
        <v>45212</v>
      </c>
      <c r="D6262" t="inlineStr">
        <is>
          <t>VÄSTERNORRLANDS LÄN</t>
        </is>
      </c>
      <c r="E6262" t="inlineStr">
        <is>
          <t>ÅNGE</t>
        </is>
      </c>
      <c r="G6262" t="n">
        <v>2.9</v>
      </c>
      <c r="H6262" t="n">
        <v>0</v>
      </c>
      <c r="I6262" t="n">
        <v>0</v>
      </c>
      <c r="J6262" t="n">
        <v>0</v>
      </c>
      <c r="K6262" t="n">
        <v>0</v>
      </c>
      <c r="L6262" t="n">
        <v>0</v>
      </c>
      <c r="M6262" t="n">
        <v>0</v>
      </c>
      <c r="N6262" t="n">
        <v>0</v>
      </c>
      <c r="O6262" t="n">
        <v>0</v>
      </c>
      <c r="P6262" t="n">
        <v>0</v>
      </c>
      <c r="Q6262" t="n">
        <v>0</v>
      </c>
      <c r="R6262" s="2" t="inlineStr"/>
    </row>
    <row r="6263" ht="15" customHeight="1">
      <c r="A6263" t="inlineStr">
        <is>
          <t>A 5151-2023</t>
        </is>
      </c>
      <c r="B6263" s="1" t="n">
        <v>44958</v>
      </c>
      <c r="C6263" s="1" t="n">
        <v>45212</v>
      </c>
      <c r="D6263" t="inlineStr">
        <is>
          <t>VÄSTERNORRLANDS LÄN</t>
        </is>
      </c>
      <c r="E6263" t="inlineStr">
        <is>
          <t>KRAMFORS</t>
        </is>
      </c>
      <c r="G6263" t="n">
        <v>11.3</v>
      </c>
      <c r="H6263" t="n">
        <v>0</v>
      </c>
      <c r="I6263" t="n">
        <v>0</v>
      </c>
      <c r="J6263" t="n">
        <v>0</v>
      </c>
      <c r="K6263" t="n">
        <v>0</v>
      </c>
      <c r="L6263" t="n">
        <v>0</v>
      </c>
      <c r="M6263" t="n">
        <v>0</v>
      </c>
      <c r="N6263" t="n">
        <v>0</v>
      </c>
      <c r="O6263" t="n">
        <v>0</v>
      </c>
      <c r="P6263" t="n">
        <v>0</v>
      </c>
      <c r="Q6263" t="n">
        <v>0</v>
      </c>
      <c r="R6263" s="2" t="inlineStr"/>
    </row>
    <row r="6264" ht="15" customHeight="1">
      <c r="A6264" t="inlineStr">
        <is>
          <t>A 5168-2023</t>
        </is>
      </c>
      <c r="B6264" s="1" t="n">
        <v>44958</v>
      </c>
      <c r="C6264" s="1" t="n">
        <v>45212</v>
      </c>
      <c r="D6264" t="inlineStr">
        <is>
          <t>VÄSTERNORRLANDS LÄN</t>
        </is>
      </c>
      <c r="E6264" t="inlineStr">
        <is>
          <t>SOLLEFTEÅ</t>
        </is>
      </c>
      <c r="F6264" t="inlineStr">
        <is>
          <t>SCA</t>
        </is>
      </c>
      <c r="G6264" t="n">
        <v>16.8</v>
      </c>
      <c r="H6264" t="n">
        <v>0</v>
      </c>
      <c r="I6264" t="n">
        <v>0</v>
      </c>
      <c r="J6264" t="n">
        <v>0</v>
      </c>
      <c r="K6264" t="n">
        <v>0</v>
      </c>
      <c r="L6264" t="n">
        <v>0</v>
      </c>
      <c r="M6264" t="n">
        <v>0</v>
      </c>
      <c r="N6264" t="n">
        <v>0</v>
      </c>
      <c r="O6264" t="n">
        <v>0</v>
      </c>
      <c r="P6264" t="n">
        <v>0</v>
      </c>
      <c r="Q6264" t="n">
        <v>0</v>
      </c>
      <c r="R6264" s="2" t="inlineStr"/>
    </row>
    <row r="6265" ht="15" customHeight="1">
      <c r="A6265" t="inlineStr">
        <is>
          <t>A 5586-2023</t>
        </is>
      </c>
      <c r="B6265" s="1" t="n">
        <v>44958</v>
      </c>
      <c r="C6265" s="1" t="n">
        <v>45212</v>
      </c>
      <c r="D6265" t="inlineStr">
        <is>
          <t>VÄSTERNORRLANDS LÄN</t>
        </is>
      </c>
      <c r="E6265" t="inlineStr">
        <is>
          <t>KRAMFORS</t>
        </is>
      </c>
      <c r="G6265" t="n">
        <v>16.9</v>
      </c>
      <c r="H6265" t="n">
        <v>0</v>
      </c>
      <c r="I6265" t="n">
        <v>0</v>
      </c>
      <c r="J6265" t="n">
        <v>0</v>
      </c>
      <c r="K6265" t="n">
        <v>0</v>
      </c>
      <c r="L6265" t="n">
        <v>0</v>
      </c>
      <c r="M6265" t="n">
        <v>0</v>
      </c>
      <c r="N6265" t="n">
        <v>0</v>
      </c>
      <c r="O6265" t="n">
        <v>0</v>
      </c>
      <c r="P6265" t="n">
        <v>0</v>
      </c>
      <c r="Q6265" t="n">
        <v>0</v>
      </c>
      <c r="R6265" s="2" t="inlineStr"/>
    </row>
    <row r="6266" ht="15" customHeight="1">
      <c r="A6266" t="inlineStr">
        <is>
          <t>A 5082-2023</t>
        </is>
      </c>
      <c r="B6266" s="1" t="n">
        <v>44958</v>
      </c>
      <c r="C6266" s="1" t="n">
        <v>45212</v>
      </c>
      <c r="D6266" t="inlineStr">
        <is>
          <t>VÄSTERNORRLANDS LÄN</t>
        </is>
      </c>
      <c r="E6266" t="inlineStr">
        <is>
          <t>ÅNGE</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5166-2023</t>
        </is>
      </c>
      <c r="B6267" s="1" t="n">
        <v>44958</v>
      </c>
      <c r="C6267" s="1" t="n">
        <v>45212</v>
      </c>
      <c r="D6267" t="inlineStr">
        <is>
          <t>VÄSTERNORRLANDS LÄN</t>
        </is>
      </c>
      <c r="E6267" t="inlineStr">
        <is>
          <t>SOLLEFTEÅ</t>
        </is>
      </c>
      <c r="F6267" t="inlineStr">
        <is>
          <t>SCA</t>
        </is>
      </c>
      <c r="G6267" t="n">
        <v>29.3</v>
      </c>
      <c r="H6267" t="n">
        <v>0</v>
      </c>
      <c r="I6267" t="n">
        <v>0</v>
      </c>
      <c r="J6267" t="n">
        <v>0</v>
      </c>
      <c r="K6267" t="n">
        <v>0</v>
      </c>
      <c r="L6267" t="n">
        <v>0</v>
      </c>
      <c r="M6267" t="n">
        <v>0</v>
      </c>
      <c r="N6267" t="n">
        <v>0</v>
      </c>
      <c r="O6267" t="n">
        <v>0</v>
      </c>
      <c r="P6267" t="n">
        <v>0</v>
      </c>
      <c r="Q6267" t="n">
        <v>0</v>
      </c>
      <c r="R6267" s="2" t="inlineStr"/>
    </row>
    <row r="6268" ht="15" customHeight="1">
      <c r="A6268" t="inlineStr">
        <is>
          <t>A 5145-2023</t>
        </is>
      </c>
      <c r="B6268" s="1" t="n">
        <v>44958</v>
      </c>
      <c r="C6268" s="1" t="n">
        <v>45212</v>
      </c>
      <c r="D6268" t="inlineStr">
        <is>
          <t>VÄSTERNORRLANDS LÄN</t>
        </is>
      </c>
      <c r="E6268" t="inlineStr">
        <is>
          <t>KRAMFORS</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5644-2023</t>
        </is>
      </c>
      <c r="B6269" s="1" t="n">
        <v>44958</v>
      </c>
      <c r="C6269" s="1" t="n">
        <v>45212</v>
      </c>
      <c r="D6269" t="inlineStr">
        <is>
          <t>VÄSTERNORRLANDS LÄN</t>
        </is>
      </c>
      <c r="E6269" t="inlineStr">
        <is>
          <t>ÖRNSKÖLDSVIK</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5212-2023</t>
        </is>
      </c>
      <c r="B6270" s="1" t="n">
        <v>44959</v>
      </c>
      <c r="C6270" s="1" t="n">
        <v>45212</v>
      </c>
      <c r="D6270" t="inlineStr">
        <is>
          <t>VÄSTERNORRLANDS LÄN</t>
        </is>
      </c>
      <c r="E6270" t="inlineStr">
        <is>
          <t>ÖRNSKÖLDSVIK</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5451-2023</t>
        </is>
      </c>
      <c r="B6271" s="1" t="n">
        <v>44959</v>
      </c>
      <c r="C6271" s="1" t="n">
        <v>45212</v>
      </c>
      <c r="D6271" t="inlineStr">
        <is>
          <t>VÄSTERNORRLANDS LÄN</t>
        </is>
      </c>
      <c r="E6271" t="inlineStr">
        <is>
          <t>SOLLEFTEÅ</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6271-2023</t>
        </is>
      </c>
      <c r="B6272" s="1" t="n">
        <v>44959</v>
      </c>
      <c r="C6272" s="1" t="n">
        <v>45212</v>
      </c>
      <c r="D6272" t="inlineStr">
        <is>
          <t>VÄSTERNORRLANDS LÄN</t>
        </is>
      </c>
      <c r="E6272" t="inlineStr">
        <is>
          <t>SOLLEFTEÅ</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5595-2023</t>
        </is>
      </c>
      <c r="B6273" s="1" t="n">
        <v>44960</v>
      </c>
      <c r="C6273" s="1" t="n">
        <v>45212</v>
      </c>
      <c r="D6273" t="inlineStr">
        <is>
          <t>VÄSTERNORRLANDS LÄN</t>
        </is>
      </c>
      <c r="E6273" t="inlineStr">
        <is>
          <t>ÖRNSKÖLDSVIK</t>
        </is>
      </c>
      <c r="G6273" t="n">
        <v>22.8</v>
      </c>
      <c r="H6273" t="n">
        <v>0</v>
      </c>
      <c r="I6273" t="n">
        <v>0</v>
      </c>
      <c r="J6273" t="n">
        <v>0</v>
      </c>
      <c r="K6273" t="n">
        <v>0</v>
      </c>
      <c r="L6273" t="n">
        <v>0</v>
      </c>
      <c r="M6273" t="n">
        <v>0</v>
      </c>
      <c r="N6273" t="n">
        <v>0</v>
      </c>
      <c r="O6273" t="n">
        <v>0</v>
      </c>
      <c r="P6273" t="n">
        <v>0</v>
      </c>
      <c r="Q6273" t="n">
        <v>0</v>
      </c>
      <c r="R6273" s="2" t="inlineStr"/>
    </row>
    <row r="6274" ht="15" customHeight="1">
      <c r="A6274" t="inlineStr">
        <is>
          <t>A 6388-2023</t>
        </is>
      </c>
      <c r="B6274" s="1" t="n">
        <v>44960</v>
      </c>
      <c r="C6274" s="1" t="n">
        <v>45212</v>
      </c>
      <c r="D6274" t="inlineStr">
        <is>
          <t>VÄSTERNORRLANDS LÄN</t>
        </is>
      </c>
      <c r="E6274" t="inlineStr">
        <is>
          <t>ÖRNSKÖLDSVIK</t>
        </is>
      </c>
      <c r="G6274" t="n">
        <v>5.3</v>
      </c>
      <c r="H6274" t="n">
        <v>0</v>
      </c>
      <c r="I6274" t="n">
        <v>0</v>
      </c>
      <c r="J6274" t="n">
        <v>0</v>
      </c>
      <c r="K6274" t="n">
        <v>0</v>
      </c>
      <c r="L6274" t="n">
        <v>0</v>
      </c>
      <c r="M6274" t="n">
        <v>0</v>
      </c>
      <c r="N6274" t="n">
        <v>0</v>
      </c>
      <c r="O6274" t="n">
        <v>0</v>
      </c>
      <c r="P6274" t="n">
        <v>0</v>
      </c>
      <c r="Q6274" t="n">
        <v>0</v>
      </c>
      <c r="R6274" s="2" t="inlineStr"/>
    </row>
    <row r="6275" ht="15" customHeight="1">
      <c r="A6275" t="inlineStr">
        <is>
          <t>A 5555-2023</t>
        </is>
      </c>
      <c r="B6275" s="1" t="n">
        <v>44960</v>
      </c>
      <c r="C6275" s="1" t="n">
        <v>45212</v>
      </c>
      <c r="D6275" t="inlineStr">
        <is>
          <t>VÄSTERNORRLANDS LÄN</t>
        </is>
      </c>
      <c r="E6275" t="inlineStr">
        <is>
          <t>ÖRNSKÖLDSVIK</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5944-2023</t>
        </is>
      </c>
      <c r="B6276" s="1" t="n">
        <v>44963</v>
      </c>
      <c r="C6276" s="1" t="n">
        <v>45212</v>
      </c>
      <c r="D6276" t="inlineStr">
        <is>
          <t>VÄSTERNORRLANDS LÄN</t>
        </is>
      </c>
      <c r="E6276" t="inlineStr">
        <is>
          <t>KRAMFORS</t>
        </is>
      </c>
      <c r="G6276" t="n">
        <v>18.8</v>
      </c>
      <c r="H6276" t="n">
        <v>0</v>
      </c>
      <c r="I6276" t="n">
        <v>0</v>
      </c>
      <c r="J6276" t="n">
        <v>0</v>
      </c>
      <c r="K6276" t="n">
        <v>0</v>
      </c>
      <c r="L6276" t="n">
        <v>0</v>
      </c>
      <c r="M6276" t="n">
        <v>0</v>
      </c>
      <c r="N6276" t="n">
        <v>0</v>
      </c>
      <c r="O6276" t="n">
        <v>0</v>
      </c>
      <c r="P6276" t="n">
        <v>0</v>
      </c>
      <c r="Q6276" t="n">
        <v>0</v>
      </c>
      <c r="R6276" s="2" t="inlineStr"/>
    </row>
    <row r="6277" ht="15" customHeight="1">
      <c r="A6277" t="inlineStr">
        <is>
          <t>A 5954-2023</t>
        </is>
      </c>
      <c r="B6277" s="1" t="n">
        <v>44963</v>
      </c>
      <c r="C6277" s="1" t="n">
        <v>45212</v>
      </c>
      <c r="D6277" t="inlineStr">
        <is>
          <t>VÄSTERNORRLANDS LÄN</t>
        </is>
      </c>
      <c r="E6277" t="inlineStr">
        <is>
          <t>SOLLEFTEÅ</t>
        </is>
      </c>
      <c r="F6277" t="inlineStr">
        <is>
          <t>SCA</t>
        </is>
      </c>
      <c r="G6277" t="n">
        <v>3.4</v>
      </c>
      <c r="H6277" t="n">
        <v>0</v>
      </c>
      <c r="I6277" t="n">
        <v>0</v>
      </c>
      <c r="J6277" t="n">
        <v>0</v>
      </c>
      <c r="K6277" t="n">
        <v>0</v>
      </c>
      <c r="L6277" t="n">
        <v>0</v>
      </c>
      <c r="M6277" t="n">
        <v>0</v>
      </c>
      <c r="N6277" t="n">
        <v>0</v>
      </c>
      <c r="O6277" t="n">
        <v>0</v>
      </c>
      <c r="P6277" t="n">
        <v>0</v>
      </c>
      <c r="Q6277" t="n">
        <v>0</v>
      </c>
      <c r="R6277" s="2" t="inlineStr"/>
    </row>
    <row r="6278" ht="15" customHeight="1">
      <c r="A6278" t="inlineStr">
        <is>
          <t>A 6823-2023</t>
        </is>
      </c>
      <c r="B6278" s="1" t="n">
        <v>44963</v>
      </c>
      <c r="C6278" s="1" t="n">
        <v>45212</v>
      </c>
      <c r="D6278" t="inlineStr">
        <is>
          <t>VÄSTERNORRLANDS LÄN</t>
        </is>
      </c>
      <c r="E6278" t="inlineStr">
        <is>
          <t>ÖRNSKÖLDSVIK</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5949-2023</t>
        </is>
      </c>
      <c r="B6279" s="1" t="n">
        <v>44963</v>
      </c>
      <c r="C6279" s="1" t="n">
        <v>45212</v>
      </c>
      <c r="D6279" t="inlineStr">
        <is>
          <t>VÄSTERNORRLANDS LÄN</t>
        </is>
      </c>
      <c r="E6279" t="inlineStr">
        <is>
          <t>SUNDSVALL</t>
        </is>
      </c>
      <c r="F6279" t="inlineStr">
        <is>
          <t>SCA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5957-2023</t>
        </is>
      </c>
      <c r="B6280" s="1" t="n">
        <v>44963</v>
      </c>
      <c r="C6280" s="1" t="n">
        <v>45212</v>
      </c>
      <c r="D6280" t="inlineStr">
        <is>
          <t>VÄSTERNORRLANDS LÄN</t>
        </is>
      </c>
      <c r="E6280" t="inlineStr">
        <is>
          <t>SUNDSVALL</t>
        </is>
      </c>
      <c r="F6280" t="inlineStr">
        <is>
          <t>SCA</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6575-2023</t>
        </is>
      </c>
      <c r="B6281" s="1" t="n">
        <v>44963</v>
      </c>
      <c r="C6281" s="1" t="n">
        <v>45212</v>
      </c>
      <c r="D6281" t="inlineStr">
        <is>
          <t>VÄSTERNORRLANDS LÄN</t>
        </is>
      </c>
      <c r="E6281" t="inlineStr">
        <is>
          <t>ÖRNSKÖLDSVIK</t>
        </is>
      </c>
      <c r="G6281" t="n">
        <v>5.2</v>
      </c>
      <c r="H6281" t="n">
        <v>0</v>
      </c>
      <c r="I6281" t="n">
        <v>0</v>
      </c>
      <c r="J6281" t="n">
        <v>0</v>
      </c>
      <c r="K6281" t="n">
        <v>0</v>
      </c>
      <c r="L6281" t="n">
        <v>0</v>
      </c>
      <c r="M6281" t="n">
        <v>0</v>
      </c>
      <c r="N6281" t="n">
        <v>0</v>
      </c>
      <c r="O6281" t="n">
        <v>0</v>
      </c>
      <c r="P6281" t="n">
        <v>0</v>
      </c>
      <c r="Q6281" t="n">
        <v>0</v>
      </c>
      <c r="R6281" s="2" t="inlineStr"/>
    </row>
    <row r="6282" ht="15" customHeight="1">
      <c r="A6282" t="inlineStr">
        <is>
          <t>A 5948-2023</t>
        </is>
      </c>
      <c r="B6282" s="1" t="n">
        <v>44963</v>
      </c>
      <c r="C6282" s="1" t="n">
        <v>45212</v>
      </c>
      <c r="D6282" t="inlineStr">
        <is>
          <t>VÄSTERNORRLANDS LÄN</t>
        </is>
      </c>
      <c r="E6282" t="inlineStr">
        <is>
          <t>SUNDSVALL</t>
        </is>
      </c>
      <c r="F6282" t="inlineStr">
        <is>
          <t>SCA</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6131-2023</t>
        </is>
      </c>
      <c r="B6283" s="1" t="n">
        <v>44964</v>
      </c>
      <c r="C6283" s="1" t="n">
        <v>45212</v>
      </c>
      <c r="D6283" t="inlineStr">
        <is>
          <t>VÄSTERNORRLANDS LÄN</t>
        </is>
      </c>
      <c r="E6283" t="inlineStr">
        <is>
          <t>ÖRNSKÖLDSVIK</t>
        </is>
      </c>
      <c r="G6283" t="n">
        <v>9.300000000000001</v>
      </c>
      <c r="H6283" t="n">
        <v>0</v>
      </c>
      <c r="I6283" t="n">
        <v>0</v>
      </c>
      <c r="J6283" t="n">
        <v>0</v>
      </c>
      <c r="K6283" t="n">
        <v>0</v>
      </c>
      <c r="L6283" t="n">
        <v>0</v>
      </c>
      <c r="M6283" t="n">
        <v>0</v>
      </c>
      <c r="N6283" t="n">
        <v>0</v>
      </c>
      <c r="O6283" t="n">
        <v>0</v>
      </c>
      <c r="P6283" t="n">
        <v>0</v>
      </c>
      <c r="Q6283" t="n">
        <v>0</v>
      </c>
      <c r="R6283" s="2" t="inlineStr"/>
    </row>
    <row r="6284" ht="15" customHeight="1">
      <c r="A6284" t="inlineStr">
        <is>
          <t>A 6179-2023</t>
        </is>
      </c>
      <c r="B6284" s="1" t="n">
        <v>44964</v>
      </c>
      <c r="C6284" s="1" t="n">
        <v>45212</v>
      </c>
      <c r="D6284" t="inlineStr">
        <is>
          <t>VÄSTERNORRLANDS LÄN</t>
        </is>
      </c>
      <c r="E6284" t="inlineStr">
        <is>
          <t>ÅNGE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6236-2023</t>
        </is>
      </c>
      <c r="B6285" s="1" t="n">
        <v>44964</v>
      </c>
      <c r="C6285" s="1" t="n">
        <v>45212</v>
      </c>
      <c r="D6285" t="inlineStr">
        <is>
          <t>VÄSTERNORRLANDS LÄN</t>
        </is>
      </c>
      <c r="E6285" t="inlineStr">
        <is>
          <t>SOLLEFTEÅ</t>
        </is>
      </c>
      <c r="F6285" t="inlineStr">
        <is>
          <t>SCA</t>
        </is>
      </c>
      <c r="G6285" t="n">
        <v>0.1</v>
      </c>
      <c r="H6285" t="n">
        <v>0</v>
      </c>
      <c r="I6285" t="n">
        <v>0</v>
      </c>
      <c r="J6285" t="n">
        <v>0</v>
      </c>
      <c r="K6285" t="n">
        <v>0</v>
      </c>
      <c r="L6285" t="n">
        <v>0</v>
      </c>
      <c r="M6285" t="n">
        <v>0</v>
      </c>
      <c r="N6285" t="n">
        <v>0</v>
      </c>
      <c r="O6285" t="n">
        <v>0</v>
      </c>
      <c r="P6285" t="n">
        <v>0</v>
      </c>
      <c r="Q6285" t="n">
        <v>0</v>
      </c>
      <c r="R6285" s="2" t="inlineStr"/>
    </row>
    <row r="6286" ht="15" customHeight="1">
      <c r="A6286" t="inlineStr">
        <is>
          <t>A 6186-2023</t>
        </is>
      </c>
      <c r="B6286" s="1" t="n">
        <v>44964</v>
      </c>
      <c r="C6286" s="1" t="n">
        <v>45212</v>
      </c>
      <c r="D6286" t="inlineStr">
        <is>
          <t>VÄSTERNORRLANDS LÄN</t>
        </is>
      </c>
      <c r="E6286" t="inlineStr">
        <is>
          <t>ÅNGE</t>
        </is>
      </c>
      <c r="G6286" t="n">
        <v>2</v>
      </c>
      <c r="H6286" t="n">
        <v>0</v>
      </c>
      <c r="I6286" t="n">
        <v>0</v>
      </c>
      <c r="J6286" t="n">
        <v>0</v>
      </c>
      <c r="K6286" t="n">
        <v>0</v>
      </c>
      <c r="L6286" t="n">
        <v>0</v>
      </c>
      <c r="M6286" t="n">
        <v>0</v>
      </c>
      <c r="N6286" t="n">
        <v>0</v>
      </c>
      <c r="O6286" t="n">
        <v>0</v>
      </c>
      <c r="P6286" t="n">
        <v>0</v>
      </c>
      <c r="Q6286" t="n">
        <v>0</v>
      </c>
      <c r="R6286" s="2" t="inlineStr"/>
    </row>
    <row r="6287" ht="15" customHeight="1">
      <c r="A6287" t="inlineStr">
        <is>
          <t>A 6235-2023</t>
        </is>
      </c>
      <c r="B6287" s="1" t="n">
        <v>44964</v>
      </c>
      <c r="C6287" s="1" t="n">
        <v>45212</v>
      </c>
      <c r="D6287" t="inlineStr">
        <is>
          <t>VÄSTERNORRLANDS LÄN</t>
        </is>
      </c>
      <c r="E6287" t="inlineStr">
        <is>
          <t>SOLLEFTEÅ</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6009-2023</t>
        </is>
      </c>
      <c r="B6288" s="1" t="n">
        <v>44964</v>
      </c>
      <c r="C6288" s="1" t="n">
        <v>45212</v>
      </c>
      <c r="D6288" t="inlineStr">
        <is>
          <t>VÄSTERNORRLANDS LÄN</t>
        </is>
      </c>
      <c r="E6288" t="inlineStr">
        <is>
          <t>ÖRNSKÖLDSVIK</t>
        </is>
      </c>
      <c r="F6288" t="inlineStr">
        <is>
          <t>Holmen skog AB</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6136-2023</t>
        </is>
      </c>
      <c r="B6289" s="1" t="n">
        <v>44964</v>
      </c>
      <c r="C6289" s="1" t="n">
        <v>45212</v>
      </c>
      <c r="D6289" t="inlineStr">
        <is>
          <t>VÄSTERNORRLANDS LÄN</t>
        </is>
      </c>
      <c r="E6289" t="inlineStr">
        <is>
          <t>KRAMFORS</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6228-2023</t>
        </is>
      </c>
      <c r="B6290" s="1" t="n">
        <v>44964</v>
      </c>
      <c r="C6290" s="1" t="n">
        <v>45212</v>
      </c>
      <c r="D6290" t="inlineStr">
        <is>
          <t>VÄSTERNORRLANDS LÄN</t>
        </is>
      </c>
      <c r="E6290" t="inlineStr">
        <is>
          <t>SUNDSVALL</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6446-2023</t>
        </is>
      </c>
      <c r="B6291" s="1" t="n">
        <v>44965</v>
      </c>
      <c r="C6291" s="1" t="n">
        <v>45212</v>
      </c>
      <c r="D6291" t="inlineStr">
        <is>
          <t>VÄSTERNORRLANDS LÄN</t>
        </is>
      </c>
      <c r="E6291" t="inlineStr">
        <is>
          <t>KRAMFORS</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6448-2023</t>
        </is>
      </c>
      <c r="B6292" s="1" t="n">
        <v>44965</v>
      </c>
      <c r="C6292" s="1" t="n">
        <v>45212</v>
      </c>
      <c r="D6292" t="inlineStr">
        <is>
          <t>VÄSTERNORRLANDS LÄN</t>
        </is>
      </c>
      <c r="E6292" t="inlineStr">
        <is>
          <t>KRAMFORS</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6461-2023</t>
        </is>
      </c>
      <c r="B6293" s="1" t="n">
        <v>44965</v>
      </c>
      <c r="C6293" s="1" t="n">
        <v>45212</v>
      </c>
      <c r="D6293" t="inlineStr">
        <is>
          <t>VÄSTERNORRLANDS LÄN</t>
        </is>
      </c>
      <c r="E6293" t="inlineStr">
        <is>
          <t>SUNDSVALL</t>
        </is>
      </c>
      <c r="F6293" t="inlineStr">
        <is>
          <t>SCA</t>
        </is>
      </c>
      <c r="G6293" t="n">
        <v>7.9</v>
      </c>
      <c r="H6293" t="n">
        <v>0</v>
      </c>
      <c r="I6293" t="n">
        <v>0</v>
      </c>
      <c r="J6293" t="n">
        <v>0</v>
      </c>
      <c r="K6293" t="n">
        <v>0</v>
      </c>
      <c r="L6293" t="n">
        <v>0</v>
      </c>
      <c r="M6293" t="n">
        <v>0</v>
      </c>
      <c r="N6293" t="n">
        <v>0</v>
      </c>
      <c r="O6293" t="n">
        <v>0</v>
      </c>
      <c r="P6293" t="n">
        <v>0</v>
      </c>
      <c r="Q6293" t="n">
        <v>0</v>
      </c>
      <c r="R6293" s="2" t="inlineStr"/>
    </row>
    <row r="6294" ht="15" customHeight="1">
      <c r="A6294" t="inlineStr">
        <is>
          <t>A 6471-2023</t>
        </is>
      </c>
      <c r="B6294" s="1" t="n">
        <v>44965</v>
      </c>
      <c r="C6294" s="1" t="n">
        <v>45212</v>
      </c>
      <c r="D6294" t="inlineStr">
        <is>
          <t>VÄSTERNORRLANDS LÄN</t>
        </is>
      </c>
      <c r="E6294" t="inlineStr">
        <is>
          <t>SUNDSVALL</t>
        </is>
      </c>
      <c r="F6294" t="inlineStr">
        <is>
          <t>SCA</t>
        </is>
      </c>
      <c r="G6294" t="n">
        <v>2.9</v>
      </c>
      <c r="H6294" t="n">
        <v>0</v>
      </c>
      <c r="I6294" t="n">
        <v>0</v>
      </c>
      <c r="J6294" t="n">
        <v>0</v>
      </c>
      <c r="K6294" t="n">
        <v>0</v>
      </c>
      <c r="L6294" t="n">
        <v>0</v>
      </c>
      <c r="M6294" t="n">
        <v>0</v>
      </c>
      <c r="N6294" t="n">
        <v>0</v>
      </c>
      <c r="O6294" t="n">
        <v>0</v>
      </c>
      <c r="P6294" t="n">
        <v>0</v>
      </c>
      <c r="Q6294" t="n">
        <v>0</v>
      </c>
      <c r="R6294" s="2" t="inlineStr"/>
    </row>
    <row r="6295" ht="15" customHeight="1">
      <c r="A6295" t="inlineStr">
        <is>
          <t>A 6440-2023</t>
        </is>
      </c>
      <c r="B6295" s="1" t="n">
        <v>44965</v>
      </c>
      <c r="C6295" s="1" t="n">
        <v>45212</v>
      </c>
      <c r="D6295" t="inlineStr">
        <is>
          <t>VÄSTERNORRLANDS LÄN</t>
        </is>
      </c>
      <c r="E6295" t="inlineStr">
        <is>
          <t>KRAMFORS</t>
        </is>
      </c>
      <c r="G6295" t="n">
        <v>23.8</v>
      </c>
      <c r="H6295" t="n">
        <v>0</v>
      </c>
      <c r="I6295" t="n">
        <v>0</v>
      </c>
      <c r="J6295" t="n">
        <v>0</v>
      </c>
      <c r="K6295" t="n">
        <v>0</v>
      </c>
      <c r="L6295" t="n">
        <v>0</v>
      </c>
      <c r="M6295" t="n">
        <v>0</v>
      </c>
      <c r="N6295" t="n">
        <v>0</v>
      </c>
      <c r="O6295" t="n">
        <v>0</v>
      </c>
      <c r="P6295" t="n">
        <v>0</v>
      </c>
      <c r="Q6295" t="n">
        <v>0</v>
      </c>
      <c r="R6295" s="2" t="inlineStr"/>
    </row>
    <row r="6296" ht="15" customHeight="1">
      <c r="A6296" t="inlineStr">
        <is>
          <t>A 6447-2023</t>
        </is>
      </c>
      <c r="B6296" s="1" t="n">
        <v>44965</v>
      </c>
      <c r="C6296" s="1" t="n">
        <v>45212</v>
      </c>
      <c r="D6296" t="inlineStr">
        <is>
          <t>VÄSTERNORRLANDS LÄN</t>
        </is>
      </c>
      <c r="E6296" t="inlineStr">
        <is>
          <t>KRAMFORS</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6460-2023</t>
        </is>
      </c>
      <c r="B6297" s="1" t="n">
        <v>44965</v>
      </c>
      <c r="C6297" s="1" t="n">
        <v>45212</v>
      </c>
      <c r="D6297" t="inlineStr">
        <is>
          <t>VÄSTERNORRLANDS LÄN</t>
        </is>
      </c>
      <c r="E6297" t="inlineStr">
        <is>
          <t>SUNDSVALL</t>
        </is>
      </c>
      <c r="F6297" t="inlineStr">
        <is>
          <t>SCA</t>
        </is>
      </c>
      <c r="G6297" t="n">
        <v>3.2</v>
      </c>
      <c r="H6297" t="n">
        <v>0</v>
      </c>
      <c r="I6297" t="n">
        <v>0</v>
      </c>
      <c r="J6297" t="n">
        <v>0</v>
      </c>
      <c r="K6297" t="n">
        <v>0</v>
      </c>
      <c r="L6297" t="n">
        <v>0</v>
      </c>
      <c r="M6297" t="n">
        <v>0</v>
      </c>
      <c r="N6297" t="n">
        <v>0</v>
      </c>
      <c r="O6297" t="n">
        <v>0</v>
      </c>
      <c r="P6297" t="n">
        <v>0</v>
      </c>
      <c r="Q6297" t="n">
        <v>0</v>
      </c>
      <c r="R6297" s="2" t="inlineStr"/>
    </row>
    <row r="6298" ht="15" customHeight="1">
      <c r="A6298" t="inlineStr">
        <is>
          <t>A 6468-2023</t>
        </is>
      </c>
      <c r="B6298" s="1" t="n">
        <v>44965</v>
      </c>
      <c r="C6298" s="1" t="n">
        <v>45212</v>
      </c>
      <c r="D6298" t="inlineStr">
        <is>
          <t>VÄSTERNORRLANDS LÄN</t>
        </is>
      </c>
      <c r="E6298" t="inlineStr">
        <is>
          <t>SUNDSVALL</t>
        </is>
      </c>
      <c r="F6298" t="inlineStr">
        <is>
          <t>SCA</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6445-2023</t>
        </is>
      </c>
      <c r="B6299" s="1" t="n">
        <v>44965</v>
      </c>
      <c r="C6299" s="1" t="n">
        <v>45212</v>
      </c>
      <c r="D6299" t="inlineStr">
        <is>
          <t>VÄSTERNORRLANDS LÄN</t>
        </is>
      </c>
      <c r="E6299" t="inlineStr">
        <is>
          <t>KRAMFORS</t>
        </is>
      </c>
      <c r="G6299" t="n">
        <v>5.2</v>
      </c>
      <c r="H6299" t="n">
        <v>0</v>
      </c>
      <c r="I6299" t="n">
        <v>0</v>
      </c>
      <c r="J6299" t="n">
        <v>0</v>
      </c>
      <c r="K6299" t="n">
        <v>0</v>
      </c>
      <c r="L6299" t="n">
        <v>0</v>
      </c>
      <c r="M6299" t="n">
        <v>0</v>
      </c>
      <c r="N6299" t="n">
        <v>0</v>
      </c>
      <c r="O6299" t="n">
        <v>0</v>
      </c>
      <c r="P6299" t="n">
        <v>0</v>
      </c>
      <c r="Q6299" t="n">
        <v>0</v>
      </c>
      <c r="R6299" s="2" t="inlineStr"/>
    </row>
    <row r="6300" ht="15" customHeight="1">
      <c r="A6300" t="inlineStr">
        <is>
          <t>A 6472-2023</t>
        </is>
      </c>
      <c r="B6300" s="1" t="n">
        <v>44965</v>
      </c>
      <c r="C6300" s="1" t="n">
        <v>45212</v>
      </c>
      <c r="D6300" t="inlineStr">
        <is>
          <t>VÄSTERNORRLANDS LÄN</t>
        </is>
      </c>
      <c r="E6300" t="inlineStr">
        <is>
          <t>SUNDSVALL</t>
        </is>
      </c>
      <c r="F6300" t="inlineStr">
        <is>
          <t>SCA</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7147-2023</t>
        </is>
      </c>
      <c r="B6301" s="1" t="n">
        <v>44965</v>
      </c>
      <c r="C6301" s="1" t="n">
        <v>45212</v>
      </c>
      <c r="D6301" t="inlineStr">
        <is>
          <t>VÄSTERNORRLANDS LÄN</t>
        </is>
      </c>
      <c r="E6301" t="inlineStr">
        <is>
          <t>ÖRNSKÖLDSVIK</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6787-2023</t>
        </is>
      </c>
      <c r="B6302" s="1" t="n">
        <v>44966</v>
      </c>
      <c r="C6302" s="1" t="n">
        <v>45212</v>
      </c>
      <c r="D6302" t="inlineStr">
        <is>
          <t>VÄSTERNORRLANDS LÄN</t>
        </is>
      </c>
      <c r="E6302" t="inlineStr">
        <is>
          <t>ÅNGE</t>
        </is>
      </c>
      <c r="F6302" t="inlineStr">
        <is>
          <t>SCA</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6791-2023</t>
        </is>
      </c>
      <c r="B6303" s="1" t="n">
        <v>44966</v>
      </c>
      <c r="C6303" s="1" t="n">
        <v>45212</v>
      </c>
      <c r="D6303" t="inlineStr">
        <is>
          <t>VÄSTERNORRLANDS LÄN</t>
        </is>
      </c>
      <c r="E6303" t="inlineStr">
        <is>
          <t>ÅNGE</t>
        </is>
      </c>
      <c r="F6303" t="inlineStr">
        <is>
          <t>SCA</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6772-2023</t>
        </is>
      </c>
      <c r="B6304" s="1" t="n">
        <v>44966</v>
      </c>
      <c r="C6304" s="1" t="n">
        <v>45212</v>
      </c>
      <c r="D6304" t="inlineStr">
        <is>
          <t>VÄSTERNORRLANDS LÄN</t>
        </is>
      </c>
      <c r="E6304" t="inlineStr">
        <is>
          <t>TIMRÅ</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6790-2023</t>
        </is>
      </c>
      <c r="B6305" s="1" t="n">
        <v>44966</v>
      </c>
      <c r="C6305" s="1" t="n">
        <v>45212</v>
      </c>
      <c r="D6305" t="inlineStr">
        <is>
          <t>VÄSTERNORRLANDS LÄN</t>
        </is>
      </c>
      <c r="E6305" t="inlineStr">
        <is>
          <t>ÅNGE</t>
        </is>
      </c>
      <c r="F6305" t="inlineStr">
        <is>
          <t>SCA</t>
        </is>
      </c>
      <c r="G6305" t="n">
        <v>36</v>
      </c>
      <c r="H6305" t="n">
        <v>0</v>
      </c>
      <c r="I6305" t="n">
        <v>0</v>
      </c>
      <c r="J6305" t="n">
        <v>0</v>
      </c>
      <c r="K6305" t="n">
        <v>0</v>
      </c>
      <c r="L6305" t="n">
        <v>0</v>
      </c>
      <c r="M6305" t="n">
        <v>0</v>
      </c>
      <c r="N6305" t="n">
        <v>0</v>
      </c>
      <c r="O6305" t="n">
        <v>0</v>
      </c>
      <c r="P6305" t="n">
        <v>0</v>
      </c>
      <c r="Q6305" t="n">
        <v>0</v>
      </c>
      <c r="R6305" s="2" t="inlineStr"/>
    </row>
    <row r="6306" ht="15" customHeight="1">
      <c r="A6306" t="inlineStr">
        <is>
          <t>A 7239-2023</t>
        </is>
      </c>
      <c r="B6306" s="1" t="n">
        <v>44966</v>
      </c>
      <c r="C6306" s="1" t="n">
        <v>45212</v>
      </c>
      <c r="D6306" t="inlineStr">
        <is>
          <t>VÄSTERNORRLANDS LÄN</t>
        </is>
      </c>
      <c r="E6306" t="inlineStr">
        <is>
          <t>ÖRNSKÖLDSVIK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6770-2023</t>
        </is>
      </c>
      <c r="B6307" s="1" t="n">
        <v>44966</v>
      </c>
      <c r="C6307" s="1" t="n">
        <v>45212</v>
      </c>
      <c r="D6307" t="inlineStr">
        <is>
          <t>VÄSTERNORRLANDS LÄN</t>
        </is>
      </c>
      <c r="E6307" t="inlineStr">
        <is>
          <t>TIMRÅ</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6788-2023</t>
        </is>
      </c>
      <c r="B6308" s="1" t="n">
        <v>44966</v>
      </c>
      <c r="C6308" s="1" t="n">
        <v>45212</v>
      </c>
      <c r="D6308" t="inlineStr">
        <is>
          <t>VÄSTERNORRLANDS LÄN</t>
        </is>
      </c>
      <c r="E6308" t="inlineStr">
        <is>
          <t>ÅNGE</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6793-2023</t>
        </is>
      </c>
      <c r="B6309" s="1" t="n">
        <v>44966</v>
      </c>
      <c r="C6309" s="1" t="n">
        <v>45212</v>
      </c>
      <c r="D6309" t="inlineStr">
        <is>
          <t>VÄSTERNORRLANDS LÄN</t>
        </is>
      </c>
      <c r="E6309" t="inlineStr">
        <is>
          <t>ÅNGE</t>
        </is>
      </c>
      <c r="F6309" t="inlineStr">
        <is>
          <t>SCA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6771-2023</t>
        </is>
      </c>
      <c r="B6310" s="1" t="n">
        <v>44966</v>
      </c>
      <c r="C6310" s="1" t="n">
        <v>45212</v>
      </c>
      <c r="D6310" t="inlineStr">
        <is>
          <t>VÄSTERNORRLANDS LÄN</t>
        </is>
      </c>
      <c r="E6310" t="inlineStr">
        <is>
          <t>TIMRÅ</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6789-2023</t>
        </is>
      </c>
      <c r="B6311" s="1" t="n">
        <v>44966</v>
      </c>
      <c r="C6311" s="1" t="n">
        <v>45212</v>
      </c>
      <c r="D6311" t="inlineStr">
        <is>
          <t>VÄSTERNORRLANDS LÄN</t>
        </is>
      </c>
      <c r="E6311" t="inlineStr">
        <is>
          <t>ÅNGE</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7558-2023</t>
        </is>
      </c>
      <c r="B6312" s="1" t="n">
        <v>44967</v>
      </c>
      <c r="C6312" s="1" t="n">
        <v>45212</v>
      </c>
      <c r="D6312" t="inlineStr">
        <is>
          <t>VÄSTERNORRLANDS LÄN</t>
        </is>
      </c>
      <c r="E6312" t="inlineStr">
        <is>
          <t>SUNDSVALL</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7566-2023</t>
        </is>
      </c>
      <c r="B6313" s="1" t="n">
        <v>44967</v>
      </c>
      <c r="C6313" s="1" t="n">
        <v>45212</v>
      </c>
      <c r="D6313" t="inlineStr">
        <is>
          <t>VÄSTERNORRLANDS LÄN</t>
        </is>
      </c>
      <c r="E6313" t="inlineStr">
        <is>
          <t>SUNDSVALL</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7018-2023</t>
        </is>
      </c>
      <c r="B6314" s="1" t="n">
        <v>44967</v>
      </c>
      <c r="C6314" s="1" t="n">
        <v>45212</v>
      </c>
      <c r="D6314" t="inlineStr">
        <is>
          <t>VÄSTERNORRLANDS LÄN</t>
        </is>
      </c>
      <c r="E6314" t="inlineStr">
        <is>
          <t>KRAMFORS</t>
        </is>
      </c>
      <c r="F6314" t="inlineStr">
        <is>
          <t>SCA</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7324-2023</t>
        </is>
      </c>
      <c r="B6315" s="1" t="n">
        <v>44970</v>
      </c>
      <c r="C6315" s="1" t="n">
        <v>45212</v>
      </c>
      <c r="D6315" t="inlineStr">
        <is>
          <t>VÄSTERNORRLANDS LÄN</t>
        </is>
      </c>
      <c r="E6315" t="inlineStr">
        <is>
          <t>SOLLEFTEÅ</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7332-2023</t>
        </is>
      </c>
      <c r="B6316" s="1" t="n">
        <v>44970</v>
      </c>
      <c r="C6316" s="1" t="n">
        <v>45212</v>
      </c>
      <c r="D6316" t="inlineStr">
        <is>
          <t>VÄSTERNORRLANDS LÄN</t>
        </is>
      </c>
      <c r="E6316" t="inlineStr">
        <is>
          <t>SOLLEFTEÅ</t>
        </is>
      </c>
      <c r="F6316" t="inlineStr">
        <is>
          <t>SCA</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7320-2023</t>
        </is>
      </c>
      <c r="B6317" s="1" t="n">
        <v>44970</v>
      </c>
      <c r="C6317" s="1" t="n">
        <v>45212</v>
      </c>
      <c r="D6317" t="inlineStr">
        <is>
          <t>VÄSTERNORRLANDS LÄN</t>
        </is>
      </c>
      <c r="E6317" t="inlineStr">
        <is>
          <t>KRAMFORS</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7325-2023</t>
        </is>
      </c>
      <c r="B6318" s="1" t="n">
        <v>44970</v>
      </c>
      <c r="C6318" s="1" t="n">
        <v>45212</v>
      </c>
      <c r="D6318" t="inlineStr">
        <is>
          <t>VÄSTERNORRLANDS LÄN</t>
        </is>
      </c>
      <c r="E6318" t="inlineStr">
        <is>
          <t>SOLLEFTEÅ</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7331-2023</t>
        </is>
      </c>
      <c r="B6319" s="1" t="n">
        <v>44970</v>
      </c>
      <c r="C6319" s="1" t="n">
        <v>45212</v>
      </c>
      <c r="D6319" t="inlineStr">
        <is>
          <t>VÄSTERNORRLANDS LÄN</t>
        </is>
      </c>
      <c r="E6319" t="inlineStr">
        <is>
          <t>SOLLEFTEÅ</t>
        </is>
      </c>
      <c r="F6319" t="inlineStr">
        <is>
          <t>SCA</t>
        </is>
      </c>
      <c r="G6319" t="n">
        <v>7.3</v>
      </c>
      <c r="H6319" t="n">
        <v>0</v>
      </c>
      <c r="I6319" t="n">
        <v>0</v>
      </c>
      <c r="J6319" t="n">
        <v>0</v>
      </c>
      <c r="K6319" t="n">
        <v>0</v>
      </c>
      <c r="L6319" t="n">
        <v>0</v>
      </c>
      <c r="M6319" t="n">
        <v>0</v>
      </c>
      <c r="N6319" t="n">
        <v>0</v>
      </c>
      <c r="O6319" t="n">
        <v>0</v>
      </c>
      <c r="P6319" t="n">
        <v>0</v>
      </c>
      <c r="Q6319" t="n">
        <v>0</v>
      </c>
      <c r="R6319" s="2" t="inlineStr"/>
    </row>
    <row r="6320" ht="15" customHeight="1">
      <c r="A6320" t="inlineStr">
        <is>
          <t>A 7532-2023</t>
        </is>
      </c>
      <c r="B6320" s="1" t="n">
        <v>44971</v>
      </c>
      <c r="C6320" s="1" t="n">
        <v>45212</v>
      </c>
      <c r="D6320" t="inlineStr">
        <is>
          <t>VÄSTERNORRLANDS LÄN</t>
        </is>
      </c>
      <c r="E6320" t="inlineStr">
        <is>
          <t>ÅNGE</t>
        </is>
      </c>
      <c r="F6320" t="inlineStr">
        <is>
          <t>SCA</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7536-2023</t>
        </is>
      </c>
      <c r="B6321" s="1" t="n">
        <v>44971</v>
      </c>
      <c r="C6321" s="1" t="n">
        <v>45212</v>
      </c>
      <c r="D6321" t="inlineStr">
        <is>
          <t>VÄSTERNORRLANDS LÄN</t>
        </is>
      </c>
      <c r="E6321" t="inlineStr">
        <is>
          <t>HÄRNÖSAND</t>
        </is>
      </c>
      <c r="F6321" t="inlineStr">
        <is>
          <t>SCA</t>
        </is>
      </c>
      <c r="G6321" t="n">
        <v>3.5</v>
      </c>
      <c r="H6321" t="n">
        <v>0</v>
      </c>
      <c r="I6321" t="n">
        <v>0</v>
      </c>
      <c r="J6321" t="n">
        <v>0</v>
      </c>
      <c r="K6321" t="n">
        <v>0</v>
      </c>
      <c r="L6321" t="n">
        <v>0</v>
      </c>
      <c r="M6321" t="n">
        <v>0</v>
      </c>
      <c r="N6321" t="n">
        <v>0</v>
      </c>
      <c r="O6321" t="n">
        <v>0</v>
      </c>
      <c r="P6321" t="n">
        <v>0</v>
      </c>
      <c r="Q6321" t="n">
        <v>0</v>
      </c>
      <c r="R6321" s="2" t="inlineStr"/>
    </row>
    <row r="6322" ht="15" customHeight="1">
      <c r="A6322" t="inlineStr">
        <is>
          <t>A 8217-2023</t>
        </is>
      </c>
      <c r="B6322" s="1" t="n">
        <v>44971</v>
      </c>
      <c r="C6322" s="1" t="n">
        <v>45212</v>
      </c>
      <c r="D6322" t="inlineStr">
        <is>
          <t>VÄSTERNORRLANDS LÄN</t>
        </is>
      </c>
      <c r="E6322" t="inlineStr">
        <is>
          <t>ÖRNSKÖLDSVIK</t>
        </is>
      </c>
      <c r="G6322" t="n">
        <v>4.2</v>
      </c>
      <c r="H6322" t="n">
        <v>0</v>
      </c>
      <c r="I6322" t="n">
        <v>0</v>
      </c>
      <c r="J6322" t="n">
        <v>0</v>
      </c>
      <c r="K6322" t="n">
        <v>0</v>
      </c>
      <c r="L6322" t="n">
        <v>0</v>
      </c>
      <c r="M6322" t="n">
        <v>0</v>
      </c>
      <c r="N6322" t="n">
        <v>0</v>
      </c>
      <c r="O6322" t="n">
        <v>0</v>
      </c>
      <c r="P6322" t="n">
        <v>0</v>
      </c>
      <c r="Q6322" t="n">
        <v>0</v>
      </c>
      <c r="R6322" s="2" t="inlineStr"/>
    </row>
    <row r="6323" ht="15" customHeight="1">
      <c r="A6323" t="inlineStr">
        <is>
          <t>A 8406-2023</t>
        </is>
      </c>
      <c r="B6323" s="1" t="n">
        <v>44971</v>
      </c>
      <c r="C6323" s="1" t="n">
        <v>45212</v>
      </c>
      <c r="D6323" t="inlineStr">
        <is>
          <t>VÄSTERNORRLANDS LÄN</t>
        </is>
      </c>
      <c r="E6323" t="inlineStr">
        <is>
          <t>ÅNGE</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7362-2023</t>
        </is>
      </c>
      <c r="B6324" s="1" t="n">
        <v>44971</v>
      </c>
      <c r="C6324" s="1" t="n">
        <v>45212</v>
      </c>
      <c r="D6324" t="inlineStr">
        <is>
          <t>VÄSTERNORRLANDS LÄN</t>
        </is>
      </c>
      <c r="E6324" t="inlineStr">
        <is>
          <t>SUNDSVALL</t>
        </is>
      </c>
      <c r="G6324" t="n">
        <v>11.1</v>
      </c>
      <c r="H6324" t="n">
        <v>0</v>
      </c>
      <c r="I6324" t="n">
        <v>0</v>
      </c>
      <c r="J6324" t="n">
        <v>0</v>
      </c>
      <c r="K6324" t="n">
        <v>0</v>
      </c>
      <c r="L6324" t="n">
        <v>0</v>
      </c>
      <c r="M6324" t="n">
        <v>0</v>
      </c>
      <c r="N6324" t="n">
        <v>0</v>
      </c>
      <c r="O6324" t="n">
        <v>0</v>
      </c>
      <c r="P6324" t="n">
        <v>0</v>
      </c>
      <c r="Q6324" t="n">
        <v>0</v>
      </c>
      <c r="R6324" s="2" t="inlineStr"/>
    </row>
    <row r="6325" ht="15" customHeight="1">
      <c r="A6325" t="inlineStr">
        <is>
          <t>A 7515-2023</t>
        </is>
      </c>
      <c r="B6325" s="1" t="n">
        <v>44971</v>
      </c>
      <c r="C6325" s="1" t="n">
        <v>45212</v>
      </c>
      <c r="D6325" t="inlineStr">
        <is>
          <t>VÄSTERNORRLANDS LÄN</t>
        </is>
      </c>
      <c r="E6325" t="inlineStr">
        <is>
          <t>SUNDSVALL</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7534-2023</t>
        </is>
      </c>
      <c r="B6326" s="1" t="n">
        <v>44971</v>
      </c>
      <c r="C6326" s="1" t="n">
        <v>45212</v>
      </c>
      <c r="D6326" t="inlineStr">
        <is>
          <t>VÄSTERNORRLANDS LÄN</t>
        </is>
      </c>
      <c r="E6326" t="inlineStr">
        <is>
          <t>ÅNGE</t>
        </is>
      </c>
      <c r="F6326" t="inlineStr">
        <is>
          <t>SCA</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8227-2023</t>
        </is>
      </c>
      <c r="B6327" s="1" t="n">
        <v>44971</v>
      </c>
      <c r="C6327" s="1" t="n">
        <v>45212</v>
      </c>
      <c r="D6327" t="inlineStr">
        <is>
          <t>VÄSTERNORRLANDS LÄN</t>
        </is>
      </c>
      <c r="E6327" t="inlineStr">
        <is>
          <t>ÖRNSKÖLDSVIK</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7527-2023</t>
        </is>
      </c>
      <c r="B6328" s="1" t="n">
        <v>44971</v>
      </c>
      <c r="C6328" s="1" t="n">
        <v>45212</v>
      </c>
      <c r="D6328" t="inlineStr">
        <is>
          <t>VÄSTERNORRLANDS LÄN</t>
        </is>
      </c>
      <c r="E6328" t="inlineStr">
        <is>
          <t>ÅNGE</t>
        </is>
      </c>
      <c r="F6328" t="inlineStr">
        <is>
          <t>SCA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7535-2023</t>
        </is>
      </c>
      <c r="B6329" s="1" t="n">
        <v>44971</v>
      </c>
      <c r="C6329" s="1" t="n">
        <v>45212</v>
      </c>
      <c r="D6329" t="inlineStr">
        <is>
          <t>VÄSTERNORRLANDS LÄN</t>
        </is>
      </c>
      <c r="E6329" t="inlineStr">
        <is>
          <t>ÅNGE</t>
        </is>
      </c>
      <c r="F6329" t="inlineStr">
        <is>
          <t>SCA</t>
        </is>
      </c>
      <c r="G6329" t="n">
        <v>14.6</v>
      </c>
      <c r="H6329" t="n">
        <v>0</v>
      </c>
      <c r="I6329" t="n">
        <v>0</v>
      </c>
      <c r="J6329" t="n">
        <v>0</v>
      </c>
      <c r="K6329" t="n">
        <v>0</v>
      </c>
      <c r="L6329" t="n">
        <v>0</v>
      </c>
      <c r="M6329" t="n">
        <v>0</v>
      </c>
      <c r="N6329" t="n">
        <v>0</v>
      </c>
      <c r="O6329" t="n">
        <v>0</v>
      </c>
      <c r="P6329" t="n">
        <v>0</v>
      </c>
      <c r="Q6329" t="n">
        <v>0</v>
      </c>
      <c r="R6329" s="2" t="inlineStr"/>
    </row>
    <row r="6330" ht="15" customHeight="1">
      <c r="A6330" t="inlineStr">
        <is>
          <t>A 8455-2023</t>
        </is>
      </c>
      <c r="B6330" s="1" t="n">
        <v>44971</v>
      </c>
      <c r="C6330" s="1" t="n">
        <v>45212</v>
      </c>
      <c r="D6330" t="inlineStr">
        <is>
          <t>VÄSTERNORRLANDS LÄN</t>
        </is>
      </c>
      <c r="E6330" t="inlineStr">
        <is>
          <t>KRAMFORS</t>
        </is>
      </c>
      <c r="G6330" t="n">
        <v>0.4</v>
      </c>
      <c r="H6330" t="n">
        <v>0</v>
      </c>
      <c r="I6330" t="n">
        <v>0</v>
      </c>
      <c r="J6330" t="n">
        <v>0</v>
      </c>
      <c r="K6330" t="n">
        <v>0</v>
      </c>
      <c r="L6330" t="n">
        <v>0</v>
      </c>
      <c r="M6330" t="n">
        <v>0</v>
      </c>
      <c r="N6330" t="n">
        <v>0</v>
      </c>
      <c r="O6330" t="n">
        <v>0</v>
      </c>
      <c r="P6330" t="n">
        <v>0</v>
      </c>
      <c r="Q6330" t="n">
        <v>0</v>
      </c>
      <c r="R6330" s="2" t="inlineStr"/>
    </row>
    <row r="6331" ht="15" customHeight="1">
      <c r="A6331" t="inlineStr">
        <is>
          <t>A 7513-2023</t>
        </is>
      </c>
      <c r="B6331" s="1" t="n">
        <v>44971</v>
      </c>
      <c r="C6331" s="1" t="n">
        <v>45212</v>
      </c>
      <c r="D6331" t="inlineStr">
        <is>
          <t>VÄSTERNORRLANDS LÄN</t>
        </is>
      </c>
      <c r="E6331" t="inlineStr">
        <is>
          <t>SUNDSVALL</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7522-2023</t>
        </is>
      </c>
      <c r="B6332" s="1" t="n">
        <v>44971</v>
      </c>
      <c r="C6332" s="1" t="n">
        <v>45212</v>
      </c>
      <c r="D6332" t="inlineStr">
        <is>
          <t>VÄSTERNORRLANDS LÄN</t>
        </is>
      </c>
      <c r="E6332" t="inlineStr">
        <is>
          <t>HÄRNÖSAND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8418-2023</t>
        </is>
      </c>
      <c r="B6333" s="1" t="n">
        <v>44971</v>
      </c>
      <c r="C6333" s="1" t="n">
        <v>45212</v>
      </c>
      <c r="D6333" t="inlineStr">
        <is>
          <t>VÄSTERNORRLANDS LÄN</t>
        </is>
      </c>
      <c r="E6333" t="inlineStr">
        <is>
          <t>ÅNGE</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7574-2023</t>
        </is>
      </c>
      <c r="B6334" s="1" t="n">
        <v>44972</v>
      </c>
      <c r="C6334" s="1" t="n">
        <v>45212</v>
      </c>
      <c r="D6334" t="inlineStr">
        <is>
          <t>VÄSTERNORRLANDS LÄN</t>
        </is>
      </c>
      <c r="E6334" t="inlineStr">
        <is>
          <t>ÖRNSKÖLDSVIK</t>
        </is>
      </c>
      <c r="G6334" t="n">
        <v>2.1</v>
      </c>
      <c r="H6334" t="n">
        <v>0</v>
      </c>
      <c r="I6334" t="n">
        <v>0</v>
      </c>
      <c r="J6334" t="n">
        <v>0</v>
      </c>
      <c r="K6334" t="n">
        <v>0</v>
      </c>
      <c r="L6334" t="n">
        <v>0</v>
      </c>
      <c r="M6334" t="n">
        <v>0</v>
      </c>
      <c r="N6334" t="n">
        <v>0</v>
      </c>
      <c r="O6334" t="n">
        <v>0</v>
      </c>
      <c r="P6334" t="n">
        <v>0</v>
      </c>
      <c r="Q6334" t="n">
        <v>0</v>
      </c>
      <c r="R6334" s="2" t="inlineStr"/>
    </row>
    <row r="6335" ht="15" customHeight="1">
      <c r="A6335" t="inlineStr">
        <is>
          <t>A 7723-2023</t>
        </is>
      </c>
      <c r="B6335" s="1" t="n">
        <v>44972</v>
      </c>
      <c r="C6335" s="1" t="n">
        <v>45212</v>
      </c>
      <c r="D6335" t="inlineStr">
        <is>
          <t>VÄSTERNORRLANDS LÄN</t>
        </is>
      </c>
      <c r="E6335" t="inlineStr">
        <is>
          <t>ÅNGE</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8749-2023</t>
        </is>
      </c>
      <c r="B6336" s="1" t="n">
        <v>44973</v>
      </c>
      <c r="C6336" s="1" t="n">
        <v>45212</v>
      </c>
      <c r="D6336" t="inlineStr">
        <is>
          <t>VÄSTERNORRLANDS LÄN</t>
        </is>
      </c>
      <c r="E6336" t="inlineStr">
        <is>
          <t>TIMRÅ</t>
        </is>
      </c>
      <c r="G6336" t="n">
        <v>5.5</v>
      </c>
      <c r="H6336" t="n">
        <v>0</v>
      </c>
      <c r="I6336" t="n">
        <v>0</v>
      </c>
      <c r="J6336" t="n">
        <v>0</v>
      </c>
      <c r="K6336" t="n">
        <v>0</v>
      </c>
      <c r="L6336" t="n">
        <v>0</v>
      </c>
      <c r="M6336" t="n">
        <v>0</v>
      </c>
      <c r="N6336" t="n">
        <v>0</v>
      </c>
      <c r="O6336" t="n">
        <v>0</v>
      </c>
      <c r="P6336" t="n">
        <v>0</v>
      </c>
      <c r="Q6336" t="n">
        <v>0</v>
      </c>
      <c r="R6336" s="2" t="inlineStr"/>
    </row>
    <row r="6337" ht="15" customHeight="1">
      <c r="A6337" t="inlineStr">
        <is>
          <t>A 7801-2023</t>
        </is>
      </c>
      <c r="B6337" s="1" t="n">
        <v>44973</v>
      </c>
      <c r="C6337" s="1" t="n">
        <v>45212</v>
      </c>
      <c r="D6337" t="inlineStr">
        <is>
          <t>VÄSTERNORRLANDS LÄN</t>
        </is>
      </c>
      <c r="E6337" t="inlineStr">
        <is>
          <t>ÖRNSKÖLDSVIK</t>
        </is>
      </c>
      <c r="G6337" t="n">
        <v>4.9</v>
      </c>
      <c r="H6337" t="n">
        <v>0</v>
      </c>
      <c r="I6337" t="n">
        <v>0</v>
      </c>
      <c r="J6337" t="n">
        <v>0</v>
      </c>
      <c r="K6337" t="n">
        <v>0</v>
      </c>
      <c r="L6337" t="n">
        <v>0</v>
      </c>
      <c r="M6337" t="n">
        <v>0</v>
      </c>
      <c r="N6337" t="n">
        <v>0</v>
      </c>
      <c r="O6337" t="n">
        <v>0</v>
      </c>
      <c r="P6337" t="n">
        <v>0</v>
      </c>
      <c r="Q6337" t="n">
        <v>0</v>
      </c>
      <c r="R6337" s="2" t="inlineStr"/>
    </row>
    <row r="6338" ht="15" customHeight="1">
      <c r="A6338" t="inlineStr">
        <is>
          <t>A 8023-2023</t>
        </is>
      </c>
      <c r="B6338" s="1" t="n">
        <v>44973</v>
      </c>
      <c r="C6338" s="1" t="n">
        <v>45212</v>
      </c>
      <c r="D6338" t="inlineStr">
        <is>
          <t>VÄSTERNORRLANDS LÄN</t>
        </is>
      </c>
      <c r="E6338" t="inlineStr">
        <is>
          <t>HÄRNÖSAND</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8959-2023</t>
        </is>
      </c>
      <c r="B6339" s="1" t="n">
        <v>44974</v>
      </c>
      <c r="C6339" s="1" t="n">
        <v>45212</v>
      </c>
      <c r="D6339" t="inlineStr">
        <is>
          <t>VÄSTERNORRLANDS LÄN</t>
        </is>
      </c>
      <c r="E6339" t="inlineStr">
        <is>
          <t>SOLLEFTEÅ</t>
        </is>
      </c>
      <c r="G6339" t="n">
        <v>2.3</v>
      </c>
      <c r="H6339" t="n">
        <v>0</v>
      </c>
      <c r="I6339" t="n">
        <v>0</v>
      </c>
      <c r="J6339" t="n">
        <v>0</v>
      </c>
      <c r="K6339" t="n">
        <v>0</v>
      </c>
      <c r="L6339" t="n">
        <v>0</v>
      </c>
      <c r="M6339" t="n">
        <v>0</v>
      </c>
      <c r="N6339" t="n">
        <v>0</v>
      </c>
      <c r="O6339" t="n">
        <v>0</v>
      </c>
      <c r="P6339" t="n">
        <v>0</v>
      </c>
      <c r="Q6339" t="n">
        <v>0</v>
      </c>
      <c r="R6339" s="2" t="inlineStr"/>
    </row>
    <row r="6340" ht="15" customHeight="1">
      <c r="A6340" t="inlineStr">
        <is>
          <t>A 8048-2023</t>
        </is>
      </c>
      <c r="B6340" s="1" t="n">
        <v>44974</v>
      </c>
      <c r="C6340" s="1" t="n">
        <v>45212</v>
      </c>
      <c r="D6340" t="inlineStr">
        <is>
          <t>VÄSTERNORRLANDS LÄN</t>
        </is>
      </c>
      <c r="E6340" t="inlineStr">
        <is>
          <t>ÖRNSKÖLDSVIK</t>
        </is>
      </c>
      <c r="F6340" t="inlineStr">
        <is>
          <t>Holmen skog AB</t>
        </is>
      </c>
      <c r="G6340" t="n">
        <v>6.7</v>
      </c>
      <c r="H6340" t="n">
        <v>0</v>
      </c>
      <c r="I6340" t="n">
        <v>0</v>
      </c>
      <c r="J6340" t="n">
        <v>0</v>
      </c>
      <c r="K6340" t="n">
        <v>0</v>
      </c>
      <c r="L6340" t="n">
        <v>0</v>
      </c>
      <c r="M6340" t="n">
        <v>0</v>
      </c>
      <c r="N6340" t="n">
        <v>0</v>
      </c>
      <c r="O6340" t="n">
        <v>0</v>
      </c>
      <c r="P6340" t="n">
        <v>0</v>
      </c>
      <c r="Q6340" t="n">
        <v>0</v>
      </c>
      <c r="R6340" s="2" t="inlineStr"/>
    </row>
    <row r="6341" ht="15" customHeight="1">
      <c r="A6341" t="inlineStr">
        <is>
          <t>A 8627-2023</t>
        </is>
      </c>
      <c r="B6341" s="1" t="n">
        <v>44977</v>
      </c>
      <c r="C6341" s="1" t="n">
        <v>45212</v>
      </c>
      <c r="D6341" t="inlineStr">
        <is>
          <t>VÄSTERNORRLANDS LÄN</t>
        </is>
      </c>
      <c r="E6341" t="inlineStr">
        <is>
          <t>ÅNGE</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9462-2023</t>
        </is>
      </c>
      <c r="B6342" s="1" t="n">
        <v>44977</v>
      </c>
      <c r="C6342" s="1" t="n">
        <v>45212</v>
      </c>
      <c r="D6342" t="inlineStr">
        <is>
          <t>VÄSTERNORRLANDS LÄN</t>
        </is>
      </c>
      <c r="E6342" t="inlineStr">
        <is>
          <t>ÖRNSKÖLDSVIK</t>
        </is>
      </c>
      <c r="G6342" t="n">
        <v>2.3</v>
      </c>
      <c r="H6342" t="n">
        <v>0</v>
      </c>
      <c r="I6342" t="n">
        <v>0</v>
      </c>
      <c r="J6342" t="n">
        <v>0</v>
      </c>
      <c r="K6342" t="n">
        <v>0</v>
      </c>
      <c r="L6342" t="n">
        <v>0</v>
      </c>
      <c r="M6342" t="n">
        <v>0</v>
      </c>
      <c r="N6342" t="n">
        <v>0</v>
      </c>
      <c r="O6342" t="n">
        <v>0</v>
      </c>
      <c r="P6342" t="n">
        <v>0</v>
      </c>
      <c r="Q6342" t="n">
        <v>0</v>
      </c>
      <c r="R6342" s="2" t="inlineStr"/>
    </row>
    <row r="6343" ht="15" customHeight="1">
      <c r="A6343" t="inlineStr">
        <is>
          <t>A 10047-2023</t>
        </is>
      </c>
      <c r="B6343" s="1" t="n">
        <v>44977</v>
      </c>
      <c r="C6343" s="1" t="n">
        <v>45212</v>
      </c>
      <c r="D6343" t="inlineStr">
        <is>
          <t>VÄSTERNORRLANDS LÄN</t>
        </is>
      </c>
      <c r="E6343" t="inlineStr">
        <is>
          <t>SUNDSVALL</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8666-2023</t>
        </is>
      </c>
      <c r="B6344" s="1" t="n">
        <v>44977</v>
      </c>
      <c r="C6344" s="1" t="n">
        <v>45212</v>
      </c>
      <c r="D6344" t="inlineStr">
        <is>
          <t>VÄSTERNORRLANDS LÄN</t>
        </is>
      </c>
      <c r="E6344" t="inlineStr">
        <is>
          <t>ÅNGE</t>
        </is>
      </c>
      <c r="F6344" t="inlineStr">
        <is>
          <t>SCA</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9478-2023</t>
        </is>
      </c>
      <c r="B6345" s="1" t="n">
        <v>44977</v>
      </c>
      <c r="C6345" s="1" t="n">
        <v>45212</v>
      </c>
      <c r="D6345" t="inlineStr">
        <is>
          <t>VÄSTERNORRLANDS LÄN</t>
        </is>
      </c>
      <c r="E6345" t="inlineStr">
        <is>
          <t>KRAMFORS</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8670-2023</t>
        </is>
      </c>
      <c r="B6346" s="1" t="n">
        <v>44977</v>
      </c>
      <c r="C6346" s="1" t="n">
        <v>45212</v>
      </c>
      <c r="D6346" t="inlineStr">
        <is>
          <t>VÄSTERNORRLANDS LÄN</t>
        </is>
      </c>
      <c r="E6346" t="inlineStr">
        <is>
          <t>SOLLEFTEÅ</t>
        </is>
      </c>
      <c r="F6346" t="inlineStr">
        <is>
          <t>SCA</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9456-2023</t>
        </is>
      </c>
      <c r="B6347" s="1" t="n">
        <v>44977</v>
      </c>
      <c r="C6347" s="1" t="n">
        <v>45212</v>
      </c>
      <c r="D6347" t="inlineStr">
        <is>
          <t>VÄSTERNORRLANDS LÄN</t>
        </is>
      </c>
      <c r="E6347" t="inlineStr">
        <is>
          <t>ÖRNSKÖLDSVIK</t>
        </is>
      </c>
      <c r="G6347" t="n">
        <v>1.6</v>
      </c>
      <c r="H6347" t="n">
        <v>0</v>
      </c>
      <c r="I6347" t="n">
        <v>0</v>
      </c>
      <c r="J6347" t="n">
        <v>0</v>
      </c>
      <c r="K6347" t="n">
        <v>0</v>
      </c>
      <c r="L6347" t="n">
        <v>0</v>
      </c>
      <c r="M6347" t="n">
        <v>0</v>
      </c>
      <c r="N6347" t="n">
        <v>0</v>
      </c>
      <c r="O6347" t="n">
        <v>0</v>
      </c>
      <c r="P6347" t="n">
        <v>0</v>
      </c>
      <c r="Q6347" t="n">
        <v>0</v>
      </c>
      <c r="R6347" s="2" t="inlineStr"/>
    </row>
    <row r="6348" ht="15" customHeight="1">
      <c r="A6348" t="inlineStr">
        <is>
          <t>A 9472-2023</t>
        </is>
      </c>
      <c r="B6348" s="1" t="n">
        <v>44977</v>
      </c>
      <c r="C6348" s="1" t="n">
        <v>45212</v>
      </c>
      <c r="D6348" t="inlineStr">
        <is>
          <t>VÄSTERNORRLANDS LÄN</t>
        </is>
      </c>
      <c r="E6348" t="inlineStr">
        <is>
          <t>ÖRNSKÖLDSVIK</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8672-2023</t>
        </is>
      </c>
      <c r="B6349" s="1" t="n">
        <v>44977</v>
      </c>
      <c r="C6349" s="1" t="n">
        <v>45212</v>
      </c>
      <c r="D6349" t="inlineStr">
        <is>
          <t>VÄSTERNORRLANDS LÄN</t>
        </is>
      </c>
      <c r="E6349" t="inlineStr">
        <is>
          <t>SOLLEFTEÅ</t>
        </is>
      </c>
      <c r="F6349" t="inlineStr">
        <is>
          <t>SCA</t>
        </is>
      </c>
      <c r="G6349" t="n">
        <v>4.4</v>
      </c>
      <c r="H6349" t="n">
        <v>0</v>
      </c>
      <c r="I6349" t="n">
        <v>0</v>
      </c>
      <c r="J6349" t="n">
        <v>0</v>
      </c>
      <c r="K6349" t="n">
        <v>0</v>
      </c>
      <c r="L6349" t="n">
        <v>0</v>
      </c>
      <c r="M6349" t="n">
        <v>0</v>
      </c>
      <c r="N6349" t="n">
        <v>0</v>
      </c>
      <c r="O6349" t="n">
        <v>0</v>
      </c>
      <c r="P6349" t="n">
        <v>0</v>
      </c>
      <c r="Q6349" t="n">
        <v>0</v>
      </c>
      <c r="R6349" s="2" t="inlineStr"/>
    </row>
    <row r="6350" ht="15" customHeight="1">
      <c r="A6350" t="inlineStr">
        <is>
          <t>A 9474-2023</t>
        </is>
      </c>
      <c r="B6350" s="1" t="n">
        <v>44977</v>
      </c>
      <c r="C6350" s="1" t="n">
        <v>45212</v>
      </c>
      <c r="D6350" t="inlineStr">
        <is>
          <t>VÄSTERNORRLANDS LÄN</t>
        </is>
      </c>
      <c r="E6350" t="inlineStr">
        <is>
          <t>ÖRNSKÖLDSVIK</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8764-2023</t>
        </is>
      </c>
      <c r="B6351" s="1" t="n">
        <v>44978</v>
      </c>
      <c r="C6351" s="1" t="n">
        <v>45212</v>
      </c>
      <c r="D6351" t="inlineStr">
        <is>
          <t>VÄSTERNORRLANDS LÄN</t>
        </is>
      </c>
      <c r="E6351" t="inlineStr">
        <is>
          <t>HÄRNÖSAND</t>
        </is>
      </c>
      <c r="G6351" t="n">
        <v>3.9</v>
      </c>
      <c r="H6351" t="n">
        <v>0</v>
      </c>
      <c r="I6351" t="n">
        <v>0</v>
      </c>
      <c r="J6351" t="n">
        <v>0</v>
      </c>
      <c r="K6351" t="n">
        <v>0</v>
      </c>
      <c r="L6351" t="n">
        <v>0</v>
      </c>
      <c r="M6351" t="n">
        <v>0</v>
      </c>
      <c r="N6351" t="n">
        <v>0</v>
      </c>
      <c r="O6351" t="n">
        <v>0</v>
      </c>
      <c r="P6351" t="n">
        <v>0</v>
      </c>
      <c r="Q6351" t="n">
        <v>0</v>
      </c>
      <c r="R6351" s="2" t="inlineStr"/>
    </row>
    <row r="6352" ht="15" customHeight="1">
      <c r="A6352" t="inlineStr">
        <is>
          <t>A 9726-2023</t>
        </is>
      </c>
      <c r="B6352" s="1" t="n">
        <v>44978</v>
      </c>
      <c r="C6352" s="1" t="n">
        <v>45212</v>
      </c>
      <c r="D6352" t="inlineStr">
        <is>
          <t>VÄSTERNORRLANDS LÄN</t>
        </is>
      </c>
      <c r="E6352" t="inlineStr">
        <is>
          <t>ÖRNSKÖLDSVIK</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8873-2023</t>
        </is>
      </c>
      <c r="B6353" s="1" t="n">
        <v>44978</v>
      </c>
      <c r="C6353" s="1" t="n">
        <v>45212</v>
      </c>
      <c r="D6353" t="inlineStr">
        <is>
          <t>VÄSTERNORRLANDS LÄN</t>
        </is>
      </c>
      <c r="E6353" t="inlineStr">
        <is>
          <t>SUNDSVALL</t>
        </is>
      </c>
      <c r="F6353" t="inlineStr">
        <is>
          <t>SCA</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9506-2023</t>
        </is>
      </c>
      <c r="B6354" s="1" t="n">
        <v>44978</v>
      </c>
      <c r="C6354" s="1" t="n">
        <v>45212</v>
      </c>
      <c r="D6354" t="inlineStr">
        <is>
          <t>VÄSTERNORRLANDS LÄN</t>
        </is>
      </c>
      <c r="E6354" t="inlineStr">
        <is>
          <t>KRAMFORS</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8868-2023</t>
        </is>
      </c>
      <c r="B6355" s="1" t="n">
        <v>44978</v>
      </c>
      <c r="C6355" s="1" t="n">
        <v>45212</v>
      </c>
      <c r="D6355" t="inlineStr">
        <is>
          <t>VÄSTERNORRLANDS LÄN</t>
        </is>
      </c>
      <c r="E6355" t="inlineStr">
        <is>
          <t>ÅNGE</t>
        </is>
      </c>
      <c r="F6355" t="inlineStr">
        <is>
          <t>SCA</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8871-2023</t>
        </is>
      </c>
      <c r="B6356" s="1" t="n">
        <v>44978</v>
      </c>
      <c r="C6356" s="1" t="n">
        <v>45212</v>
      </c>
      <c r="D6356" t="inlineStr">
        <is>
          <t>VÄSTERNORRLANDS LÄN</t>
        </is>
      </c>
      <c r="E6356" t="inlineStr">
        <is>
          <t>TIMRÅ</t>
        </is>
      </c>
      <c r="F6356" t="inlineStr">
        <is>
          <t>SCA</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9097-2023</t>
        </is>
      </c>
      <c r="B6357" s="1" t="n">
        <v>44979</v>
      </c>
      <c r="C6357" s="1" t="n">
        <v>45212</v>
      </c>
      <c r="D6357" t="inlineStr">
        <is>
          <t>VÄSTERNORRLANDS LÄN</t>
        </is>
      </c>
      <c r="E6357" t="inlineStr">
        <is>
          <t>SOLLEFTEÅ</t>
        </is>
      </c>
      <c r="F6357" t="inlineStr">
        <is>
          <t>SCA</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10113-2023</t>
        </is>
      </c>
      <c r="B6358" s="1" t="n">
        <v>44979</v>
      </c>
      <c r="C6358" s="1" t="n">
        <v>45212</v>
      </c>
      <c r="D6358" t="inlineStr">
        <is>
          <t>VÄSTERNORRLANDS LÄN</t>
        </is>
      </c>
      <c r="E6358" t="inlineStr">
        <is>
          <t>ÖRNSKÖLDSVIK</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9106-2023</t>
        </is>
      </c>
      <c r="B6359" s="1" t="n">
        <v>44979</v>
      </c>
      <c r="C6359" s="1" t="n">
        <v>45212</v>
      </c>
      <c r="D6359" t="inlineStr">
        <is>
          <t>VÄSTERNORRLANDS LÄN</t>
        </is>
      </c>
      <c r="E6359" t="inlineStr">
        <is>
          <t>SOLLEFTEÅ</t>
        </is>
      </c>
      <c r="F6359" t="inlineStr">
        <is>
          <t>SCA</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10057-2023</t>
        </is>
      </c>
      <c r="B6360" s="1" t="n">
        <v>44979</v>
      </c>
      <c r="C6360" s="1" t="n">
        <v>45212</v>
      </c>
      <c r="D6360" t="inlineStr">
        <is>
          <t>VÄSTERNORRLANDS LÄN</t>
        </is>
      </c>
      <c r="E6360" t="inlineStr">
        <is>
          <t>ÖRNSKÖLDSVIK</t>
        </is>
      </c>
      <c r="G6360" t="n">
        <v>5.6</v>
      </c>
      <c r="H6360" t="n">
        <v>0</v>
      </c>
      <c r="I6360" t="n">
        <v>0</v>
      </c>
      <c r="J6360" t="n">
        <v>0</v>
      </c>
      <c r="K6360" t="n">
        <v>0</v>
      </c>
      <c r="L6360" t="n">
        <v>0</v>
      </c>
      <c r="M6360" t="n">
        <v>0</v>
      </c>
      <c r="N6360" t="n">
        <v>0</v>
      </c>
      <c r="O6360" t="n">
        <v>0</v>
      </c>
      <c r="P6360" t="n">
        <v>0</v>
      </c>
      <c r="Q6360" t="n">
        <v>0</v>
      </c>
      <c r="R6360" s="2" t="inlineStr"/>
    </row>
    <row r="6361" ht="15" customHeight="1">
      <c r="A6361" t="inlineStr">
        <is>
          <t>A 9101-2023</t>
        </is>
      </c>
      <c r="B6361" s="1" t="n">
        <v>44979</v>
      </c>
      <c r="C6361" s="1" t="n">
        <v>45212</v>
      </c>
      <c r="D6361" t="inlineStr">
        <is>
          <t>VÄSTERNORRLANDS LÄN</t>
        </is>
      </c>
      <c r="E6361" t="inlineStr">
        <is>
          <t>ÖRNSKÖLDSVIK</t>
        </is>
      </c>
      <c r="F6361" t="inlineStr">
        <is>
          <t>SCA</t>
        </is>
      </c>
      <c r="G6361" t="n">
        <v>10.4</v>
      </c>
      <c r="H6361" t="n">
        <v>0</v>
      </c>
      <c r="I6361" t="n">
        <v>0</v>
      </c>
      <c r="J6361" t="n">
        <v>0</v>
      </c>
      <c r="K6361" t="n">
        <v>0</v>
      </c>
      <c r="L6361" t="n">
        <v>0</v>
      </c>
      <c r="M6361" t="n">
        <v>0</v>
      </c>
      <c r="N6361" t="n">
        <v>0</v>
      </c>
      <c r="O6361" t="n">
        <v>0</v>
      </c>
      <c r="P6361" t="n">
        <v>0</v>
      </c>
      <c r="Q6361" t="n">
        <v>0</v>
      </c>
      <c r="R6361" s="2" t="inlineStr"/>
    </row>
    <row r="6362" ht="15" customHeight="1">
      <c r="A6362" t="inlineStr">
        <is>
          <t>A 9105-2023</t>
        </is>
      </c>
      <c r="B6362" s="1" t="n">
        <v>44979</v>
      </c>
      <c r="C6362" s="1" t="n">
        <v>45212</v>
      </c>
      <c r="D6362" t="inlineStr">
        <is>
          <t>VÄSTERNORRLANDS LÄN</t>
        </is>
      </c>
      <c r="E6362" t="inlineStr">
        <is>
          <t>SOLLEFTEÅ</t>
        </is>
      </c>
      <c r="F6362" t="inlineStr">
        <is>
          <t>SCA</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10055-2023</t>
        </is>
      </c>
      <c r="B6363" s="1" t="n">
        <v>44979</v>
      </c>
      <c r="C6363" s="1" t="n">
        <v>45212</v>
      </c>
      <c r="D6363" t="inlineStr">
        <is>
          <t>VÄSTERNORRLANDS LÄN</t>
        </is>
      </c>
      <c r="E6363" t="inlineStr">
        <is>
          <t>ÖRNSKÖLDSVIK</t>
        </is>
      </c>
      <c r="G6363" t="n">
        <v>4</v>
      </c>
      <c r="H6363" t="n">
        <v>0</v>
      </c>
      <c r="I6363" t="n">
        <v>0</v>
      </c>
      <c r="J6363" t="n">
        <v>0</v>
      </c>
      <c r="K6363" t="n">
        <v>0</v>
      </c>
      <c r="L6363" t="n">
        <v>0</v>
      </c>
      <c r="M6363" t="n">
        <v>0</v>
      </c>
      <c r="N6363" t="n">
        <v>0</v>
      </c>
      <c r="O6363" t="n">
        <v>0</v>
      </c>
      <c r="P6363" t="n">
        <v>0</v>
      </c>
      <c r="Q6363" t="n">
        <v>0</v>
      </c>
      <c r="R6363" s="2" t="inlineStr"/>
    </row>
    <row r="6364" ht="15" customHeight="1">
      <c r="A6364" t="inlineStr">
        <is>
          <t>A 8944-2023</t>
        </is>
      </c>
      <c r="B6364" s="1" t="n">
        <v>44979</v>
      </c>
      <c r="C6364" s="1" t="n">
        <v>45212</v>
      </c>
      <c r="D6364" t="inlineStr">
        <is>
          <t>VÄSTERNORRLANDS LÄN</t>
        </is>
      </c>
      <c r="E6364" t="inlineStr">
        <is>
          <t>SUNDSVALL</t>
        </is>
      </c>
      <c r="F6364" t="inlineStr">
        <is>
          <t>Holmen skog AB</t>
        </is>
      </c>
      <c r="G6364" t="n">
        <v>15.7</v>
      </c>
      <c r="H6364" t="n">
        <v>0</v>
      </c>
      <c r="I6364" t="n">
        <v>0</v>
      </c>
      <c r="J6364" t="n">
        <v>0</v>
      </c>
      <c r="K6364" t="n">
        <v>0</v>
      </c>
      <c r="L6364" t="n">
        <v>0</v>
      </c>
      <c r="M6364" t="n">
        <v>0</v>
      </c>
      <c r="N6364" t="n">
        <v>0</v>
      </c>
      <c r="O6364" t="n">
        <v>0</v>
      </c>
      <c r="P6364" t="n">
        <v>0</v>
      </c>
      <c r="Q6364" t="n">
        <v>0</v>
      </c>
      <c r="R6364" s="2" t="inlineStr"/>
    </row>
    <row r="6365" ht="15" customHeight="1">
      <c r="A6365" t="inlineStr">
        <is>
          <t>A 9104-2023</t>
        </is>
      </c>
      <c r="B6365" s="1" t="n">
        <v>44979</v>
      </c>
      <c r="C6365" s="1" t="n">
        <v>45212</v>
      </c>
      <c r="D6365" t="inlineStr">
        <is>
          <t>VÄSTERNORRLANDS LÄN</t>
        </is>
      </c>
      <c r="E6365" t="inlineStr">
        <is>
          <t>SOLLEFTEÅ</t>
        </is>
      </c>
      <c r="F6365" t="inlineStr">
        <is>
          <t>SCA</t>
        </is>
      </c>
      <c r="G6365" t="n">
        <v>22.1</v>
      </c>
      <c r="H6365" t="n">
        <v>0</v>
      </c>
      <c r="I6365" t="n">
        <v>0</v>
      </c>
      <c r="J6365" t="n">
        <v>0</v>
      </c>
      <c r="K6365" t="n">
        <v>0</v>
      </c>
      <c r="L6365" t="n">
        <v>0</v>
      </c>
      <c r="M6365" t="n">
        <v>0</v>
      </c>
      <c r="N6365" t="n">
        <v>0</v>
      </c>
      <c r="O6365" t="n">
        <v>0</v>
      </c>
      <c r="P6365" t="n">
        <v>0</v>
      </c>
      <c r="Q6365" t="n">
        <v>0</v>
      </c>
      <c r="R6365" s="2" t="inlineStr"/>
    </row>
    <row r="6366" ht="15" customHeight="1">
      <c r="A6366" t="inlineStr">
        <is>
          <t>A 10053-2023</t>
        </is>
      </c>
      <c r="B6366" s="1" t="n">
        <v>44979</v>
      </c>
      <c r="C6366" s="1" t="n">
        <v>45212</v>
      </c>
      <c r="D6366" t="inlineStr">
        <is>
          <t>VÄSTERNORRLANDS LÄN</t>
        </is>
      </c>
      <c r="E6366" t="inlineStr">
        <is>
          <t>ÖRNSKÖLDSVIK</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10128-2023</t>
        </is>
      </c>
      <c r="B6367" s="1" t="n">
        <v>44980</v>
      </c>
      <c r="C6367" s="1" t="n">
        <v>45212</v>
      </c>
      <c r="D6367" t="inlineStr">
        <is>
          <t>VÄSTERNORRLANDS LÄN</t>
        </is>
      </c>
      <c r="E6367" t="inlineStr">
        <is>
          <t>HÄRNÖSAND</t>
        </is>
      </c>
      <c r="G6367" t="n">
        <v>2</v>
      </c>
      <c r="H6367" t="n">
        <v>0</v>
      </c>
      <c r="I6367" t="n">
        <v>0</v>
      </c>
      <c r="J6367" t="n">
        <v>0</v>
      </c>
      <c r="K6367" t="n">
        <v>0</v>
      </c>
      <c r="L6367" t="n">
        <v>0</v>
      </c>
      <c r="M6367" t="n">
        <v>0</v>
      </c>
      <c r="N6367" t="n">
        <v>0</v>
      </c>
      <c r="O6367" t="n">
        <v>0</v>
      </c>
      <c r="P6367" t="n">
        <v>0</v>
      </c>
      <c r="Q6367" t="n">
        <v>0</v>
      </c>
      <c r="R6367" s="2" t="inlineStr"/>
    </row>
    <row r="6368" ht="15" customHeight="1">
      <c r="A6368" t="inlineStr">
        <is>
          <t>A 10369-2023</t>
        </is>
      </c>
      <c r="B6368" s="1" t="n">
        <v>44980</v>
      </c>
      <c r="C6368" s="1" t="n">
        <v>45212</v>
      </c>
      <c r="D6368" t="inlineStr">
        <is>
          <t>VÄSTERNORRLANDS LÄN</t>
        </is>
      </c>
      <c r="E6368" t="inlineStr">
        <is>
          <t>ÖRNSKÖLDSVIK</t>
        </is>
      </c>
      <c r="G6368" t="n">
        <v>0.5</v>
      </c>
      <c r="H6368" t="n">
        <v>0</v>
      </c>
      <c r="I6368" t="n">
        <v>0</v>
      </c>
      <c r="J6368" t="n">
        <v>0</v>
      </c>
      <c r="K6368" t="n">
        <v>0</v>
      </c>
      <c r="L6368" t="n">
        <v>0</v>
      </c>
      <c r="M6368" t="n">
        <v>0</v>
      </c>
      <c r="N6368" t="n">
        <v>0</v>
      </c>
      <c r="O6368" t="n">
        <v>0</v>
      </c>
      <c r="P6368" t="n">
        <v>0</v>
      </c>
      <c r="Q6368" t="n">
        <v>0</v>
      </c>
      <c r="R6368" s="2" t="inlineStr"/>
    </row>
    <row r="6369" ht="15" customHeight="1">
      <c r="A6369" t="inlineStr">
        <is>
          <t>A 9208-2023</t>
        </is>
      </c>
      <c r="B6369" s="1" t="n">
        <v>44980</v>
      </c>
      <c r="C6369" s="1" t="n">
        <v>45212</v>
      </c>
      <c r="D6369" t="inlineStr">
        <is>
          <t>VÄSTERNORRLANDS LÄN</t>
        </is>
      </c>
      <c r="E6369" t="inlineStr">
        <is>
          <t>ÅNGE</t>
        </is>
      </c>
      <c r="G6369" t="n">
        <v>7.7</v>
      </c>
      <c r="H6369" t="n">
        <v>0</v>
      </c>
      <c r="I6369" t="n">
        <v>0</v>
      </c>
      <c r="J6369" t="n">
        <v>0</v>
      </c>
      <c r="K6369" t="n">
        <v>0</v>
      </c>
      <c r="L6369" t="n">
        <v>0</v>
      </c>
      <c r="M6369" t="n">
        <v>0</v>
      </c>
      <c r="N6369" t="n">
        <v>0</v>
      </c>
      <c r="O6369" t="n">
        <v>0</v>
      </c>
      <c r="P6369" t="n">
        <v>0</v>
      </c>
      <c r="Q6369" t="n">
        <v>0</v>
      </c>
      <c r="R6369" s="2" t="inlineStr"/>
    </row>
    <row r="6370" ht="15" customHeight="1">
      <c r="A6370" t="inlineStr">
        <is>
          <t>A 9359-2023</t>
        </is>
      </c>
      <c r="B6370" s="1" t="n">
        <v>44980</v>
      </c>
      <c r="C6370" s="1" t="n">
        <v>45212</v>
      </c>
      <c r="D6370" t="inlineStr">
        <is>
          <t>VÄSTERNORRLANDS LÄN</t>
        </is>
      </c>
      <c r="E6370" t="inlineStr">
        <is>
          <t>SUNDSVALL</t>
        </is>
      </c>
      <c r="F6370" t="inlineStr">
        <is>
          <t>SCA</t>
        </is>
      </c>
      <c r="G6370" t="n">
        <v>5.9</v>
      </c>
      <c r="H6370" t="n">
        <v>0</v>
      </c>
      <c r="I6370" t="n">
        <v>0</v>
      </c>
      <c r="J6370" t="n">
        <v>0</v>
      </c>
      <c r="K6370" t="n">
        <v>0</v>
      </c>
      <c r="L6370" t="n">
        <v>0</v>
      </c>
      <c r="M6370" t="n">
        <v>0</v>
      </c>
      <c r="N6370" t="n">
        <v>0</v>
      </c>
      <c r="O6370" t="n">
        <v>0</v>
      </c>
      <c r="P6370" t="n">
        <v>0</v>
      </c>
      <c r="Q6370" t="n">
        <v>0</v>
      </c>
      <c r="R6370" s="2" t="inlineStr"/>
    </row>
    <row r="6371" ht="15" customHeight="1">
      <c r="A6371" t="inlineStr">
        <is>
          <t>A 9137-2023</t>
        </is>
      </c>
      <c r="B6371" s="1" t="n">
        <v>44980</v>
      </c>
      <c r="C6371" s="1" t="n">
        <v>45212</v>
      </c>
      <c r="D6371" t="inlineStr">
        <is>
          <t>VÄSTERNORRLANDS LÄN</t>
        </is>
      </c>
      <c r="E6371" t="inlineStr">
        <is>
          <t>SUNDSVALL</t>
        </is>
      </c>
      <c r="F6371" t="inlineStr">
        <is>
          <t>Holmen skog AB</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9211-2023</t>
        </is>
      </c>
      <c r="B6372" s="1" t="n">
        <v>44980</v>
      </c>
      <c r="C6372" s="1" t="n">
        <v>45212</v>
      </c>
      <c r="D6372" t="inlineStr">
        <is>
          <t>VÄSTERNORRLANDS LÄN</t>
        </is>
      </c>
      <c r="E6372" t="inlineStr">
        <is>
          <t>ÅNGE</t>
        </is>
      </c>
      <c r="G6372" t="n">
        <v>2.3</v>
      </c>
      <c r="H6372" t="n">
        <v>0</v>
      </c>
      <c r="I6372" t="n">
        <v>0</v>
      </c>
      <c r="J6372" t="n">
        <v>0</v>
      </c>
      <c r="K6372" t="n">
        <v>0</v>
      </c>
      <c r="L6372" t="n">
        <v>0</v>
      </c>
      <c r="M6372" t="n">
        <v>0</v>
      </c>
      <c r="N6372" t="n">
        <v>0</v>
      </c>
      <c r="O6372" t="n">
        <v>0</v>
      </c>
      <c r="P6372" t="n">
        <v>0</v>
      </c>
      <c r="Q6372" t="n">
        <v>0</v>
      </c>
      <c r="R6372" s="2" t="inlineStr"/>
    </row>
    <row r="6373" ht="15" customHeight="1">
      <c r="A6373" t="inlineStr">
        <is>
          <t>A 9215-2023</t>
        </is>
      </c>
      <c r="B6373" s="1" t="n">
        <v>44980</v>
      </c>
      <c r="C6373" s="1" t="n">
        <v>45212</v>
      </c>
      <c r="D6373" t="inlineStr">
        <is>
          <t>VÄSTERNORRLANDS LÄN</t>
        </is>
      </c>
      <c r="E6373" t="inlineStr">
        <is>
          <t>ÅNGE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9254-2023</t>
        </is>
      </c>
      <c r="B6374" s="1" t="n">
        <v>44980</v>
      </c>
      <c r="C6374" s="1" t="n">
        <v>45212</v>
      </c>
      <c r="D6374" t="inlineStr">
        <is>
          <t>VÄSTERNORRLANDS LÄN</t>
        </is>
      </c>
      <c r="E6374" t="inlineStr">
        <is>
          <t>ÖRNSKÖLDSVIK</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10256-2023</t>
        </is>
      </c>
      <c r="B6375" s="1" t="n">
        <v>44980</v>
      </c>
      <c r="C6375" s="1" t="n">
        <v>45212</v>
      </c>
      <c r="D6375" t="inlineStr">
        <is>
          <t>VÄSTERNORRLANDS LÄN</t>
        </is>
      </c>
      <c r="E6375" t="inlineStr">
        <is>
          <t>SOLLEFTEÅ</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10428-2023</t>
        </is>
      </c>
      <c r="B6376" s="1" t="n">
        <v>44981</v>
      </c>
      <c r="C6376" s="1" t="n">
        <v>45212</v>
      </c>
      <c r="D6376" t="inlineStr">
        <is>
          <t>VÄSTERNORRLANDS LÄN</t>
        </is>
      </c>
      <c r="E6376" t="inlineStr">
        <is>
          <t>SOLLEFTEÅ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9583-2023</t>
        </is>
      </c>
      <c r="B6377" s="1" t="n">
        <v>44982</v>
      </c>
      <c r="C6377" s="1" t="n">
        <v>45212</v>
      </c>
      <c r="D6377" t="inlineStr">
        <is>
          <t>VÄSTERNORRLANDS LÄN</t>
        </is>
      </c>
      <c r="E6377" t="inlineStr">
        <is>
          <t>SUNDSVALL</t>
        </is>
      </c>
      <c r="F6377" t="inlineStr">
        <is>
          <t>SCA</t>
        </is>
      </c>
      <c r="G6377" t="n">
        <v>10.2</v>
      </c>
      <c r="H6377" t="n">
        <v>0</v>
      </c>
      <c r="I6377" t="n">
        <v>0</v>
      </c>
      <c r="J6377" t="n">
        <v>0</v>
      </c>
      <c r="K6377" t="n">
        <v>0</v>
      </c>
      <c r="L6377" t="n">
        <v>0</v>
      </c>
      <c r="M6377" t="n">
        <v>0</v>
      </c>
      <c r="N6377" t="n">
        <v>0</v>
      </c>
      <c r="O6377" t="n">
        <v>0</v>
      </c>
      <c r="P6377" t="n">
        <v>0</v>
      </c>
      <c r="Q6377" t="n">
        <v>0</v>
      </c>
      <c r="R6377" s="2" t="inlineStr"/>
    </row>
    <row r="6378" ht="15" customHeight="1">
      <c r="A6378" t="inlineStr">
        <is>
          <t>A 9584-2023</t>
        </is>
      </c>
      <c r="B6378" s="1" t="n">
        <v>44982</v>
      </c>
      <c r="C6378" s="1" t="n">
        <v>45212</v>
      </c>
      <c r="D6378" t="inlineStr">
        <is>
          <t>VÄSTERNORRLANDS LÄN</t>
        </is>
      </c>
      <c r="E6378" t="inlineStr">
        <is>
          <t>SUNDSVALL</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9615-2023</t>
        </is>
      </c>
      <c r="B6379" s="1" t="n">
        <v>44983</v>
      </c>
      <c r="C6379" s="1" t="n">
        <v>45212</v>
      </c>
      <c r="D6379" t="inlineStr">
        <is>
          <t>VÄSTERNORRLANDS LÄN</t>
        </is>
      </c>
      <c r="E6379" t="inlineStr">
        <is>
          <t>SOLLEFTEÅ</t>
        </is>
      </c>
      <c r="F6379" t="inlineStr">
        <is>
          <t>SCA</t>
        </is>
      </c>
      <c r="G6379" t="n">
        <v>61.8</v>
      </c>
      <c r="H6379" t="n">
        <v>0</v>
      </c>
      <c r="I6379" t="n">
        <v>0</v>
      </c>
      <c r="J6379" t="n">
        <v>0</v>
      </c>
      <c r="K6379" t="n">
        <v>0</v>
      </c>
      <c r="L6379" t="n">
        <v>0</v>
      </c>
      <c r="M6379" t="n">
        <v>0</v>
      </c>
      <c r="N6379" t="n">
        <v>0</v>
      </c>
      <c r="O6379" t="n">
        <v>0</v>
      </c>
      <c r="P6379" t="n">
        <v>0</v>
      </c>
      <c r="Q6379" t="n">
        <v>0</v>
      </c>
      <c r="R6379" s="2" t="inlineStr"/>
    </row>
    <row r="6380" ht="15" customHeight="1">
      <c r="A6380" t="inlineStr">
        <is>
          <t>A 9611-2023</t>
        </is>
      </c>
      <c r="B6380" s="1" t="n">
        <v>44983</v>
      </c>
      <c r="C6380" s="1" t="n">
        <v>45212</v>
      </c>
      <c r="D6380" t="inlineStr">
        <is>
          <t>VÄSTERNORRLANDS LÄN</t>
        </is>
      </c>
      <c r="E6380" t="inlineStr">
        <is>
          <t>SUNDSVALL</t>
        </is>
      </c>
      <c r="F6380" t="inlineStr">
        <is>
          <t>SCA</t>
        </is>
      </c>
      <c r="G6380" t="n">
        <v>20.6</v>
      </c>
      <c r="H6380" t="n">
        <v>0</v>
      </c>
      <c r="I6380" t="n">
        <v>0</v>
      </c>
      <c r="J6380" t="n">
        <v>0</v>
      </c>
      <c r="K6380" t="n">
        <v>0</v>
      </c>
      <c r="L6380" t="n">
        <v>0</v>
      </c>
      <c r="M6380" t="n">
        <v>0</v>
      </c>
      <c r="N6380" t="n">
        <v>0</v>
      </c>
      <c r="O6380" t="n">
        <v>0</v>
      </c>
      <c r="P6380" t="n">
        <v>0</v>
      </c>
      <c r="Q6380" t="n">
        <v>0</v>
      </c>
      <c r="R6380" s="2" t="inlineStr"/>
    </row>
    <row r="6381" ht="15" customHeight="1">
      <c r="A6381" t="inlineStr">
        <is>
          <t>A 9612-2023</t>
        </is>
      </c>
      <c r="B6381" s="1" t="n">
        <v>44983</v>
      </c>
      <c r="C6381" s="1" t="n">
        <v>45212</v>
      </c>
      <c r="D6381" t="inlineStr">
        <is>
          <t>VÄSTERNORRLANDS LÄN</t>
        </is>
      </c>
      <c r="E6381" t="inlineStr">
        <is>
          <t>TIMRÅ</t>
        </is>
      </c>
      <c r="F6381" t="inlineStr">
        <is>
          <t>SCA</t>
        </is>
      </c>
      <c r="G6381" t="n">
        <v>8.800000000000001</v>
      </c>
      <c r="H6381" t="n">
        <v>0</v>
      </c>
      <c r="I6381" t="n">
        <v>0</v>
      </c>
      <c r="J6381" t="n">
        <v>0</v>
      </c>
      <c r="K6381" t="n">
        <v>0</v>
      </c>
      <c r="L6381" t="n">
        <v>0</v>
      </c>
      <c r="M6381" t="n">
        <v>0</v>
      </c>
      <c r="N6381" t="n">
        <v>0</v>
      </c>
      <c r="O6381" t="n">
        <v>0</v>
      </c>
      <c r="P6381" t="n">
        <v>0</v>
      </c>
      <c r="Q6381" t="n">
        <v>0</v>
      </c>
      <c r="R6381" s="2" t="inlineStr"/>
    </row>
    <row r="6382" ht="15" customHeight="1">
      <c r="A6382" t="inlineStr">
        <is>
          <t>A 9613-2023</t>
        </is>
      </c>
      <c r="B6382" s="1" t="n">
        <v>44983</v>
      </c>
      <c r="C6382" s="1" t="n">
        <v>45212</v>
      </c>
      <c r="D6382" t="inlineStr">
        <is>
          <t>VÄSTERNORRLANDS LÄN</t>
        </is>
      </c>
      <c r="E6382" t="inlineStr">
        <is>
          <t>TIMRÅ</t>
        </is>
      </c>
      <c r="F6382" t="inlineStr">
        <is>
          <t>SCA</t>
        </is>
      </c>
      <c r="G6382" t="n">
        <v>35.7</v>
      </c>
      <c r="H6382" t="n">
        <v>0</v>
      </c>
      <c r="I6382" t="n">
        <v>0</v>
      </c>
      <c r="J6382" t="n">
        <v>0</v>
      </c>
      <c r="K6382" t="n">
        <v>0</v>
      </c>
      <c r="L6382" t="n">
        <v>0</v>
      </c>
      <c r="M6382" t="n">
        <v>0</v>
      </c>
      <c r="N6382" t="n">
        <v>0</v>
      </c>
      <c r="O6382" t="n">
        <v>0</v>
      </c>
      <c r="P6382" t="n">
        <v>0</v>
      </c>
      <c r="Q6382" t="n">
        <v>0</v>
      </c>
      <c r="R6382" s="2" t="inlineStr"/>
    </row>
    <row r="6383" ht="15" customHeight="1">
      <c r="A6383" t="inlineStr">
        <is>
          <t>A 9858-2023</t>
        </is>
      </c>
      <c r="B6383" s="1" t="n">
        <v>44984</v>
      </c>
      <c r="C6383" s="1" t="n">
        <v>45212</v>
      </c>
      <c r="D6383" t="inlineStr">
        <is>
          <t>VÄSTERNORRLANDS LÄN</t>
        </is>
      </c>
      <c r="E6383" t="inlineStr">
        <is>
          <t>SOLLEFTEÅ</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9871-2023</t>
        </is>
      </c>
      <c r="B6384" s="1" t="n">
        <v>44984</v>
      </c>
      <c r="C6384" s="1" t="n">
        <v>45212</v>
      </c>
      <c r="D6384" t="inlineStr">
        <is>
          <t>VÄSTERNORRLANDS LÄN</t>
        </is>
      </c>
      <c r="E6384" t="inlineStr">
        <is>
          <t>SOLLEFTEÅ</t>
        </is>
      </c>
      <c r="F6384" t="inlineStr">
        <is>
          <t>SCA</t>
        </is>
      </c>
      <c r="G6384" t="n">
        <v>5.2</v>
      </c>
      <c r="H6384" t="n">
        <v>0</v>
      </c>
      <c r="I6384" t="n">
        <v>0</v>
      </c>
      <c r="J6384" t="n">
        <v>0</v>
      </c>
      <c r="K6384" t="n">
        <v>0</v>
      </c>
      <c r="L6384" t="n">
        <v>0</v>
      </c>
      <c r="M6384" t="n">
        <v>0</v>
      </c>
      <c r="N6384" t="n">
        <v>0</v>
      </c>
      <c r="O6384" t="n">
        <v>0</v>
      </c>
      <c r="P6384" t="n">
        <v>0</v>
      </c>
      <c r="Q6384" t="n">
        <v>0</v>
      </c>
      <c r="R6384" s="2" t="inlineStr"/>
    </row>
    <row r="6385" ht="15" customHeight="1">
      <c r="A6385" t="inlineStr">
        <is>
          <t>A 9879-2023</t>
        </is>
      </c>
      <c r="B6385" s="1" t="n">
        <v>44984</v>
      </c>
      <c r="C6385" s="1" t="n">
        <v>45212</v>
      </c>
      <c r="D6385" t="inlineStr">
        <is>
          <t>VÄSTERNORRLANDS LÄN</t>
        </is>
      </c>
      <c r="E6385" t="inlineStr">
        <is>
          <t>SOLLEFTEÅ</t>
        </is>
      </c>
      <c r="F6385" t="inlineStr">
        <is>
          <t>SCA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10601-2023</t>
        </is>
      </c>
      <c r="B6386" s="1" t="n">
        <v>44984</v>
      </c>
      <c r="C6386" s="1" t="n">
        <v>45212</v>
      </c>
      <c r="D6386" t="inlineStr">
        <is>
          <t>VÄSTERNORRLANDS LÄN</t>
        </is>
      </c>
      <c r="E6386" t="inlineStr">
        <is>
          <t>ÖRNSKÖLDSVIK</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10727-2023</t>
        </is>
      </c>
      <c r="B6387" s="1" t="n">
        <v>44984</v>
      </c>
      <c r="C6387" s="1" t="n">
        <v>45212</v>
      </c>
      <c r="D6387" t="inlineStr">
        <is>
          <t>VÄSTERNORRLANDS LÄN</t>
        </is>
      </c>
      <c r="E6387" t="inlineStr">
        <is>
          <t>SUNDSVALL</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9741-2023</t>
        </is>
      </c>
      <c r="B6388" s="1" t="n">
        <v>44984</v>
      </c>
      <c r="C6388" s="1" t="n">
        <v>45212</v>
      </c>
      <c r="D6388" t="inlineStr">
        <is>
          <t>VÄSTERNORRLANDS LÄN</t>
        </is>
      </c>
      <c r="E6388" t="inlineStr">
        <is>
          <t>SOLLEFTEÅ</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9842-2023</t>
        </is>
      </c>
      <c r="B6389" s="1" t="n">
        <v>44984</v>
      </c>
      <c r="C6389" s="1" t="n">
        <v>45212</v>
      </c>
      <c r="D6389" t="inlineStr">
        <is>
          <t>VÄSTERNORRLANDS LÄN</t>
        </is>
      </c>
      <c r="E6389" t="inlineStr">
        <is>
          <t>KRAMFORS</t>
        </is>
      </c>
      <c r="G6389" t="n">
        <v>2.7</v>
      </c>
      <c r="H6389" t="n">
        <v>0</v>
      </c>
      <c r="I6389" t="n">
        <v>0</v>
      </c>
      <c r="J6389" t="n">
        <v>0</v>
      </c>
      <c r="K6389" t="n">
        <v>0</v>
      </c>
      <c r="L6389" t="n">
        <v>0</v>
      </c>
      <c r="M6389" t="n">
        <v>0</v>
      </c>
      <c r="N6389" t="n">
        <v>0</v>
      </c>
      <c r="O6389" t="n">
        <v>0</v>
      </c>
      <c r="P6389" t="n">
        <v>0</v>
      </c>
      <c r="Q6389" t="n">
        <v>0</v>
      </c>
      <c r="R6389" s="2" t="inlineStr"/>
    </row>
    <row r="6390" ht="15" customHeight="1">
      <c r="A6390" t="inlineStr">
        <is>
          <t>A 9857-2023</t>
        </is>
      </c>
      <c r="B6390" s="1" t="n">
        <v>44984</v>
      </c>
      <c r="C6390" s="1" t="n">
        <v>45212</v>
      </c>
      <c r="D6390" t="inlineStr">
        <is>
          <t>VÄSTERNORRLANDS LÄN</t>
        </is>
      </c>
      <c r="E6390" t="inlineStr">
        <is>
          <t>SUNDSVALL</t>
        </is>
      </c>
      <c r="F6390" t="inlineStr">
        <is>
          <t>SCA</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9708-2023</t>
        </is>
      </c>
      <c r="B6391" s="1" t="n">
        <v>44984</v>
      </c>
      <c r="C6391" s="1" t="n">
        <v>45212</v>
      </c>
      <c r="D6391" t="inlineStr">
        <is>
          <t>VÄSTERNORRLANDS LÄN</t>
        </is>
      </c>
      <c r="E6391" t="inlineStr">
        <is>
          <t>KRAMFORS</t>
        </is>
      </c>
      <c r="G6391" t="n">
        <v>7.7</v>
      </c>
      <c r="H6391" t="n">
        <v>0</v>
      </c>
      <c r="I6391" t="n">
        <v>0</v>
      </c>
      <c r="J6391" t="n">
        <v>0</v>
      </c>
      <c r="K6391" t="n">
        <v>0</v>
      </c>
      <c r="L6391" t="n">
        <v>0</v>
      </c>
      <c r="M6391" t="n">
        <v>0</v>
      </c>
      <c r="N6391" t="n">
        <v>0</v>
      </c>
      <c r="O6391" t="n">
        <v>0</v>
      </c>
      <c r="P6391" t="n">
        <v>0</v>
      </c>
      <c r="Q6391" t="n">
        <v>0</v>
      </c>
      <c r="R6391" s="2" t="inlineStr"/>
    </row>
    <row r="6392" ht="15" customHeight="1">
      <c r="A6392" t="inlineStr">
        <is>
          <t>A 9829-2023</t>
        </is>
      </c>
      <c r="B6392" s="1" t="n">
        <v>44984</v>
      </c>
      <c r="C6392" s="1" t="n">
        <v>45212</v>
      </c>
      <c r="D6392" t="inlineStr">
        <is>
          <t>VÄSTERNORRLANDS LÄN</t>
        </is>
      </c>
      <c r="E6392" t="inlineStr">
        <is>
          <t>SOLLEFTEÅ</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9848-2023</t>
        </is>
      </c>
      <c r="B6393" s="1" t="n">
        <v>44984</v>
      </c>
      <c r="C6393" s="1" t="n">
        <v>45212</v>
      </c>
      <c r="D6393" t="inlineStr">
        <is>
          <t>VÄSTERNORRLANDS LÄN</t>
        </is>
      </c>
      <c r="E6393" t="inlineStr">
        <is>
          <t>ÖRNSKÖLDSVIK</t>
        </is>
      </c>
      <c r="G6393" t="n">
        <v>12.5</v>
      </c>
      <c r="H6393" t="n">
        <v>0</v>
      </c>
      <c r="I6393" t="n">
        <v>0</v>
      </c>
      <c r="J6393" t="n">
        <v>0</v>
      </c>
      <c r="K6393" t="n">
        <v>0</v>
      </c>
      <c r="L6393" t="n">
        <v>0</v>
      </c>
      <c r="M6393" t="n">
        <v>0</v>
      </c>
      <c r="N6393" t="n">
        <v>0</v>
      </c>
      <c r="O6393" t="n">
        <v>0</v>
      </c>
      <c r="P6393" t="n">
        <v>0</v>
      </c>
      <c r="Q6393" t="n">
        <v>0</v>
      </c>
      <c r="R6393" s="2" t="inlineStr"/>
    </row>
    <row r="6394" ht="15" customHeight="1">
      <c r="A6394" t="inlineStr">
        <is>
          <t>A 9868-2023</t>
        </is>
      </c>
      <c r="B6394" s="1" t="n">
        <v>44984</v>
      </c>
      <c r="C6394" s="1" t="n">
        <v>45212</v>
      </c>
      <c r="D6394" t="inlineStr">
        <is>
          <t>VÄSTERNORRLANDS LÄN</t>
        </is>
      </c>
      <c r="E6394" t="inlineStr">
        <is>
          <t>SUNDSVALL</t>
        </is>
      </c>
      <c r="F6394" t="inlineStr">
        <is>
          <t>SCA</t>
        </is>
      </c>
      <c r="G6394" t="n">
        <v>52.8</v>
      </c>
      <c r="H6394" t="n">
        <v>0</v>
      </c>
      <c r="I6394" t="n">
        <v>0</v>
      </c>
      <c r="J6394" t="n">
        <v>0</v>
      </c>
      <c r="K6394" t="n">
        <v>0</v>
      </c>
      <c r="L6394" t="n">
        <v>0</v>
      </c>
      <c r="M6394" t="n">
        <v>0</v>
      </c>
      <c r="N6394" t="n">
        <v>0</v>
      </c>
      <c r="O6394" t="n">
        <v>0</v>
      </c>
      <c r="P6394" t="n">
        <v>0</v>
      </c>
      <c r="Q6394" t="n">
        <v>0</v>
      </c>
      <c r="R6394" s="2" t="inlineStr"/>
    </row>
    <row r="6395" ht="15" customHeight="1">
      <c r="A6395" t="inlineStr">
        <is>
          <t>A 10569-2023</t>
        </is>
      </c>
      <c r="B6395" s="1" t="n">
        <v>44984</v>
      </c>
      <c r="C6395" s="1" t="n">
        <v>45212</v>
      </c>
      <c r="D6395" t="inlineStr">
        <is>
          <t>VÄSTERNORRLANDS LÄN</t>
        </is>
      </c>
      <c r="E6395" t="inlineStr">
        <is>
          <t>ÖRNSKÖLDSVIK</t>
        </is>
      </c>
      <c r="G6395" t="n">
        <v>7.1</v>
      </c>
      <c r="H6395" t="n">
        <v>0</v>
      </c>
      <c r="I6395" t="n">
        <v>0</v>
      </c>
      <c r="J6395" t="n">
        <v>0</v>
      </c>
      <c r="K6395" t="n">
        <v>0</v>
      </c>
      <c r="L6395" t="n">
        <v>0</v>
      </c>
      <c r="M6395" t="n">
        <v>0</v>
      </c>
      <c r="N6395" t="n">
        <v>0</v>
      </c>
      <c r="O6395" t="n">
        <v>0</v>
      </c>
      <c r="P6395" t="n">
        <v>0</v>
      </c>
      <c r="Q6395" t="n">
        <v>0</v>
      </c>
      <c r="R6395" s="2" t="inlineStr"/>
    </row>
    <row r="6396" ht="15" customHeight="1">
      <c r="A6396" t="inlineStr">
        <is>
          <t>A 9744-2023</t>
        </is>
      </c>
      <c r="B6396" s="1" t="n">
        <v>44984</v>
      </c>
      <c r="C6396" s="1" t="n">
        <v>45212</v>
      </c>
      <c r="D6396" t="inlineStr">
        <is>
          <t>VÄSTERNORRLANDS LÄN</t>
        </is>
      </c>
      <c r="E6396" t="inlineStr">
        <is>
          <t>SUNDSVALL</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9880-2023</t>
        </is>
      </c>
      <c r="B6397" s="1" t="n">
        <v>44984</v>
      </c>
      <c r="C6397" s="1" t="n">
        <v>45212</v>
      </c>
      <c r="D6397" t="inlineStr">
        <is>
          <t>VÄSTERNORRLANDS LÄN</t>
        </is>
      </c>
      <c r="E6397" t="inlineStr">
        <is>
          <t>TIMRÅ</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10730-2023</t>
        </is>
      </c>
      <c r="B6398" s="1" t="n">
        <v>44984</v>
      </c>
      <c r="C6398" s="1" t="n">
        <v>45212</v>
      </c>
      <c r="D6398" t="inlineStr">
        <is>
          <t>VÄSTERNORRLANDS LÄN</t>
        </is>
      </c>
      <c r="E6398" t="inlineStr">
        <is>
          <t>SUNDSVALL</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9950-2023</t>
        </is>
      </c>
      <c r="B6399" s="1" t="n">
        <v>44985</v>
      </c>
      <c r="C6399" s="1" t="n">
        <v>45212</v>
      </c>
      <c r="D6399" t="inlineStr">
        <is>
          <t>VÄSTERNORRLANDS LÄN</t>
        </is>
      </c>
      <c r="E6399" t="inlineStr">
        <is>
          <t>ÖRNSKÖLDSVIK</t>
        </is>
      </c>
      <c r="F6399" t="inlineStr">
        <is>
          <t>Holmen skog AB</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10087-2023</t>
        </is>
      </c>
      <c r="B6400" s="1" t="n">
        <v>44985</v>
      </c>
      <c r="C6400" s="1" t="n">
        <v>45212</v>
      </c>
      <c r="D6400" t="inlineStr">
        <is>
          <t>VÄSTERNORRLANDS LÄN</t>
        </is>
      </c>
      <c r="E6400" t="inlineStr">
        <is>
          <t>ÅNGE</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10095-2023</t>
        </is>
      </c>
      <c r="B6401" s="1" t="n">
        <v>44985</v>
      </c>
      <c r="C6401" s="1" t="n">
        <v>45212</v>
      </c>
      <c r="D6401" t="inlineStr">
        <is>
          <t>VÄSTERNORRLANDS LÄN</t>
        </is>
      </c>
      <c r="E6401" t="inlineStr">
        <is>
          <t>SOLLEFTEÅ</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10104-2023</t>
        </is>
      </c>
      <c r="B6402" s="1" t="n">
        <v>44985</v>
      </c>
      <c r="C6402" s="1" t="n">
        <v>45212</v>
      </c>
      <c r="D6402" t="inlineStr">
        <is>
          <t>VÄSTERNORRLANDS LÄN</t>
        </is>
      </c>
      <c r="E6402" t="inlineStr">
        <is>
          <t>TIMRÅ</t>
        </is>
      </c>
      <c r="F6402" t="inlineStr">
        <is>
          <t>SCA</t>
        </is>
      </c>
      <c r="G6402" t="n">
        <v>10.5</v>
      </c>
      <c r="H6402" t="n">
        <v>0</v>
      </c>
      <c r="I6402" t="n">
        <v>0</v>
      </c>
      <c r="J6402" t="n">
        <v>0</v>
      </c>
      <c r="K6402" t="n">
        <v>0</v>
      </c>
      <c r="L6402" t="n">
        <v>0</v>
      </c>
      <c r="M6402" t="n">
        <v>0</v>
      </c>
      <c r="N6402" t="n">
        <v>0</v>
      </c>
      <c r="O6402" t="n">
        <v>0</v>
      </c>
      <c r="P6402" t="n">
        <v>0</v>
      </c>
      <c r="Q6402" t="n">
        <v>0</v>
      </c>
      <c r="R6402" s="2" t="inlineStr"/>
    </row>
    <row r="6403" ht="15" customHeight="1">
      <c r="A6403" t="inlineStr">
        <is>
          <t>A 10089-2023</t>
        </is>
      </c>
      <c r="B6403" s="1" t="n">
        <v>44985</v>
      </c>
      <c r="C6403" s="1" t="n">
        <v>45212</v>
      </c>
      <c r="D6403" t="inlineStr">
        <is>
          <t>VÄSTERNORRLANDS LÄN</t>
        </is>
      </c>
      <c r="E6403" t="inlineStr">
        <is>
          <t>ÅNGE</t>
        </is>
      </c>
      <c r="F6403" t="inlineStr">
        <is>
          <t>SCA</t>
        </is>
      </c>
      <c r="G6403" t="n">
        <v>6.7</v>
      </c>
      <c r="H6403" t="n">
        <v>0</v>
      </c>
      <c r="I6403" t="n">
        <v>0</v>
      </c>
      <c r="J6403" t="n">
        <v>0</v>
      </c>
      <c r="K6403" t="n">
        <v>0</v>
      </c>
      <c r="L6403" t="n">
        <v>0</v>
      </c>
      <c r="M6403" t="n">
        <v>0</v>
      </c>
      <c r="N6403" t="n">
        <v>0</v>
      </c>
      <c r="O6403" t="n">
        <v>0</v>
      </c>
      <c r="P6403" t="n">
        <v>0</v>
      </c>
      <c r="Q6403" t="n">
        <v>0</v>
      </c>
      <c r="R6403" s="2" t="inlineStr"/>
    </row>
    <row r="6404" ht="15" customHeight="1">
      <c r="A6404" t="inlineStr">
        <is>
          <t>A 10970-2023</t>
        </is>
      </c>
      <c r="B6404" s="1" t="n">
        <v>44985</v>
      </c>
      <c r="C6404" s="1" t="n">
        <v>45212</v>
      </c>
      <c r="D6404" t="inlineStr">
        <is>
          <t>VÄSTERNORRLANDS LÄN</t>
        </is>
      </c>
      <c r="E6404" t="inlineStr">
        <is>
          <t>ÖRNSKÖLDSVIK</t>
        </is>
      </c>
      <c r="G6404" t="n">
        <v>4.5</v>
      </c>
      <c r="H6404" t="n">
        <v>0</v>
      </c>
      <c r="I6404" t="n">
        <v>0</v>
      </c>
      <c r="J6404" t="n">
        <v>0</v>
      </c>
      <c r="K6404" t="n">
        <v>0</v>
      </c>
      <c r="L6404" t="n">
        <v>0</v>
      </c>
      <c r="M6404" t="n">
        <v>0</v>
      </c>
      <c r="N6404" t="n">
        <v>0</v>
      </c>
      <c r="O6404" t="n">
        <v>0</v>
      </c>
      <c r="P6404" t="n">
        <v>0</v>
      </c>
      <c r="Q6404" t="n">
        <v>0</v>
      </c>
      <c r="R6404" s="2" t="inlineStr"/>
    </row>
    <row r="6405" ht="15" customHeight="1">
      <c r="A6405" t="inlineStr">
        <is>
          <t>A 10070-2023</t>
        </is>
      </c>
      <c r="B6405" s="1" t="n">
        <v>44985</v>
      </c>
      <c r="C6405" s="1" t="n">
        <v>45212</v>
      </c>
      <c r="D6405" t="inlineStr">
        <is>
          <t>VÄSTERNORRLANDS LÄN</t>
        </is>
      </c>
      <c r="E6405" t="inlineStr">
        <is>
          <t>ÅNGE</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10094-2023</t>
        </is>
      </c>
      <c r="B6406" s="1" t="n">
        <v>44985</v>
      </c>
      <c r="C6406" s="1" t="n">
        <v>45212</v>
      </c>
      <c r="D6406" t="inlineStr">
        <is>
          <t>VÄSTERNORRLANDS LÄN</t>
        </is>
      </c>
      <c r="E6406" t="inlineStr">
        <is>
          <t>SOLLEFTEÅ</t>
        </is>
      </c>
      <c r="F6406" t="inlineStr">
        <is>
          <t>SCA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10103-2023</t>
        </is>
      </c>
      <c r="B6407" s="1" t="n">
        <v>44985</v>
      </c>
      <c r="C6407" s="1" t="n">
        <v>45212</v>
      </c>
      <c r="D6407" t="inlineStr">
        <is>
          <t>VÄSTERNORRLANDS LÄN</t>
        </is>
      </c>
      <c r="E6407" t="inlineStr">
        <is>
          <t>TIMRÅ</t>
        </is>
      </c>
      <c r="F6407" t="inlineStr">
        <is>
          <t>SCA</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10093-2023</t>
        </is>
      </c>
      <c r="B6408" s="1" t="n">
        <v>44985</v>
      </c>
      <c r="C6408" s="1" t="n">
        <v>45212</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10294-2023</t>
        </is>
      </c>
      <c r="B6409" s="1" t="n">
        <v>44986</v>
      </c>
      <c r="C6409" s="1" t="n">
        <v>45212</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10316-2023</t>
        </is>
      </c>
      <c r="B6410" s="1" t="n">
        <v>44986</v>
      </c>
      <c r="C6410" s="1" t="n">
        <v>45212</v>
      </c>
      <c r="D6410" t="inlineStr">
        <is>
          <t>VÄSTERNORRLANDS LÄN</t>
        </is>
      </c>
      <c r="E6410" t="inlineStr">
        <is>
          <t>SUNDSVALL</t>
        </is>
      </c>
      <c r="F6410" t="inlineStr">
        <is>
          <t>SCA</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11094-2023</t>
        </is>
      </c>
      <c r="B6411" s="1" t="n">
        <v>44986</v>
      </c>
      <c r="C6411" s="1" t="n">
        <v>45212</v>
      </c>
      <c r="D6411" t="inlineStr">
        <is>
          <t>VÄSTERNORRLANDS LÄN</t>
        </is>
      </c>
      <c r="E6411" t="inlineStr">
        <is>
          <t>SOLLEFTEÅ</t>
        </is>
      </c>
      <c r="G6411" t="n">
        <v>1.3</v>
      </c>
      <c r="H6411" t="n">
        <v>0</v>
      </c>
      <c r="I6411" t="n">
        <v>0</v>
      </c>
      <c r="J6411" t="n">
        <v>0</v>
      </c>
      <c r="K6411" t="n">
        <v>0</v>
      </c>
      <c r="L6411" t="n">
        <v>0</v>
      </c>
      <c r="M6411" t="n">
        <v>0</v>
      </c>
      <c r="N6411" t="n">
        <v>0</v>
      </c>
      <c r="O6411" t="n">
        <v>0</v>
      </c>
      <c r="P6411" t="n">
        <v>0</v>
      </c>
      <c r="Q6411" t="n">
        <v>0</v>
      </c>
      <c r="R6411" s="2" t="inlineStr"/>
    </row>
    <row r="6412" ht="15" customHeight="1">
      <c r="A6412" t="inlineStr">
        <is>
          <t>A 10296-2023</t>
        </is>
      </c>
      <c r="B6412" s="1" t="n">
        <v>44986</v>
      </c>
      <c r="C6412" s="1" t="n">
        <v>45212</v>
      </c>
      <c r="D6412" t="inlineStr">
        <is>
          <t>VÄSTERNORRLANDS LÄN</t>
        </is>
      </c>
      <c r="E6412" t="inlineStr">
        <is>
          <t>ÖRNSKÖLDSVIK</t>
        </is>
      </c>
      <c r="F6412" t="inlineStr">
        <is>
          <t>SCA</t>
        </is>
      </c>
      <c r="G6412" t="n">
        <v>9.4</v>
      </c>
      <c r="H6412" t="n">
        <v>0</v>
      </c>
      <c r="I6412" t="n">
        <v>0</v>
      </c>
      <c r="J6412" t="n">
        <v>0</v>
      </c>
      <c r="K6412" t="n">
        <v>0</v>
      </c>
      <c r="L6412" t="n">
        <v>0</v>
      </c>
      <c r="M6412" t="n">
        <v>0</v>
      </c>
      <c r="N6412" t="n">
        <v>0</v>
      </c>
      <c r="O6412" t="n">
        <v>0</v>
      </c>
      <c r="P6412" t="n">
        <v>0</v>
      </c>
      <c r="Q6412" t="n">
        <v>0</v>
      </c>
      <c r="R6412" s="2" t="inlineStr"/>
    </row>
    <row r="6413" ht="15" customHeight="1">
      <c r="A6413" t="inlineStr">
        <is>
          <t>A 10312-2023</t>
        </is>
      </c>
      <c r="B6413" s="1" t="n">
        <v>44986</v>
      </c>
      <c r="C6413" s="1" t="n">
        <v>45212</v>
      </c>
      <c r="D6413" t="inlineStr">
        <is>
          <t>VÄSTERNORRLANDS LÄN</t>
        </is>
      </c>
      <c r="E6413" t="inlineStr">
        <is>
          <t>TIMRÅ</t>
        </is>
      </c>
      <c r="F6413" t="inlineStr">
        <is>
          <t>SCA</t>
        </is>
      </c>
      <c r="G6413" t="n">
        <v>38.4</v>
      </c>
      <c r="H6413" t="n">
        <v>0</v>
      </c>
      <c r="I6413" t="n">
        <v>0</v>
      </c>
      <c r="J6413" t="n">
        <v>0</v>
      </c>
      <c r="K6413" t="n">
        <v>0</v>
      </c>
      <c r="L6413" t="n">
        <v>0</v>
      </c>
      <c r="M6413" t="n">
        <v>0</v>
      </c>
      <c r="N6413" t="n">
        <v>0</v>
      </c>
      <c r="O6413" t="n">
        <v>0</v>
      </c>
      <c r="P6413" t="n">
        <v>0</v>
      </c>
      <c r="Q6413" t="n">
        <v>0</v>
      </c>
      <c r="R6413" s="2" t="inlineStr"/>
    </row>
    <row r="6414" ht="15" customHeight="1">
      <c r="A6414" t="inlineStr">
        <is>
          <t>A 10293-2023</t>
        </is>
      </c>
      <c r="B6414" s="1" t="n">
        <v>44986</v>
      </c>
      <c r="C6414" s="1" t="n">
        <v>45212</v>
      </c>
      <c r="D6414" t="inlineStr">
        <is>
          <t>VÄSTERNORRLANDS LÄN</t>
        </is>
      </c>
      <c r="E6414" t="inlineStr">
        <is>
          <t>ÖRNSKÖLDSVIK</t>
        </is>
      </c>
      <c r="F6414" t="inlineStr">
        <is>
          <t>SCA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10557-2023</t>
        </is>
      </c>
      <c r="B6415" s="1" t="n">
        <v>44987</v>
      </c>
      <c r="C6415" s="1" t="n">
        <v>45212</v>
      </c>
      <c r="D6415" t="inlineStr">
        <is>
          <t>VÄSTERNORRLANDS LÄN</t>
        </is>
      </c>
      <c r="E6415" t="inlineStr">
        <is>
          <t>ÅNGE</t>
        </is>
      </c>
      <c r="F6415" t="inlineStr">
        <is>
          <t>SCA</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11180-2023</t>
        </is>
      </c>
      <c r="B6416" s="1" t="n">
        <v>44987</v>
      </c>
      <c r="C6416" s="1" t="n">
        <v>45212</v>
      </c>
      <c r="D6416" t="inlineStr">
        <is>
          <t>VÄSTERNORRLANDS LÄN</t>
        </is>
      </c>
      <c r="E6416" t="inlineStr">
        <is>
          <t>SOLLEFTEÅ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10385-2023</t>
        </is>
      </c>
      <c r="B6417" s="1" t="n">
        <v>44987</v>
      </c>
      <c r="C6417" s="1" t="n">
        <v>45212</v>
      </c>
      <c r="D6417" t="inlineStr">
        <is>
          <t>VÄSTERNORRLANDS LÄN</t>
        </is>
      </c>
      <c r="E6417" t="inlineStr">
        <is>
          <t>ÖRNSKÖLDSVIK</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10555-2023</t>
        </is>
      </c>
      <c r="B6418" s="1" t="n">
        <v>44987</v>
      </c>
      <c r="C6418" s="1" t="n">
        <v>45212</v>
      </c>
      <c r="D6418" t="inlineStr">
        <is>
          <t>VÄSTERNORRLANDS LÄN</t>
        </is>
      </c>
      <c r="E6418" t="inlineStr">
        <is>
          <t>SUNDSVALL</t>
        </is>
      </c>
      <c r="F6418" t="inlineStr">
        <is>
          <t>SCA</t>
        </is>
      </c>
      <c r="G6418" t="n">
        <v>3.9</v>
      </c>
      <c r="H6418" t="n">
        <v>0</v>
      </c>
      <c r="I6418" t="n">
        <v>0</v>
      </c>
      <c r="J6418" t="n">
        <v>0</v>
      </c>
      <c r="K6418" t="n">
        <v>0</v>
      </c>
      <c r="L6418" t="n">
        <v>0</v>
      </c>
      <c r="M6418" t="n">
        <v>0</v>
      </c>
      <c r="N6418" t="n">
        <v>0</v>
      </c>
      <c r="O6418" t="n">
        <v>0</v>
      </c>
      <c r="P6418" t="n">
        <v>0</v>
      </c>
      <c r="Q6418" t="n">
        <v>0</v>
      </c>
      <c r="R6418" s="2" t="inlineStr"/>
    </row>
    <row r="6419" ht="15" customHeight="1">
      <c r="A6419" t="inlineStr">
        <is>
          <t>A 11187-2023</t>
        </is>
      </c>
      <c r="B6419" s="1" t="n">
        <v>44987</v>
      </c>
      <c r="C6419" s="1" t="n">
        <v>45212</v>
      </c>
      <c r="D6419" t="inlineStr">
        <is>
          <t>VÄSTERNORRLANDS LÄN</t>
        </is>
      </c>
      <c r="E6419" t="inlineStr">
        <is>
          <t>SOLLEFTEÅ</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10387-2023</t>
        </is>
      </c>
      <c r="B6420" s="1" t="n">
        <v>44987</v>
      </c>
      <c r="C6420" s="1" t="n">
        <v>45212</v>
      </c>
      <c r="D6420" t="inlineStr">
        <is>
          <t>VÄSTERNORRLANDS LÄN</t>
        </is>
      </c>
      <c r="E6420" t="inlineStr">
        <is>
          <t>ÖRNSKÖLDSVIK</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10544-2023</t>
        </is>
      </c>
      <c r="B6421" s="1" t="n">
        <v>44987</v>
      </c>
      <c r="C6421" s="1" t="n">
        <v>45212</v>
      </c>
      <c r="D6421" t="inlineStr">
        <is>
          <t>VÄSTERNORRLANDS LÄN</t>
        </is>
      </c>
      <c r="E6421" t="inlineStr">
        <is>
          <t>HÄRNÖSAND</t>
        </is>
      </c>
      <c r="F6421" t="inlineStr">
        <is>
          <t>SCA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10556-2023</t>
        </is>
      </c>
      <c r="B6422" s="1" t="n">
        <v>44987</v>
      </c>
      <c r="C6422" s="1" t="n">
        <v>45212</v>
      </c>
      <c r="D6422" t="inlineStr">
        <is>
          <t>VÄSTERNORRLANDS LÄN</t>
        </is>
      </c>
      <c r="E6422" t="inlineStr">
        <is>
          <t>TIMRÅ</t>
        </is>
      </c>
      <c r="F6422" t="inlineStr">
        <is>
          <t>SCA</t>
        </is>
      </c>
      <c r="G6422" t="n">
        <v>9.5</v>
      </c>
      <c r="H6422" t="n">
        <v>0</v>
      </c>
      <c r="I6422" t="n">
        <v>0</v>
      </c>
      <c r="J6422" t="n">
        <v>0</v>
      </c>
      <c r="K6422" t="n">
        <v>0</v>
      </c>
      <c r="L6422" t="n">
        <v>0</v>
      </c>
      <c r="M6422" t="n">
        <v>0</v>
      </c>
      <c r="N6422" t="n">
        <v>0</v>
      </c>
      <c r="O6422" t="n">
        <v>0</v>
      </c>
      <c r="P6422" t="n">
        <v>0</v>
      </c>
      <c r="Q6422" t="n">
        <v>0</v>
      </c>
      <c r="R6422" s="2" t="inlineStr"/>
    </row>
    <row r="6423" ht="15" customHeight="1">
      <c r="A6423" t="inlineStr">
        <is>
          <t>A 10539-2023</t>
        </is>
      </c>
      <c r="B6423" s="1" t="n">
        <v>44987</v>
      </c>
      <c r="C6423" s="1" t="n">
        <v>45212</v>
      </c>
      <c r="D6423" t="inlineStr">
        <is>
          <t>VÄSTERNORRLANDS LÄN</t>
        </is>
      </c>
      <c r="E6423" t="inlineStr">
        <is>
          <t>SUNDSVALL</t>
        </is>
      </c>
      <c r="G6423" t="n">
        <v>2.3</v>
      </c>
      <c r="H6423" t="n">
        <v>0</v>
      </c>
      <c r="I6423" t="n">
        <v>0</v>
      </c>
      <c r="J6423" t="n">
        <v>0</v>
      </c>
      <c r="K6423" t="n">
        <v>0</v>
      </c>
      <c r="L6423" t="n">
        <v>0</v>
      </c>
      <c r="M6423" t="n">
        <v>0</v>
      </c>
      <c r="N6423" t="n">
        <v>0</v>
      </c>
      <c r="O6423" t="n">
        <v>0</v>
      </c>
      <c r="P6423" t="n">
        <v>0</v>
      </c>
      <c r="Q6423" t="n">
        <v>0</v>
      </c>
      <c r="R6423" s="2" t="inlineStr"/>
    </row>
    <row r="6424" ht="15" customHeight="1">
      <c r="A6424" t="inlineStr">
        <is>
          <t>A 10549-2023</t>
        </is>
      </c>
      <c r="B6424" s="1" t="n">
        <v>44987</v>
      </c>
      <c r="C6424" s="1" t="n">
        <v>45212</v>
      </c>
      <c r="D6424" t="inlineStr">
        <is>
          <t>VÄSTERNORRLANDS LÄN</t>
        </is>
      </c>
      <c r="E6424" t="inlineStr">
        <is>
          <t>SOLLEFTEÅ</t>
        </is>
      </c>
      <c r="F6424" t="inlineStr">
        <is>
          <t>SCA</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10775-2023</t>
        </is>
      </c>
      <c r="B6425" s="1" t="n">
        <v>44988</v>
      </c>
      <c r="C6425" s="1" t="n">
        <v>45212</v>
      </c>
      <c r="D6425" t="inlineStr">
        <is>
          <t>VÄSTERNORRLANDS LÄN</t>
        </is>
      </c>
      <c r="E6425" t="inlineStr">
        <is>
          <t>SUNDSVALL</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10784-2023</t>
        </is>
      </c>
      <c r="B6426" s="1" t="n">
        <v>44988</v>
      </c>
      <c r="C6426" s="1" t="n">
        <v>45212</v>
      </c>
      <c r="D6426" t="inlineStr">
        <is>
          <t>VÄSTERNORRLANDS LÄN</t>
        </is>
      </c>
      <c r="E6426" t="inlineStr">
        <is>
          <t>ÖRNSKÖLDSVIK</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10778-2023</t>
        </is>
      </c>
      <c r="B6427" s="1" t="n">
        <v>44988</v>
      </c>
      <c r="C6427" s="1" t="n">
        <v>45212</v>
      </c>
      <c r="D6427" t="inlineStr">
        <is>
          <t>VÄSTERNORRLANDS LÄN</t>
        </is>
      </c>
      <c r="E6427" t="inlineStr">
        <is>
          <t>ÅNGE</t>
        </is>
      </c>
      <c r="F6427" t="inlineStr">
        <is>
          <t>SCA</t>
        </is>
      </c>
      <c r="G6427" t="n">
        <v>46.4</v>
      </c>
      <c r="H6427" t="n">
        <v>0</v>
      </c>
      <c r="I6427" t="n">
        <v>0</v>
      </c>
      <c r="J6427" t="n">
        <v>0</v>
      </c>
      <c r="K6427" t="n">
        <v>0</v>
      </c>
      <c r="L6427" t="n">
        <v>0</v>
      </c>
      <c r="M6427" t="n">
        <v>0</v>
      </c>
      <c r="N6427" t="n">
        <v>0</v>
      </c>
      <c r="O6427" t="n">
        <v>0</v>
      </c>
      <c r="P6427" t="n">
        <v>0</v>
      </c>
      <c r="Q6427" t="n">
        <v>0</v>
      </c>
      <c r="R6427" s="2" t="inlineStr"/>
    </row>
    <row r="6428" ht="15" customHeight="1">
      <c r="A6428" t="inlineStr">
        <is>
          <t>A 10786-2023</t>
        </is>
      </c>
      <c r="B6428" s="1" t="n">
        <v>44988</v>
      </c>
      <c r="C6428" s="1" t="n">
        <v>45212</v>
      </c>
      <c r="D6428" t="inlineStr">
        <is>
          <t>VÄSTERNORRLANDS LÄN</t>
        </is>
      </c>
      <c r="E6428" t="inlineStr">
        <is>
          <t>SUNDSVALL</t>
        </is>
      </c>
      <c r="F6428" t="inlineStr">
        <is>
          <t>SCA</t>
        </is>
      </c>
      <c r="G6428" t="n">
        <v>5.7</v>
      </c>
      <c r="H6428" t="n">
        <v>0</v>
      </c>
      <c r="I6428" t="n">
        <v>0</v>
      </c>
      <c r="J6428" t="n">
        <v>0</v>
      </c>
      <c r="K6428" t="n">
        <v>0</v>
      </c>
      <c r="L6428" t="n">
        <v>0</v>
      </c>
      <c r="M6428" t="n">
        <v>0</v>
      </c>
      <c r="N6428" t="n">
        <v>0</v>
      </c>
      <c r="O6428" t="n">
        <v>0</v>
      </c>
      <c r="P6428" t="n">
        <v>0</v>
      </c>
      <c r="Q6428" t="n">
        <v>0</v>
      </c>
      <c r="R6428" s="2" t="inlineStr"/>
    </row>
    <row r="6429" ht="15" customHeight="1">
      <c r="A6429" t="inlineStr">
        <is>
          <t>A 11341-2023</t>
        </is>
      </c>
      <c r="B6429" s="1" t="n">
        <v>44988</v>
      </c>
      <c r="C6429" s="1" t="n">
        <v>45212</v>
      </c>
      <c r="D6429" t="inlineStr">
        <is>
          <t>VÄSTERNORRLANDS LÄN</t>
        </is>
      </c>
      <c r="E6429" t="inlineStr">
        <is>
          <t>ÖRNSKÖLDSVIK</t>
        </is>
      </c>
      <c r="G6429" t="n">
        <v>4.3</v>
      </c>
      <c r="H6429" t="n">
        <v>0</v>
      </c>
      <c r="I6429" t="n">
        <v>0</v>
      </c>
      <c r="J6429" t="n">
        <v>0</v>
      </c>
      <c r="K6429" t="n">
        <v>0</v>
      </c>
      <c r="L6429" t="n">
        <v>0</v>
      </c>
      <c r="M6429" t="n">
        <v>0</v>
      </c>
      <c r="N6429" t="n">
        <v>0</v>
      </c>
      <c r="O6429" t="n">
        <v>0</v>
      </c>
      <c r="P6429" t="n">
        <v>0</v>
      </c>
      <c r="Q6429" t="n">
        <v>0</v>
      </c>
      <c r="R6429" s="2" t="inlineStr"/>
    </row>
    <row r="6430" ht="15" customHeight="1">
      <c r="A6430" t="inlineStr">
        <is>
          <t>A 10770-2023</t>
        </is>
      </c>
      <c r="B6430" s="1" t="n">
        <v>44988</v>
      </c>
      <c r="C6430" s="1" t="n">
        <v>45212</v>
      </c>
      <c r="D6430" t="inlineStr">
        <is>
          <t>VÄSTERNORRLANDS LÄN</t>
        </is>
      </c>
      <c r="E6430" t="inlineStr">
        <is>
          <t>KRAMFORS</t>
        </is>
      </c>
      <c r="F6430" t="inlineStr">
        <is>
          <t>SCA</t>
        </is>
      </c>
      <c r="G6430" t="n">
        <v>40.6</v>
      </c>
      <c r="H6430" t="n">
        <v>0</v>
      </c>
      <c r="I6430" t="n">
        <v>0</v>
      </c>
      <c r="J6430" t="n">
        <v>0</v>
      </c>
      <c r="K6430" t="n">
        <v>0</v>
      </c>
      <c r="L6430" t="n">
        <v>0</v>
      </c>
      <c r="M6430" t="n">
        <v>0</v>
      </c>
      <c r="N6430" t="n">
        <v>0</v>
      </c>
      <c r="O6430" t="n">
        <v>0</v>
      </c>
      <c r="P6430" t="n">
        <v>0</v>
      </c>
      <c r="Q6430" t="n">
        <v>0</v>
      </c>
      <c r="R6430" s="2" t="inlineStr"/>
    </row>
    <row r="6431" ht="15" customHeight="1">
      <c r="A6431" t="inlineStr">
        <is>
          <t>A 10773-2023</t>
        </is>
      </c>
      <c r="B6431" s="1" t="n">
        <v>44988</v>
      </c>
      <c r="C6431" s="1" t="n">
        <v>45212</v>
      </c>
      <c r="D6431" t="inlineStr">
        <is>
          <t>VÄSTERNORRLANDS LÄN</t>
        </is>
      </c>
      <c r="E6431" t="inlineStr">
        <is>
          <t>TIMRÅ</t>
        </is>
      </c>
      <c r="F6431" t="inlineStr">
        <is>
          <t>SCA</t>
        </is>
      </c>
      <c r="G6431" t="n">
        <v>17.3</v>
      </c>
      <c r="H6431" t="n">
        <v>0</v>
      </c>
      <c r="I6431" t="n">
        <v>0</v>
      </c>
      <c r="J6431" t="n">
        <v>0</v>
      </c>
      <c r="K6431" t="n">
        <v>0</v>
      </c>
      <c r="L6431" t="n">
        <v>0</v>
      </c>
      <c r="M6431" t="n">
        <v>0</v>
      </c>
      <c r="N6431" t="n">
        <v>0</v>
      </c>
      <c r="O6431" t="n">
        <v>0</v>
      </c>
      <c r="P6431" t="n">
        <v>0</v>
      </c>
      <c r="Q6431" t="n">
        <v>0</v>
      </c>
      <c r="R6431" s="2" t="inlineStr"/>
    </row>
    <row r="6432" ht="15" customHeight="1">
      <c r="A6432" t="inlineStr">
        <is>
          <t>A 11042-2023</t>
        </is>
      </c>
      <c r="B6432" s="1" t="n">
        <v>44991</v>
      </c>
      <c r="C6432" s="1" t="n">
        <v>45212</v>
      </c>
      <c r="D6432" t="inlineStr">
        <is>
          <t>VÄSTERNORRLANDS LÄN</t>
        </is>
      </c>
      <c r="E6432" t="inlineStr">
        <is>
          <t>KRAMFORS</t>
        </is>
      </c>
      <c r="F6432" t="inlineStr">
        <is>
          <t>SCA</t>
        </is>
      </c>
      <c r="G6432" t="n">
        <v>5.3</v>
      </c>
      <c r="H6432" t="n">
        <v>0</v>
      </c>
      <c r="I6432" t="n">
        <v>0</v>
      </c>
      <c r="J6432" t="n">
        <v>0</v>
      </c>
      <c r="K6432" t="n">
        <v>0</v>
      </c>
      <c r="L6432" t="n">
        <v>0</v>
      </c>
      <c r="M6432" t="n">
        <v>0</v>
      </c>
      <c r="N6432" t="n">
        <v>0</v>
      </c>
      <c r="O6432" t="n">
        <v>0</v>
      </c>
      <c r="P6432" t="n">
        <v>0</v>
      </c>
      <c r="Q6432" t="n">
        <v>0</v>
      </c>
      <c r="R6432" s="2" t="inlineStr"/>
    </row>
    <row r="6433" ht="15" customHeight="1">
      <c r="A6433" t="inlineStr">
        <is>
          <t>A 11050-2023</t>
        </is>
      </c>
      <c r="B6433" s="1" t="n">
        <v>44991</v>
      </c>
      <c r="C6433" s="1" t="n">
        <v>45212</v>
      </c>
      <c r="D6433" t="inlineStr">
        <is>
          <t>VÄSTERNORRLANDS LÄN</t>
        </is>
      </c>
      <c r="E6433" t="inlineStr">
        <is>
          <t>ÖRNSKÖLDSVIK</t>
        </is>
      </c>
      <c r="F6433" t="inlineStr">
        <is>
          <t>SCA</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11052-2023</t>
        </is>
      </c>
      <c r="B6434" s="1" t="n">
        <v>44991</v>
      </c>
      <c r="C6434" s="1" t="n">
        <v>45212</v>
      </c>
      <c r="D6434" t="inlineStr">
        <is>
          <t>VÄSTERNORRLANDS LÄN</t>
        </is>
      </c>
      <c r="E6434" t="inlineStr">
        <is>
          <t>SOLLEFTEÅ</t>
        </is>
      </c>
      <c r="F6434" t="inlineStr">
        <is>
          <t>SCA</t>
        </is>
      </c>
      <c r="G6434" t="n">
        <v>10.1</v>
      </c>
      <c r="H6434" t="n">
        <v>0</v>
      </c>
      <c r="I6434" t="n">
        <v>0</v>
      </c>
      <c r="J6434" t="n">
        <v>0</v>
      </c>
      <c r="K6434" t="n">
        <v>0</v>
      </c>
      <c r="L6434" t="n">
        <v>0</v>
      </c>
      <c r="M6434" t="n">
        <v>0</v>
      </c>
      <c r="N6434" t="n">
        <v>0</v>
      </c>
      <c r="O6434" t="n">
        <v>0</v>
      </c>
      <c r="P6434" t="n">
        <v>0</v>
      </c>
      <c r="Q6434" t="n">
        <v>0</v>
      </c>
      <c r="R6434" s="2" t="inlineStr"/>
    </row>
    <row r="6435" ht="15" customHeight="1">
      <c r="A6435" t="inlineStr">
        <is>
          <t>A 11043-2023</t>
        </is>
      </c>
      <c r="B6435" s="1" t="n">
        <v>44991</v>
      </c>
      <c r="C6435" s="1" t="n">
        <v>45212</v>
      </c>
      <c r="D6435" t="inlineStr">
        <is>
          <t>VÄSTERNORRLANDS LÄN</t>
        </is>
      </c>
      <c r="E6435" t="inlineStr">
        <is>
          <t>HÄRNÖSAND</t>
        </is>
      </c>
      <c r="F6435" t="inlineStr">
        <is>
          <t>SCA</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11051-2023</t>
        </is>
      </c>
      <c r="B6436" s="1" t="n">
        <v>44991</v>
      </c>
      <c r="C6436" s="1" t="n">
        <v>45212</v>
      </c>
      <c r="D6436" t="inlineStr">
        <is>
          <t>VÄSTERNORRLANDS LÄN</t>
        </is>
      </c>
      <c r="E6436" t="inlineStr">
        <is>
          <t>ÖRNSKÖLDSVIK</t>
        </is>
      </c>
      <c r="F6436" t="inlineStr">
        <is>
          <t>SCA</t>
        </is>
      </c>
      <c r="G6436" t="n">
        <v>2.7</v>
      </c>
      <c r="H6436" t="n">
        <v>0</v>
      </c>
      <c r="I6436" t="n">
        <v>0</v>
      </c>
      <c r="J6436" t="n">
        <v>0</v>
      </c>
      <c r="K6436" t="n">
        <v>0</v>
      </c>
      <c r="L6436" t="n">
        <v>0</v>
      </c>
      <c r="M6436" t="n">
        <v>0</v>
      </c>
      <c r="N6436" t="n">
        <v>0</v>
      </c>
      <c r="O6436" t="n">
        <v>0</v>
      </c>
      <c r="P6436" t="n">
        <v>0</v>
      </c>
      <c r="Q6436" t="n">
        <v>0</v>
      </c>
      <c r="R6436" s="2" t="inlineStr"/>
    </row>
    <row r="6437" ht="15" customHeight="1">
      <c r="A6437" t="inlineStr">
        <is>
          <t>A 11724-2023</t>
        </is>
      </c>
      <c r="B6437" s="1" t="n">
        <v>44992</v>
      </c>
      <c r="C6437" s="1" t="n">
        <v>45212</v>
      </c>
      <c r="D6437" t="inlineStr">
        <is>
          <t>VÄSTERNORRLANDS LÄN</t>
        </is>
      </c>
      <c r="E6437" t="inlineStr">
        <is>
          <t>ÖRNSKÖLDSVIK</t>
        </is>
      </c>
      <c r="G6437" t="n">
        <v>4.3</v>
      </c>
      <c r="H6437" t="n">
        <v>0</v>
      </c>
      <c r="I6437" t="n">
        <v>0</v>
      </c>
      <c r="J6437" t="n">
        <v>0</v>
      </c>
      <c r="K6437" t="n">
        <v>0</v>
      </c>
      <c r="L6437" t="n">
        <v>0</v>
      </c>
      <c r="M6437" t="n">
        <v>0</v>
      </c>
      <c r="N6437" t="n">
        <v>0</v>
      </c>
      <c r="O6437" t="n">
        <v>0</v>
      </c>
      <c r="P6437" t="n">
        <v>0</v>
      </c>
      <c r="Q6437" t="n">
        <v>0</v>
      </c>
      <c r="R6437" s="2" t="inlineStr"/>
    </row>
    <row r="6438" ht="15" customHeight="1">
      <c r="A6438" t="inlineStr">
        <is>
          <t>A 11295-2023</t>
        </is>
      </c>
      <c r="B6438" s="1" t="n">
        <v>44992</v>
      </c>
      <c r="C6438" s="1" t="n">
        <v>45212</v>
      </c>
      <c r="D6438" t="inlineStr">
        <is>
          <t>VÄSTERNORRLANDS LÄN</t>
        </is>
      </c>
      <c r="E6438" t="inlineStr">
        <is>
          <t>SUNDSVALL</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11573-2023</t>
        </is>
      </c>
      <c r="B6439" s="1" t="n">
        <v>44992</v>
      </c>
      <c r="C6439" s="1" t="n">
        <v>45212</v>
      </c>
      <c r="D6439" t="inlineStr">
        <is>
          <t>VÄSTERNORRLANDS LÄN</t>
        </is>
      </c>
      <c r="E6439" t="inlineStr">
        <is>
          <t>ÖRNSKÖLDSVIK</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11296-2023</t>
        </is>
      </c>
      <c r="B6440" s="1" t="n">
        <v>44992</v>
      </c>
      <c r="C6440" s="1" t="n">
        <v>45212</v>
      </c>
      <c r="D6440" t="inlineStr">
        <is>
          <t>VÄSTERNORRLANDS LÄN</t>
        </is>
      </c>
      <c r="E6440" t="inlineStr">
        <is>
          <t>SUNDSVALL</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11308-2023</t>
        </is>
      </c>
      <c r="B6441" s="1" t="n">
        <v>44993</v>
      </c>
      <c r="C6441" s="1" t="n">
        <v>45212</v>
      </c>
      <c r="D6441" t="inlineStr">
        <is>
          <t>VÄSTERNORRLANDS LÄN</t>
        </is>
      </c>
      <c r="E6441" t="inlineStr">
        <is>
          <t>HÄRNÖSAND</t>
        </is>
      </c>
      <c r="F6441" t="inlineStr">
        <is>
          <t>SCA</t>
        </is>
      </c>
      <c r="G6441" t="n">
        <v>2.2</v>
      </c>
      <c r="H6441" t="n">
        <v>0</v>
      </c>
      <c r="I6441" t="n">
        <v>0</v>
      </c>
      <c r="J6441" t="n">
        <v>0</v>
      </c>
      <c r="K6441" t="n">
        <v>0</v>
      </c>
      <c r="L6441" t="n">
        <v>0</v>
      </c>
      <c r="M6441" t="n">
        <v>0</v>
      </c>
      <c r="N6441" t="n">
        <v>0</v>
      </c>
      <c r="O6441" t="n">
        <v>0</v>
      </c>
      <c r="P6441" t="n">
        <v>0</v>
      </c>
      <c r="Q6441" t="n">
        <v>0</v>
      </c>
      <c r="R6441" s="2" t="inlineStr"/>
    </row>
    <row r="6442" ht="15" customHeight="1">
      <c r="A6442" t="inlineStr">
        <is>
          <t>A 11551-2023</t>
        </is>
      </c>
      <c r="B6442" s="1" t="n">
        <v>44993</v>
      </c>
      <c r="C6442" s="1" t="n">
        <v>45212</v>
      </c>
      <c r="D6442" t="inlineStr">
        <is>
          <t>VÄSTERNORRLANDS LÄN</t>
        </is>
      </c>
      <c r="E6442" t="inlineStr">
        <is>
          <t>SOLLEFTEÅ</t>
        </is>
      </c>
      <c r="G6442" t="n">
        <v>4.9</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45212</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45212</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45212</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45212</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45212</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45212</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45212</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45212</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45212</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45212</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45212</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45212</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45212</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45212</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45212</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45212</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45212</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45212</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45212</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45212</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45212</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45212</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45212</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45212</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45212</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45212</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45212</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45212</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45212</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45212</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45212</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45212</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45212</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45212</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45212</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45212</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45212</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45212</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45212</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45212</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45212</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45212</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45212</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45212</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45212</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45212</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45212</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45212</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45212</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45212</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45212</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45212</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45212</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45212</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45212</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45212</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45212</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45212</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45212</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45212</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45212</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45212</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45212</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45212</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45212</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45212</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45212</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45212</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45212</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45212</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45212</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45212</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45212</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45212</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45212</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45212</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45212</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45212</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45212</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45212</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45212</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45212</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45212</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45212</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45212</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45212</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45212</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45212</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45212</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45212</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45212</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45212</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45212</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45212</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45212</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45212</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45212</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45212</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45212</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45212</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45212</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45212</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45212</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45212</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45212</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45212</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45212</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45212</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45212</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45212</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45212</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45212</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45212</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45212</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45212</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45212</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45212</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45212</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45212</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45212</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45212</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45212</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45212</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45212</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45212</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45212</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45212</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45212</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45212</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45212</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45212</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45212</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45212</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45212</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45212</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45212</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45212</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45212</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45212</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45212</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45212</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45212</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45212</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45212</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45212</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45212</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45212</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45212</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45212</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45212</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45212</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45212</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45212</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45212</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45212</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45212</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45212</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45212</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45212</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45212</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45212</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45212</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45212</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45212</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45212</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45212</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45212</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45212</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45212</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45212</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45212</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45212</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45212</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45212</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45212</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45212</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45212</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45212</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45212</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45212</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45212</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45212</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45212</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45212</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45212</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45212</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45212</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45212</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45212</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45212</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45212</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45212</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45212</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45212</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45212</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45212</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45212</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45212</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45212</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45212</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45212</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45212</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45212</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45212</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45212</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45212</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45212</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45212</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45212</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45212</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45212</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45212</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45212</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45212</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45212</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45212</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45212</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45212</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45212</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45212</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45212</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45212</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45212</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45212</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45212</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45212</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45212</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45212</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45212</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45212</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45212</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45212</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45212</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45212</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45212</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45212</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45212</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45212</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45212</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45212</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45212</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45212</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45212</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45212</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45212</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45212</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45212</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45212</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45212</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45212</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45212</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45212</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45212</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45212</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45212</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45212</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45212</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45212</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45212</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45212</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45212</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45212</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45212</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45212</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45212</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45212</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45212</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45212</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45212</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45212</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45212</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45212</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45212</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45212</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45212</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45212</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45212</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45212</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45212</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45212</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45212</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45212</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45212</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45212</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45212</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45212</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45212</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45212</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45212</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45212</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45212</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45212</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45212</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45212</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45212</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45212</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45212</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45212</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45212</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45212</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45212</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45212</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45212</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45212</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45212</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45212</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45212</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45212</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45212</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45212</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45212</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45212</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45212</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45212</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45212</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45212</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45212</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45212</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45212</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45212</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45212</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45212</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45212</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45212</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45212</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45212</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45212</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45212</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45212</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45212</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45212</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45212</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45212</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45212</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45212</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45212</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45212</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45212</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45212</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45212</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45212</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45212</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45212</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45212</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45212</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45212</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45212</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45212</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45212</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45212</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45212</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45212</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45212</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45212</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45212</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45212</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45212</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45212</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45212</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45212</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45212</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45212</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45212</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45212</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45212</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45212</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45212</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45212</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45212</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45212</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45212</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45212</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45212</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45212</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45212</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45212</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45212</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45212</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45212</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45212</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45212</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45212</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45212</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45212</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45212</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45212</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45212</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45212</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45212</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45212</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45212</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45212</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45212</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45212</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45212</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45212</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45212</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45212</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45212</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45212</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45212</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45212</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45212</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45212</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45212</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45212</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45212</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45212</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45212</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45212</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45212</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45212</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45212</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45212</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45212</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45212</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45212</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45212</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45212</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45212</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45212</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45212</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45212</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45212</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45212</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45212</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45212</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45212</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45212</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45212</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45212</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45212</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45212</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45212</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45212</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45212</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45212</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45212</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45212</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45212</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45212</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45212</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45212</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45212</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45212</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45212</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45212</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45212</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45212</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45212</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45212</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45212</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45212</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45212</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45212</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45212</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45212</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45212</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45212</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45212</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45212</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45212</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45212</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45212</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45212</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45212</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45212</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45212</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45212</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45212</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45212</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45212</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45212</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45212</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45212</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45212</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45212</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45212</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45212</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45212</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45212</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45212</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45212</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45212</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45212</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45212</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45212</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45212</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45212</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45212</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45212</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45212</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45212</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45212</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45212</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45212</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45212</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45212</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45212</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45212</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45212</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45212</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45212</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45212</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45212</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45212</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45212</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45212</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45212</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45212</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45212</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45212</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45212</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45212</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45212</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45212</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45212</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45212</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45212</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45212</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45212</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45212</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45212</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45212</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45212</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45212</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45212</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45212</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45212</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45212</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45212</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45212</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45212</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45212</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45212</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45212</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45212</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45212</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45212</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45212</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45212</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45212</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45212</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45212</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45212</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45212</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45212</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45212</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45212</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45212</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45212</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45212</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45212</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45212</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45212</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45212</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45212</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45212</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45212</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45212</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45212</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45212</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45212</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45212</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45212</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45212</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45212</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45212</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45212</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45212</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45212</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45212</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45212</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45212</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45212</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45212</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45212</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45212</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45212</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45212</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45212</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45212</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45212</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45212</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45212</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45212</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45212</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45212</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45212</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45212</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45212</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45212</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45212</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45212</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45212</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45212</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45212</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45212</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45212</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45212</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45212</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45212</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45212</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45212</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45212</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45212</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45212</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45212</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45212</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45212</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45212</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45212</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45212</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45212</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45212</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45212</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45212</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45212</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45212</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45212</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45212</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45212</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45212</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45212</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45212</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45212</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45212</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45212</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45212</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45212</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45212</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45212</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45212</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45212</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45212</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45212</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45212</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45212</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45212</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45212</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45212</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45212</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45212</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45212</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45212</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45212</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45212</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45212</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45212</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45212</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45212</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45212</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45212</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45212</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45212</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45212</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45212</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45212</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45212</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45212</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45212</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45212</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45212</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45212</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45212</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45212</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45212</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45212</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45212</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45212</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45212</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45212</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45212</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45212</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45212</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45212</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45212</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45212</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45212</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45212</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45212</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45212</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45212</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45212</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45212</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HYPERLINK("https://klasma.github.io/Logging_2281/knärot/A 31036-2023 knärot.png", "A 31036-2023")</f>
        <v/>
      </c>
      <c r="V7127">
        <f>HYPERLINK("https://klasma.github.io/Logging_2281/klagomål/A 31036-2023 klagomål.docx", "A 31036-2023")</f>
        <v/>
      </c>
      <c r="W7127">
        <f>HYPERLINK("https://klasma.github.io/Logging_2281/klagomålsmail/A 31036-2023 klagomålsmail.docx", "A 31036-2023")</f>
        <v/>
      </c>
      <c r="X7127">
        <f>HYPERLINK("https://klasma.github.io/Logging_2281/tillsyn/A 31036-2023 tillsyn.docx", "A 31036-2023")</f>
        <v/>
      </c>
      <c r="Y7127">
        <f>HYPERLINK("https://klasma.github.io/Logging_2281/tillsynsmail/A 31036-2023 tillsynsmail.docx", "A 31036-2023")</f>
        <v/>
      </c>
    </row>
    <row r="7128" ht="15" customHeight="1">
      <c r="A7128" t="inlineStr">
        <is>
          <t>A 31150-2023</t>
        </is>
      </c>
      <c r="B7128" s="1" t="n">
        <v>45103</v>
      </c>
      <c r="C7128" s="1" t="n">
        <v>45212</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45212</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45212</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45212</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45212</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45212</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45212</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45212</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45212</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45212</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45212</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45212</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45212</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45212</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45212</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45212</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45212</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45212</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45212</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45212</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45212</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45212</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45212</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45212</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45212</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45212</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45212</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45212</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45212</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45212</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45212</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45212</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45212</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45212</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45212</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45212</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45212</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45212</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45212</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45212</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45212</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45212</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45212</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45212</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45212</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45212</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45212</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45212</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45212</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45212</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45212</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45212</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45212</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45212</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45212</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45212</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45212</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45212</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45212</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45212</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45212</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45212</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45212</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45212</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45212</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45212</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45212</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45212</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45212</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45212</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45212</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45212</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45212</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45212</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45212</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45212</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45212</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45212</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45212</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45212</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45212</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45212</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45212</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45212</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45212</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45212</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45212</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45212</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45212</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45212</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45212</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45212</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45212</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45212</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45212</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45212</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45212</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45212</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45212</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45212</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45212</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45212</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45212</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45212</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45212</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45212</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45212</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45212</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45212</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45212</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45212</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45212</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45212</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45212</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45212</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45212</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45212</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45212</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45212</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45212</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45212</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45212</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45212</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45212</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45212</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45212</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45212</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45212</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45212</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45212</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45212</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45212</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45212</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45212</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45212</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45212</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45212</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45212</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45212</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45212</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45212</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45212</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45212</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45212</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45212</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45212</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45212</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45212</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45212</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45212</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45212</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45212</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45212</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45212</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45212</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45212</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45212</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45212</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45212</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45212</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45212</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45212</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45212</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45212</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45212</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45212</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45212</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45212</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45212</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45212</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45212</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45212</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45212</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45212</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45212</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45212</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45212</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45212</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45212</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45212</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45212</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45212</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45212</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45212</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45212</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45212</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45212</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45212</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45212</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45212</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45212</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45212</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45212</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45212</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45212</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45212</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45212</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45212</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45212</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45212</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45212</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45212</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45212</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45212</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45212</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45212</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45212</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45212</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45212</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45212</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45212</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45212</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45212</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45212</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45212</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45212</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45212</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45212</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45212</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45212</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45212</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45212</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45212</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45212</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45212</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45212</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45212</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45212</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45212</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45212</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45212</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45212</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45212</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45212</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45212</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45212</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45212</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45212</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45212</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45212</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45212</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45212</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45212</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45212</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45212</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45212</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45212</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45212</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45212</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45212</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45212</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45212</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45212</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45212</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45212</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45212</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45212</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45212</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45212</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45212</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45212</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45212</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45212</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45212</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45212</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45212</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45212</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45212</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45212</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45212</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45212</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45212</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45212</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45212</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45212</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45212</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45212</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45212</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45212</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45212</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45212</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45212</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45212</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45212</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45212</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45212</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45212</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45212</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45212</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45212</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45212</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45212</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45212</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45212</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45212</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45212</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45212</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45212</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45212</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45212</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45212</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45212</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45212</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45212</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45212</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45212</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45212</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45212</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45212</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45212</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45212</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45212</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45212</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45212</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45212</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45212</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45212</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45212</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45212</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45212</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45212</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45212</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45212</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45212</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45212</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45212</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45212</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45212</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45212</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45212</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45212</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45212</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45212</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45212</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45212</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45212</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45212</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45212</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45212</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45212</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45212</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45212</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45212</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45212</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45212</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45212</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45212</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45212</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45212</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45212</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45212</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45212</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45212</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45212</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45212</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45212</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45212</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45212</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45212</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45212</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45212</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45212</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45212</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45212</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45212</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45212</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45212</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45212</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45212</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45212</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45212</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45212</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45212</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45212</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45212</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45212</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45212</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45212</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45212</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45212</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45212</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45212</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45212</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45212</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45212</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45212</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45212</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45212</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45212</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45212</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45212</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45212</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45212</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45212</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45212</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45212</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45212</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45212</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45212</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45212</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45212</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45212</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45212</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45212</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45212</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45212</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45212</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45212</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45212</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45212</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45212</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45212</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45212</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45212</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45212</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45212</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45212</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45212</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45212</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45212</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45212</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45212</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45212</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45212</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45212</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45212</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45212</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45212</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45212</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45212</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45212</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45212</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45212</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45212</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45212</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45212</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45212</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45212</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45212</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45212</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2023-10-13T04:47:02Z</dcterms:created>
  <dcterms:modified xmlns:dcterms="http://purl.org/dc/terms/" xmlns:xsi="http://www.w3.org/2001/XMLSchema-instance" xsi:type="dcterms:W3CDTF">2023-10-13T04:47:05Z</dcterms:modified>
</cp:coreProperties>
</file>